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20" yWindow="4380" windowWidth="9720" windowHeight="3060"/>
  </bookViews>
  <sheets>
    <sheet name="КМГ_С_ГПЗ_2015" sheetId="6" r:id="rId1"/>
  </sheets>
  <definedNames>
    <definedName name="_xlnm._FilterDatabase" localSheetId="0" hidden="1">КМГ_С_ГПЗ_2015!$A$44:$Y$4262</definedName>
    <definedName name="_xlnm.Print_Area" localSheetId="0">КМГ_С_ГПЗ_2015!$A$1:$X$4308</definedName>
  </definedNames>
  <calcPr calcId="145621"/>
</workbook>
</file>

<file path=xl/calcChain.xml><?xml version="1.0" encoding="utf-8"?>
<calcChain xmlns="http://schemas.openxmlformats.org/spreadsheetml/2006/main">
  <c r="U4262" i="6" l="1"/>
  <c r="T4262" i="6"/>
  <c r="U3989" i="6"/>
  <c r="T3989" i="6"/>
  <c r="U4261" i="6" l="1"/>
  <c r="U4260" i="6"/>
  <c r="Z3881" i="6" l="1"/>
  <c r="T3881" i="6"/>
  <c r="U3881" i="6" s="1"/>
  <c r="T3880" i="6" l="1"/>
  <c r="U3880" i="6" s="1"/>
  <c r="T3879" i="6"/>
  <c r="U3879" i="6" s="1"/>
  <c r="T3878" i="6"/>
  <c r="U3878" i="6" s="1"/>
  <c r="T3877" i="6"/>
  <c r="U3877" i="6" s="1"/>
  <c r="T3876" i="6"/>
  <c r="U3876" i="6" s="1"/>
  <c r="T3875" i="6"/>
  <c r="U3875" i="6" s="1"/>
  <c r="T3874" i="6"/>
  <c r="U3874" i="6" s="1"/>
  <c r="T3873" i="6"/>
  <c r="U3873" i="6" s="1"/>
  <c r="T3872" i="6"/>
  <c r="U3872" i="6" s="1"/>
  <c r="U3988" i="6" l="1"/>
  <c r="U3987" i="6"/>
  <c r="U4259" i="6" l="1"/>
  <c r="T3871" i="6"/>
  <c r="U3871" i="6" s="1"/>
  <c r="T3870" i="6"/>
  <c r="U3870" i="6" s="1"/>
  <c r="T3869" i="6"/>
  <c r="U3869" i="6" s="1"/>
  <c r="R3724" i="6"/>
  <c r="T3724" i="6"/>
  <c r="U3724" i="6" s="1"/>
  <c r="R935" i="6"/>
  <c r="T935" i="6" s="1"/>
  <c r="U935" i="6" s="1"/>
  <c r="R3739" i="6"/>
  <c r="T3739" i="6" s="1"/>
  <c r="U3739" i="6" s="1"/>
  <c r="R3732" i="6"/>
  <c r="T3732" i="6"/>
  <c r="U3732" i="6" s="1"/>
  <c r="R85" i="6"/>
  <c r="T4132" i="6" l="1"/>
  <c r="Z4132" i="6"/>
  <c r="T4072" i="6" l="1"/>
  <c r="U4072" i="6"/>
  <c r="U4132" i="6" l="1"/>
  <c r="T3868" i="6" l="1"/>
  <c r="U3868" i="6" s="1"/>
  <c r="T2333" i="6" l="1"/>
  <c r="U2333" i="6" s="1"/>
  <c r="T2137" i="6"/>
  <c r="U2137" i="6" s="1"/>
  <c r="T2131" i="6"/>
  <c r="T2129" i="6"/>
  <c r="U2129" i="6" s="1"/>
  <c r="T2127" i="6"/>
  <c r="U2127" i="6" s="1"/>
  <c r="R2467" i="6" l="1"/>
  <c r="T2467" i="6" s="1"/>
  <c r="U2467" i="6" s="1"/>
  <c r="R2043" i="6"/>
  <c r="T2043" i="6"/>
  <c r="U2043" i="6" s="1"/>
  <c r="R2052" i="6"/>
  <c r="T2052" i="6" s="1"/>
  <c r="U2052" i="6" s="1"/>
  <c r="R2499" i="6"/>
  <c r="T2499" i="6"/>
  <c r="U2499" i="6" s="1"/>
  <c r="R3704" i="6"/>
  <c r="T3704" i="6" s="1"/>
  <c r="U3704" i="6" s="1"/>
  <c r="R2382" i="6"/>
  <c r="T2382" i="6" s="1"/>
  <c r="U3867" i="6"/>
  <c r="U2382" i="6" l="1"/>
  <c r="R3436" i="6" l="1"/>
  <c r="T3436" i="6" s="1"/>
  <c r="U3436" i="6" s="1"/>
  <c r="T3866" i="6" l="1"/>
  <c r="U3866" i="6" s="1"/>
  <c r="T3762" i="6" l="1"/>
  <c r="U3762" i="6" s="1"/>
  <c r="T3760" i="6"/>
  <c r="U3760" i="6" s="1"/>
  <c r="T3758" i="6"/>
  <c r="U3758" i="6" s="1"/>
  <c r="U3759" i="6"/>
  <c r="T4258" i="6" l="1"/>
  <c r="U4258" i="6" s="1"/>
  <c r="T3986" i="6"/>
  <c r="U3986" i="6" s="1"/>
  <c r="T3985" i="6"/>
  <c r="U3985" i="6" s="1"/>
  <c r="T3984" i="6"/>
  <c r="U3984" i="6" s="1"/>
  <c r="T3865" i="6"/>
  <c r="U3865" i="6" s="1"/>
  <c r="T3864" i="6"/>
  <c r="U3864" i="6" s="1"/>
  <c r="T3863" i="6"/>
  <c r="U3863" i="6" s="1"/>
  <c r="T3862" i="6"/>
  <c r="U3862" i="6" s="1"/>
  <c r="T3861" i="6"/>
  <c r="U3861" i="6" s="1"/>
  <c r="T3860" i="6"/>
  <c r="U3860" i="6" s="1"/>
  <c r="T3859" i="6"/>
  <c r="U3859" i="6" s="1"/>
  <c r="T3858" i="6"/>
  <c r="U3858" i="6" s="1"/>
  <c r="T3857" i="6"/>
  <c r="U3857" i="6" s="1"/>
  <c r="T3856" i="6"/>
  <c r="U3856" i="6" s="1"/>
  <c r="T3855" i="6"/>
  <c r="U3855" i="6" s="1"/>
  <c r="T3854" i="6"/>
  <c r="U3854" i="6" s="1"/>
  <c r="T3853" i="6"/>
  <c r="U3853" i="6" s="1"/>
  <c r="T2000" i="6" l="1"/>
  <c r="U2000" i="6" s="1"/>
  <c r="U1999" i="6"/>
  <c r="T1993" i="6"/>
  <c r="U1993" i="6" s="1"/>
  <c r="U1992" i="6"/>
  <c r="U1284" i="6"/>
  <c r="T3851" i="6" l="1"/>
  <c r="U3851" i="6" s="1"/>
  <c r="T3850" i="6" l="1"/>
  <c r="U3850" i="6" s="1"/>
  <c r="T3849" i="6"/>
  <c r="U3849" i="6" s="1"/>
  <c r="T3848" i="6"/>
  <c r="U3848" i="6" s="1"/>
  <c r="T3847" i="6"/>
  <c r="U3847" i="6" s="1"/>
  <c r="T3846" i="6"/>
  <c r="U3846" i="6" s="1"/>
  <c r="T3845" i="6"/>
  <c r="U3845" i="6" s="1"/>
  <c r="U4168" i="6"/>
  <c r="U4167" i="6"/>
  <c r="R2022" i="6"/>
  <c r="T2022" i="6" s="1"/>
  <c r="U2022" i="6" s="1"/>
  <c r="U2021" i="6"/>
  <c r="R2021" i="6"/>
  <c r="T2020" i="6"/>
  <c r="U2020" i="6" s="1"/>
  <c r="U2019" i="6"/>
  <c r="T2018" i="6"/>
  <c r="U2018" i="6" s="1"/>
  <c r="U2017" i="6"/>
  <c r="R3426" i="6"/>
  <c r="T3426" i="6" s="1"/>
  <c r="U3426" i="6" s="1"/>
  <c r="U3425" i="6"/>
  <c r="R3425" i="6"/>
  <c r="U4257" i="6" l="1"/>
  <c r="T3844" i="6"/>
  <c r="U3844" i="6" s="1"/>
  <c r="T3843" i="6"/>
  <c r="U3843" i="6" s="1"/>
  <c r="T3842" i="6"/>
  <c r="U3842" i="6" s="1"/>
  <c r="T3841" i="6"/>
  <c r="U3841" i="6" s="1"/>
  <c r="T3840" i="6"/>
  <c r="U3840" i="6" s="1"/>
  <c r="T3839" i="6"/>
  <c r="U3839" i="6" s="1"/>
  <c r="U4256" i="6"/>
  <c r="R2388" i="6" l="1"/>
  <c r="T2388" i="6" s="1"/>
  <c r="U93" i="6"/>
  <c r="R93" i="6"/>
  <c r="R84" i="6"/>
  <c r="R61" i="6"/>
  <c r="U80" i="6"/>
  <c r="R80" i="6"/>
  <c r="U62" i="6"/>
  <c r="R62" i="6"/>
  <c r="T3828" i="6"/>
  <c r="U3828" i="6" s="1"/>
  <c r="T3838" i="6"/>
  <c r="U3838" i="6" s="1"/>
  <c r="T3837" i="6"/>
  <c r="U3837" i="6" s="1"/>
  <c r="R68" i="6"/>
  <c r="R69" i="6"/>
  <c r="T76" i="6"/>
  <c r="U76" i="6" s="1"/>
  <c r="R96" i="6"/>
  <c r="U96" i="6"/>
  <c r="R97" i="6"/>
  <c r="U97" i="6"/>
  <c r="R102" i="6"/>
  <c r="U102" i="6"/>
  <c r="R103" i="6"/>
  <c r="U103" i="6"/>
  <c r="U1995" i="6"/>
  <c r="T1996" i="6"/>
  <c r="U1996" i="6" s="1"/>
  <c r="U3660" i="6"/>
  <c r="T3661" i="6"/>
  <c r="U3661" i="6" s="1"/>
  <c r="T3826" i="6"/>
  <c r="U3826" i="6" s="1"/>
  <c r="T3827" i="6"/>
  <c r="U3827" i="6" s="1"/>
  <c r="T3829" i="6"/>
  <c r="U3829" i="6" s="1"/>
  <c r="T3830" i="6"/>
  <c r="U3830" i="6" s="1"/>
  <c r="T3831" i="6"/>
  <c r="U3831" i="6" s="1"/>
  <c r="T3832" i="6"/>
  <c r="U3832" i="6" s="1"/>
  <c r="T3833" i="6"/>
  <c r="U3833" i="6" s="1"/>
  <c r="T3834" i="6"/>
  <c r="U3834" i="6" s="1"/>
  <c r="T3835" i="6"/>
  <c r="U3835" i="6" s="1"/>
  <c r="T3836" i="6"/>
  <c r="U3836" i="6" s="1"/>
  <c r="U3981" i="6"/>
  <c r="U3982" i="6"/>
  <c r="U4255" i="6"/>
  <c r="U4128" i="6"/>
  <c r="U4129" i="6"/>
  <c r="T3825" i="6" l="1"/>
  <c r="U3825" i="6" s="1"/>
  <c r="U3983" i="6"/>
  <c r="U4252" i="6"/>
  <c r="U4253" i="6"/>
  <c r="U4254" i="6"/>
  <c r="R2580" i="6" l="1"/>
  <c r="T2580" i="6" s="1"/>
  <c r="U2580" i="6" s="1"/>
  <c r="R2577" i="6"/>
  <c r="T2577" i="6" s="1"/>
  <c r="U2577" i="6" s="1"/>
  <c r="R2574" i="6"/>
  <c r="T2574" i="6" s="1"/>
  <c r="U2574" i="6" s="1"/>
  <c r="R2570" i="6"/>
  <c r="T2570" i="6" s="1"/>
  <c r="U2570" i="6" s="1"/>
  <c r="T3684" i="6" l="1"/>
  <c r="U3684" i="6" s="1"/>
  <c r="T3682" i="6"/>
  <c r="U3682" i="6" s="1"/>
  <c r="R107" i="6"/>
  <c r="T107" i="6" s="1"/>
  <c r="T3767" i="6"/>
  <c r="U3767" i="6" s="1"/>
  <c r="T3764" i="6"/>
  <c r="U3764" i="6" s="1"/>
  <c r="T3824" i="6"/>
  <c r="U3824" i="6" s="1"/>
  <c r="T3669" i="6"/>
  <c r="U3669" i="6" s="1"/>
  <c r="T3667" i="6"/>
  <c r="U3667" i="6" s="1"/>
  <c r="T3665" i="6"/>
  <c r="U3665" i="6" s="1"/>
  <c r="T3663" i="6"/>
  <c r="U3663" i="6" s="1"/>
  <c r="T3118" i="6"/>
  <c r="U3118" i="6" s="1"/>
  <c r="U3980" i="6"/>
  <c r="T3823" i="6"/>
  <c r="U3823" i="6" s="1"/>
  <c r="T3822" i="6"/>
  <c r="U3822" i="6" s="1"/>
  <c r="U107" i="6" l="1"/>
  <c r="T3821" i="6"/>
  <c r="U3821" i="6" s="1"/>
  <c r="T3820" i="6"/>
  <c r="U3820" i="6" s="1"/>
  <c r="T3819" i="6"/>
  <c r="U3819" i="6" s="1"/>
  <c r="T3818" i="6"/>
  <c r="U3818" i="6" s="1"/>
  <c r="T3817" i="6"/>
  <c r="U3817" i="6" s="1"/>
  <c r="T3816" i="6"/>
  <c r="U3816" i="6" s="1"/>
  <c r="T3815" i="6"/>
  <c r="U3815" i="6" s="1"/>
  <c r="T3814" i="6"/>
  <c r="U3814" i="6" s="1"/>
  <c r="T3813" i="6"/>
  <c r="U3813" i="6" s="1"/>
  <c r="T3812" i="6"/>
  <c r="U3812" i="6" s="1"/>
  <c r="T3811" i="6"/>
  <c r="U3811" i="6" s="1"/>
  <c r="U3979" i="6"/>
  <c r="T3958" i="6"/>
  <c r="U3958" i="6" s="1"/>
  <c r="T3810" i="6"/>
  <c r="U3810" i="6" s="1"/>
  <c r="T3809" i="6"/>
  <c r="U3809" i="6" s="1"/>
  <c r="T3808" i="6"/>
  <c r="U3808" i="6" s="1"/>
  <c r="T3807" i="6"/>
  <c r="U3807" i="6" s="1"/>
  <c r="T3806" i="6"/>
  <c r="U3806" i="6" s="1"/>
  <c r="T3805" i="6"/>
  <c r="U3805" i="6" s="1"/>
  <c r="T3804" i="6"/>
  <c r="U3804" i="6" s="1"/>
  <c r="T3803" i="6"/>
  <c r="U3803" i="6" s="1"/>
  <c r="T3802" i="6"/>
  <c r="U3802" i="6" s="1"/>
  <c r="T3801" i="6"/>
  <c r="U3801" i="6" s="1"/>
  <c r="T3800" i="6"/>
  <c r="U3800" i="6" s="1"/>
  <c r="T3799" i="6"/>
  <c r="U3799" i="6" s="1"/>
  <c r="T3798" i="6"/>
  <c r="U3798" i="6" s="1"/>
  <c r="T3797" i="6"/>
  <c r="U3797" i="6" s="1"/>
  <c r="U3978" i="6"/>
  <c r="R142" i="6"/>
  <c r="T142" i="6" s="1"/>
  <c r="U142" i="6" s="1"/>
  <c r="T3796" i="6"/>
  <c r="U3796" i="6" s="1"/>
  <c r="T3795" i="6"/>
  <c r="U3795" i="6" s="1"/>
  <c r="T3794" i="6"/>
  <c r="U3794" i="6" s="1"/>
  <c r="U3977" i="6"/>
  <c r="U3976" i="6"/>
  <c r="U3975" i="6"/>
  <c r="U3974" i="6"/>
  <c r="U3973" i="6"/>
  <c r="U3972" i="6"/>
  <c r="U3971" i="6"/>
  <c r="U3970" i="6"/>
  <c r="U3969" i="6"/>
  <c r="U4249" i="6"/>
  <c r="U4251" i="6"/>
  <c r="U3967" i="6"/>
  <c r="U3968" i="6"/>
  <c r="U4250" i="6"/>
  <c r="T3652" i="6"/>
  <c r="U3652" i="6" s="1"/>
  <c r="R2034" i="6"/>
  <c r="T2034" i="6" s="1"/>
  <c r="U2034" i="6" s="1"/>
  <c r="T3791" i="6"/>
  <c r="U3791" i="6" s="1"/>
  <c r="T3790" i="6"/>
  <c r="U3790" i="6" s="1"/>
  <c r="T3789" i="6"/>
  <c r="U3789" i="6" s="1"/>
  <c r="T3788" i="6"/>
  <c r="U3788" i="6" s="1"/>
  <c r="T3787" i="6"/>
  <c r="U3787" i="6" s="1"/>
  <c r="T3786" i="6"/>
  <c r="U3786" i="6" s="1"/>
  <c r="T3785" i="6"/>
  <c r="U3785" i="6" s="1"/>
  <c r="T3784" i="6"/>
  <c r="U3784" i="6" s="1"/>
  <c r="T3783" i="6"/>
  <c r="U3783" i="6" s="1"/>
  <c r="T3782" i="6"/>
  <c r="U3782" i="6" s="1"/>
  <c r="R2109" i="6"/>
  <c r="T2109" i="6" s="1"/>
  <c r="U2109" i="6" s="1"/>
  <c r="R2107" i="6"/>
  <c r="T2107" i="6" s="1"/>
  <c r="U2107" i="6" s="1"/>
  <c r="R2105" i="6"/>
  <c r="T2105" i="6" s="1"/>
  <c r="U2105" i="6" s="1"/>
  <c r="R2103" i="6"/>
  <c r="T2103" i="6" s="1"/>
  <c r="U2103" i="6" s="1"/>
  <c r="R2101" i="6"/>
  <c r="T2101" i="6" s="1"/>
  <c r="U2101" i="6" s="1"/>
  <c r="R2099" i="6"/>
  <c r="T2099" i="6" s="1"/>
  <c r="U2099" i="6" s="1"/>
  <c r="R2097" i="6"/>
  <c r="T2097" i="6" s="1"/>
  <c r="U2097" i="6" s="1"/>
  <c r="R2095" i="6"/>
  <c r="T2095" i="6" s="1"/>
  <c r="U2095" i="6" s="1"/>
  <c r="R2093" i="6"/>
  <c r="T2093" i="6" s="1"/>
  <c r="U2093" i="6" s="1"/>
  <c r="T2091" i="6"/>
  <c r="U2091" i="6" s="1"/>
  <c r="R3308" i="6"/>
  <c r="T3308" i="6" s="1"/>
  <c r="U3308" i="6" s="1"/>
  <c r="R3312" i="6"/>
  <c r="T3312" i="6" s="1"/>
  <c r="U3312" i="6" s="1"/>
  <c r="R3304" i="6"/>
  <c r="T3304" i="6" s="1"/>
  <c r="U3304" i="6" s="1"/>
  <c r="R3285" i="6"/>
  <c r="T3285" i="6" s="1"/>
  <c r="U3285" i="6" s="1"/>
  <c r="R2708" i="6"/>
  <c r="T2708" i="6" s="1"/>
  <c r="U2708" i="6" s="1"/>
  <c r="R2400" i="6"/>
  <c r="T2400" i="6" s="1"/>
  <c r="U2400" i="6" s="1"/>
  <c r="R2426" i="6"/>
  <c r="T2089" i="6"/>
  <c r="U2089" i="6" s="1"/>
  <c r="T3793" i="6"/>
  <c r="U3793" i="6" s="1"/>
  <c r="T3792" i="6"/>
  <c r="U3792" i="6" s="1"/>
  <c r="T3656" i="6"/>
  <c r="U3656" i="6" s="1"/>
  <c r="T3654" i="6"/>
  <c r="U3654" i="6" s="1"/>
  <c r="T3781" i="6"/>
  <c r="U3781" i="6" s="1"/>
  <c r="T3780" i="6"/>
  <c r="U3780" i="6" s="1"/>
  <c r="T3779" i="6"/>
  <c r="U3779" i="6" s="1"/>
  <c r="T3778" i="6"/>
  <c r="U3778" i="6" s="1"/>
  <c r="T3777" i="6"/>
  <c r="U3777" i="6" s="1"/>
  <c r="T3776" i="6"/>
  <c r="U3776" i="6" s="1"/>
  <c r="T3775" i="6"/>
  <c r="U3775" i="6" s="1"/>
  <c r="T3774" i="6"/>
  <c r="U3774" i="6" s="1"/>
  <c r="T3773" i="6" l="1"/>
  <c r="U3773" i="6" s="1"/>
  <c r="T3772" i="6"/>
  <c r="U3772" i="6" s="1"/>
  <c r="T3771" i="6"/>
  <c r="U3771" i="6" s="1"/>
  <c r="T3770" i="6"/>
  <c r="U3770" i="6" s="1"/>
  <c r="T3769" i="6"/>
  <c r="U3769" i="6" s="1"/>
  <c r="T3768" i="6"/>
  <c r="U3768" i="6" s="1"/>
  <c r="T4226" i="6"/>
  <c r="U4226" i="6" s="1"/>
  <c r="U3766" i="6"/>
  <c r="U3765" i="6"/>
  <c r="U3763" i="6"/>
  <c r="R2486" i="6"/>
  <c r="T2486" i="6" s="1"/>
  <c r="U2486" i="6" s="1"/>
  <c r="R2344" i="6"/>
  <c r="T2344" i="6" s="1"/>
  <c r="U2344" i="6" s="1"/>
  <c r="R2502" i="6"/>
  <c r="T2502" i="6" s="1"/>
  <c r="U2502" i="6" s="1"/>
  <c r="R3637" i="6"/>
  <c r="T3637" i="6" s="1"/>
  <c r="U3637" i="6" s="1"/>
  <c r="R2498" i="6"/>
  <c r="U2498" i="6" s="1"/>
  <c r="R2466" i="6"/>
  <c r="U2466" i="6" s="1"/>
  <c r="R2439" i="6"/>
  <c r="T2439" i="6" s="1"/>
  <c r="U2439" i="6" s="1"/>
  <c r="R2470" i="6"/>
  <c r="T2470" i="6" s="1"/>
  <c r="U2470" i="6" s="1"/>
  <c r="R2533" i="6"/>
  <c r="T2533" i="6" s="1"/>
  <c r="U2533" i="6" s="1"/>
  <c r="R2072" i="6"/>
  <c r="T2072" i="6" s="1"/>
  <c r="U2072" i="6" s="1"/>
  <c r="R2084" i="6"/>
  <c r="T2084" i="6" s="1"/>
  <c r="U2084" i="6" s="1"/>
  <c r="T2426" i="6"/>
  <c r="U2426" i="6" s="1"/>
  <c r="R2336" i="6"/>
  <c r="T2336" i="6" s="1"/>
  <c r="U2336" i="6" s="1"/>
  <c r="R2393" i="6"/>
  <c r="T2393" i="6" s="1"/>
  <c r="U2393" i="6" s="1"/>
  <c r="R2461" i="6"/>
  <c r="T2461" i="6" s="1"/>
  <c r="U2461" i="6" s="1"/>
  <c r="T2458" i="6"/>
  <c r="R2433" i="6"/>
  <c r="T2433" i="6" s="1"/>
  <c r="U2433" i="6" s="1"/>
  <c r="R2420" i="6"/>
  <c r="T2420" i="6" s="1"/>
  <c r="U2420" i="6" s="1"/>
  <c r="U2388" i="6"/>
  <c r="R2381" i="6"/>
  <c r="R3703" i="6"/>
  <c r="U3703" i="6" s="1"/>
  <c r="T2505" i="6"/>
  <c r="R2385" i="6"/>
  <c r="T2385" i="6" s="1"/>
  <c r="U2385" i="6" s="1"/>
  <c r="U2505" i="6" l="1"/>
  <c r="U3954" i="6"/>
  <c r="T3672" i="6"/>
  <c r="U3672" i="6" s="1"/>
  <c r="T4216" i="6"/>
  <c r="U4216" i="6" s="1"/>
  <c r="T4078" i="6"/>
  <c r="U4078" i="6" s="1"/>
  <c r="U4172" i="6"/>
  <c r="T194" i="6"/>
  <c r="U194" i="6" s="1"/>
  <c r="T3674" i="6"/>
  <c r="U3761" i="6"/>
  <c r="U3757" i="6" l="1"/>
  <c r="T3756" i="6"/>
  <c r="U3756" i="6" s="1"/>
  <c r="T3754" i="6"/>
  <c r="U3754" i="6" s="1"/>
  <c r="T3753" i="6"/>
  <c r="U3753" i="6" s="1"/>
  <c r="T3752" i="6"/>
  <c r="U3752" i="6" s="1"/>
  <c r="T3751" i="6"/>
  <c r="U3751" i="6" s="1"/>
  <c r="T3755" i="6" l="1"/>
  <c r="U3755" i="6" s="1"/>
  <c r="T4024" i="6" l="1"/>
  <c r="S3601" i="6" l="1"/>
  <c r="T3601" i="6" s="1"/>
  <c r="U3601" i="6" s="1"/>
  <c r="R3151" i="6"/>
  <c r="T3151" i="6" s="1"/>
  <c r="U3151" i="6" s="1"/>
  <c r="U3966" i="6"/>
  <c r="T4017" i="6"/>
  <c r="U4017" i="6" s="1"/>
  <c r="U4024" i="6"/>
  <c r="U3965" i="6"/>
  <c r="T3750" i="6"/>
  <c r="U3750" i="6" s="1"/>
  <c r="T3749" i="6"/>
  <c r="U3749" i="6" s="1"/>
  <c r="T3748" i="6"/>
  <c r="U3748" i="6" s="1"/>
  <c r="T3747" i="6"/>
  <c r="U3747" i="6" s="1"/>
  <c r="T3746" i="6"/>
  <c r="U3746" i="6" s="1"/>
  <c r="T3745" i="6"/>
  <c r="U3745" i="6" s="1"/>
  <c r="T3744" i="6"/>
  <c r="U3744" i="6" s="1"/>
  <c r="T3743" i="6"/>
  <c r="U3743" i="6" s="1"/>
  <c r="T3742" i="6"/>
  <c r="U3742" i="6" s="1"/>
  <c r="T3741" i="6"/>
  <c r="U3741" i="6" s="1"/>
  <c r="T3740" i="6"/>
  <c r="U3740" i="6" s="1"/>
  <c r="U3738" i="6"/>
  <c r="T3737" i="6"/>
  <c r="U3737" i="6" s="1"/>
  <c r="T3735" i="6"/>
  <c r="U3735" i="6" s="1"/>
  <c r="T3734" i="6"/>
  <c r="U3734" i="6" s="1"/>
  <c r="T3733" i="6"/>
  <c r="U3733" i="6" s="1"/>
  <c r="T3728" i="6"/>
  <c r="U3728" i="6" s="1"/>
  <c r="T3722" i="6" l="1"/>
  <c r="U3722" i="6" s="1"/>
  <c r="T3736" i="6"/>
  <c r="U3736" i="6" s="1"/>
  <c r="U3731" i="6"/>
  <c r="T3730" i="6"/>
  <c r="U3730" i="6" s="1"/>
  <c r="T3729" i="6"/>
  <c r="U3729" i="6" s="1"/>
  <c r="T3727" i="6"/>
  <c r="U3727" i="6" s="1"/>
  <c r="T3726" i="6"/>
  <c r="U3726" i="6" s="1"/>
  <c r="T3725" i="6"/>
  <c r="U3725" i="6" s="1"/>
  <c r="U3723" i="6"/>
  <c r="R3277" i="6"/>
  <c r="T3277" i="6" s="1"/>
  <c r="U3277" i="6" s="1"/>
  <c r="R3351" i="6"/>
  <c r="T3351" i="6" s="1"/>
  <c r="U3351" i="6" s="1"/>
  <c r="R3585" i="6"/>
  <c r="T3585" i="6" s="1"/>
  <c r="U3585" i="6" s="1"/>
  <c r="R3582" i="6"/>
  <c r="T3582" i="6" s="1"/>
  <c r="U3582" i="6" s="1"/>
  <c r="R3307" i="6"/>
  <c r="U3307" i="6" s="1"/>
  <c r="R3587" i="6"/>
  <c r="T3587" i="6" s="1"/>
  <c r="U3587" i="6" s="1"/>
  <c r="R3593" i="6"/>
  <c r="T3593" i="6" s="1"/>
  <c r="U3593" i="6" s="1"/>
  <c r="T3322" i="6"/>
  <c r="R3284" i="6"/>
  <c r="U3284" i="6" s="1"/>
  <c r="R3272" i="6"/>
  <c r="T3272" i="6" s="1"/>
  <c r="U3272" i="6" s="1"/>
  <c r="R3079" i="6"/>
  <c r="T3079" i="6" s="1"/>
  <c r="U3079" i="6" s="1"/>
  <c r="U3080" i="6"/>
  <c r="R3063" i="6"/>
  <c r="T3063" i="6" s="1"/>
  <c r="U3063" i="6" s="1"/>
  <c r="U3064" i="6"/>
  <c r="R3039" i="6"/>
  <c r="T3039" i="6" s="1"/>
  <c r="U3039" i="6" s="1"/>
  <c r="R3033" i="6"/>
  <c r="T3033" i="6" s="1"/>
  <c r="U3033" i="6" s="1"/>
  <c r="R1950" i="6"/>
  <c r="T1950" i="6" s="1"/>
  <c r="U1950" i="6" s="1"/>
  <c r="R2990" i="6"/>
  <c r="T2990" i="6" s="1"/>
  <c r="U2990" i="6" s="1"/>
  <c r="R2989" i="6"/>
  <c r="R3589" i="6"/>
  <c r="T3589" i="6" s="1"/>
  <c r="U3589" i="6" s="1"/>
  <c r="R2380" i="6" l="1"/>
  <c r="U2380" i="6" s="1"/>
  <c r="R2304" i="6"/>
  <c r="T2304" i="6" s="1"/>
  <c r="U2304" i="6" s="1"/>
  <c r="R2071" i="6"/>
  <c r="U2071" i="6" s="1"/>
  <c r="T3658" i="6"/>
  <c r="U3658" i="6" s="1"/>
  <c r="T858" i="6"/>
  <c r="U858" i="6" s="1"/>
  <c r="T855" i="6"/>
  <c r="U855" i="6" s="1"/>
  <c r="T852" i="6"/>
  <c r="U852" i="6" s="1"/>
  <c r="T849" i="6"/>
  <c r="U849" i="6" s="1"/>
  <c r="T846" i="6"/>
  <c r="U846" i="6" s="1"/>
  <c r="T843" i="6"/>
  <c r="U843" i="6" s="1"/>
  <c r="T840" i="6"/>
  <c r="U840" i="6" s="1"/>
  <c r="T837" i="6"/>
  <c r="U837" i="6" s="1"/>
  <c r="T834" i="6"/>
  <c r="U834" i="6" s="1"/>
  <c r="T831" i="6"/>
  <c r="U831" i="6" s="1"/>
  <c r="T3721" i="6"/>
  <c r="U3721" i="6" s="1"/>
  <c r="T3720" i="6"/>
  <c r="U3720" i="6" s="1"/>
  <c r="T3719" i="6"/>
  <c r="U3719" i="6" s="1"/>
  <c r="T3718" i="6"/>
  <c r="U3718" i="6" s="1"/>
  <c r="T3717" i="6"/>
  <c r="U3717" i="6" s="1"/>
  <c r="T3716" i="6"/>
  <c r="U3716" i="6" s="1"/>
  <c r="T3715" i="6"/>
  <c r="U3715" i="6" s="1"/>
  <c r="T3714" i="6"/>
  <c r="U3714" i="6" s="1"/>
  <c r="T3713" i="6"/>
  <c r="U3713" i="6" s="1"/>
  <c r="T3712" i="6"/>
  <c r="U3712" i="6" s="1"/>
  <c r="T3711" i="6"/>
  <c r="U3711" i="6" s="1"/>
  <c r="T3710" i="6"/>
  <c r="U3710" i="6" s="1"/>
  <c r="U3964" i="6"/>
  <c r="T3709" i="6"/>
  <c r="U3709" i="6" s="1"/>
  <c r="T3708" i="6"/>
  <c r="U3708" i="6" s="1"/>
  <c r="T3707" i="6"/>
  <c r="U3707" i="6" s="1"/>
  <c r="T3706" i="6"/>
  <c r="U3706" i="6" s="1"/>
  <c r="T3705" i="6"/>
  <c r="U3705" i="6" s="1"/>
  <c r="T3603" i="6"/>
  <c r="U3603" i="6" s="1"/>
  <c r="U3150" i="6"/>
  <c r="T3143" i="6"/>
  <c r="R3076" i="6"/>
  <c r="T3076" i="6" s="1"/>
  <c r="U3076" i="6" s="1"/>
  <c r="R3046" i="6"/>
  <c r="T3046" i="6" s="1"/>
  <c r="U3046" i="6" s="1"/>
  <c r="R3030" i="6"/>
  <c r="T3030" i="6" s="1"/>
  <c r="U3030" i="6" s="1"/>
  <c r="R3038" i="6"/>
  <c r="U3038" i="6" s="1"/>
  <c r="U2989" i="6"/>
  <c r="R2438" i="6"/>
  <c r="U2438" i="6" s="1"/>
  <c r="R2432" i="6"/>
  <c r="U2432" i="6" s="1"/>
  <c r="R2083" i="6"/>
  <c r="U2083" i="6" s="1"/>
  <c r="R2423" i="6"/>
  <c r="R3634" i="6"/>
  <c r="T3634" i="6" s="1"/>
  <c r="U3634" i="6" s="1"/>
  <c r="R2445" i="6"/>
  <c r="T2445" i="6" s="1"/>
  <c r="U2445" i="6" s="1"/>
  <c r="R2376" i="6"/>
  <c r="T2376" i="6" s="1"/>
  <c r="U2376" i="6" s="1"/>
  <c r="U3702" i="6"/>
  <c r="R2222" i="6"/>
  <c r="T2222" i="6" s="1"/>
  <c r="U2222" i="6" s="1"/>
  <c r="R2076" i="6"/>
  <c r="T2076" i="6" s="1"/>
  <c r="U2076" i="6" s="1"/>
  <c r="R2523" i="6"/>
  <c r="T2523" i="6" s="1"/>
  <c r="U2523" i="6" s="1"/>
  <c r="R2194" i="6"/>
  <c r="T2194" i="6" s="1"/>
  <c r="U2194" i="6" s="1"/>
  <c r="R2179" i="6"/>
  <c r="T2179" i="6" s="1"/>
  <c r="U2179" i="6" s="1"/>
  <c r="R2343" i="6"/>
  <c r="U2343" i="6" s="1"/>
  <c r="R2349" i="6"/>
  <c r="T2349" i="6" s="1"/>
  <c r="U2349" i="6" s="1"/>
  <c r="R2354" i="6"/>
  <c r="T2354" i="6" s="1"/>
  <c r="U2354" i="6" s="1"/>
  <c r="R3435" i="6"/>
  <c r="U3435" i="6" s="1"/>
  <c r="R2216" i="6"/>
  <c r="T2216" i="6" s="1"/>
  <c r="U2216" i="6" s="1"/>
  <c r="R2289" i="6"/>
  <c r="T2289" i="6" s="1"/>
  <c r="U2289" i="6" s="1"/>
  <c r="T2423" i="6"/>
  <c r="U2423" i="6" s="1"/>
  <c r="R2204" i="6"/>
  <c r="T2204" i="6" s="1"/>
  <c r="U2204" i="6" s="1"/>
  <c r="U4247" i="6"/>
  <c r="U4248" i="6"/>
  <c r="T4233" i="6"/>
  <c r="U4233" i="6" s="1"/>
  <c r="R3448" i="6"/>
  <c r="T3448" i="6" s="1"/>
  <c r="U3448" i="6" s="1"/>
  <c r="T3688" i="6"/>
  <c r="U3688" i="6" s="1"/>
  <c r="T3689" i="6"/>
  <c r="U3689" i="6" s="1"/>
  <c r="T3690" i="6"/>
  <c r="U3690" i="6" s="1"/>
  <c r="T3691" i="6"/>
  <c r="U3691" i="6" s="1"/>
  <c r="T3692" i="6"/>
  <c r="U3692" i="6" s="1"/>
  <c r="T3693" i="6"/>
  <c r="U3693" i="6" s="1"/>
  <c r="T3694" i="6"/>
  <c r="U3694" i="6" s="1"/>
  <c r="T3695" i="6"/>
  <c r="U3695" i="6" s="1"/>
  <c r="T3696" i="6"/>
  <c r="U3696" i="6" s="1"/>
  <c r="T3697" i="6"/>
  <c r="U3697" i="6" s="1"/>
  <c r="T3698" i="6"/>
  <c r="U3698" i="6" s="1"/>
  <c r="T3699" i="6"/>
  <c r="U3699" i="6" s="1"/>
  <c r="T3700" i="6"/>
  <c r="U3700" i="6" s="1"/>
  <c r="T3701" i="6"/>
  <c r="U3701" i="6" s="1"/>
  <c r="T3687" i="6"/>
  <c r="U3687" i="6" s="1"/>
  <c r="U3963" i="6"/>
  <c r="T3686" i="6"/>
  <c r="U3686" i="6" s="1"/>
  <c r="R3303" i="6"/>
  <c r="U3303" i="6" s="1"/>
  <c r="R3300" i="6"/>
  <c r="T3300" i="6" s="1"/>
  <c r="U3300" i="6" s="1"/>
  <c r="R3297" i="6"/>
  <c r="T3297" i="6" s="1"/>
  <c r="U3297" i="6" s="1"/>
  <c r="R3294" i="6"/>
  <c r="T3294" i="6" s="1"/>
  <c r="U3294" i="6" s="1"/>
  <c r="R3311" i="6"/>
  <c r="U3311" i="6" s="1"/>
  <c r="R3283" i="6"/>
  <c r="U3283" i="6" s="1"/>
  <c r="R2112" i="6"/>
  <c r="T2112" i="6" s="1"/>
  <c r="U2112" i="6" s="1"/>
  <c r="T3685" i="6"/>
  <c r="U3685" i="6" s="1"/>
  <c r="R2075" i="6"/>
  <c r="U2075" i="6" s="1"/>
  <c r="R2082" i="6"/>
  <c r="U2082" i="6" s="1"/>
  <c r="R2465" i="6"/>
  <c r="U2465" i="6" s="1"/>
  <c r="R2372" i="6"/>
  <c r="T2372" i="6" s="1"/>
  <c r="U2372" i="6" s="1"/>
  <c r="R2431" i="6"/>
  <c r="U2431" i="6" s="1"/>
  <c r="R2437" i="6"/>
  <c r="U2437" i="6" s="1"/>
  <c r="U4245" i="6"/>
  <c r="U3681" i="6"/>
  <c r="U4246" i="6"/>
  <c r="U4244" i="6"/>
  <c r="U4243" i="6"/>
  <c r="T3680" i="6"/>
  <c r="U3680" i="6" s="1"/>
  <c r="T3679" i="6"/>
  <c r="U3679" i="6" s="1"/>
  <c r="T3678" i="6"/>
  <c r="U3678" i="6" s="1"/>
  <c r="T3677" i="6"/>
  <c r="U3677" i="6" s="1"/>
  <c r="T3676" i="6"/>
  <c r="U3676" i="6" s="1"/>
  <c r="T3675" i="6"/>
  <c r="U3675" i="6" s="1"/>
  <c r="T3134" i="6"/>
  <c r="U3134" i="6" s="1"/>
  <c r="U3674" i="6"/>
  <c r="T3673" i="6"/>
  <c r="U3673" i="6" s="1"/>
  <c r="T4014" i="6"/>
  <c r="U4014" i="6" s="1"/>
  <c r="R153" i="6"/>
  <c r="T153" i="6" s="1"/>
  <c r="U153" i="6" s="1"/>
  <c r="R155" i="6"/>
  <c r="T155" i="6" s="1"/>
  <c r="U155" i="6" s="1"/>
  <c r="R181" i="6"/>
  <c r="T181" i="6" s="1"/>
  <c r="U181" i="6" s="1"/>
  <c r="R174" i="6"/>
  <c r="T174" i="6" s="1"/>
  <c r="U174" i="6" s="1"/>
  <c r="R106" i="6"/>
  <c r="U106" i="6" s="1"/>
  <c r="U3282" i="6"/>
  <c r="T2171" i="6"/>
  <c r="U2171" i="6" s="1"/>
  <c r="T2168" i="6"/>
  <c r="U2168" i="6" s="1"/>
  <c r="T2165" i="6"/>
  <c r="U2165" i="6" s="1"/>
  <c r="U2164" i="6"/>
  <c r="T2162" i="6"/>
  <c r="U2162" i="6" s="1"/>
  <c r="T2160" i="6"/>
  <c r="U2160" i="6" s="1"/>
  <c r="R2158" i="6"/>
  <c r="T2158" i="6" s="1"/>
  <c r="U2158" i="6" s="1"/>
  <c r="R2156" i="6"/>
  <c r="T2156" i="6" s="1"/>
  <c r="U2156" i="6" s="1"/>
  <c r="R2154" i="6"/>
  <c r="T2154" i="6" s="1"/>
  <c r="U2154" i="6" s="1"/>
  <c r="R2152" i="6"/>
  <c r="T2152" i="6" s="1"/>
  <c r="U2152" i="6" s="1"/>
  <c r="R2150" i="6"/>
  <c r="T2150" i="6" s="1"/>
  <c r="U2150" i="6" s="1"/>
  <c r="R2148" i="6"/>
  <c r="T2148" i="6" s="1"/>
  <c r="U2148" i="6" s="1"/>
  <c r="R2146" i="6"/>
  <c r="T2146" i="6" s="1"/>
  <c r="U2146" i="6" s="1"/>
  <c r="R2144" i="6"/>
  <c r="T2144" i="6" s="1"/>
  <c r="U2144" i="6" s="1"/>
  <c r="R2016" i="6"/>
  <c r="T2016" i="6" s="1"/>
  <c r="U2016" i="6" s="1"/>
  <c r="R2014" i="6"/>
  <c r="T2014" i="6" s="1"/>
  <c r="U2014" i="6" s="1"/>
  <c r="R2012" i="6"/>
  <c r="T2012" i="6" s="1"/>
  <c r="U2012" i="6" s="1"/>
  <c r="R2010" i="6"/>
  <c r="T2010" i="6" s="1"/>
  <c r="U2010" i="6" s="1"/>
  <c r="R2008" i="6"/>
  <c r="T2008" i="6" s="1"/>
  <c r="U2008" i="6" s="1"/>
  <c r="R2006" i="6"/>
  <c r="T2006" i="6" s="1"/>
  <c r="U2006" i="6" s="1"/>
  <c r="R2004" i="6"/>
  <c r="T2004" i="6" s="1"/>
  <c r="U2004" i="6" s="1"/>
  <c r="R2002" i="6"/>
  <c r="T2002" i="6" s="1"/>
  <c r="U2002" i="6" s="1"/>
  <c r="U3683" i="6" l="1"/>
  <c r="U3143" i="6"/>
  <c r="U4242" i="6"/>
  <c r="U4016" i="6"/>
  <c r="T4012" i="6"/>
  <c r="U4012" i="6" s="1"/>
  <c r="U3671" i="6"/>
  <c r="U3670" i="6" l="1"/>
  <c r="U3668" i="6"/>
  <c r="U3666" i="6"/>
  <c r="U3664" i="6"/>
  <c r="U3662" i="6"/>
  <c r="T3659" i="6"/>
  <c r="U3659" i="6" s="1"/>
  <c r="T2562" i="6"/>
  <c r="U2562" i="6" s="1"/>
  <c r="T2561" i="6"/>
  <c r="T2560" i="6"/>
  <c r="U2560" i="6" s="1"/>
  <c r="T2558" i="6"/>
  <c r="U2558" i="6" s="1"/>
  <c r="T2566" i="6"/>
  <c r="U2566" i="6" s="1"/>
  <c r="T2564" i="6"/>
  <c r="U2564" i="6" s="1"/>
  <c r="T2552" i="6"/>
  <c r="U2552" i="6" s="1"/>
  <c r="T2554" i="6"/>
  <c r="U2554" i="6" s="1"/>
  <c r="T2550" i="6"/>
  <c r="U2550" i="6" s="1"/>
  <c r="T2548" i="6"/>
  <c r="U2548" i="6" s="1"/>
  <c r="T2546" i="6"/>
  <c r="U2546" i="6" s="1"/>
  <c r="U4206" i="6"/>
  <c r="T875" i="6"/>
  <c r="U875" i="6" s="1"/>
  <c r="T873" i="6"/>
  <c r="U873" i="6" s="1"/>
  <c r="T867" i="6"/>
  <c r="U867" i="6" s="1"/>
  <c r="T890" i="6"/>
  <c r="U890" i="6" s="1"/>
  <c r="T887" i="6"/>
  <c r="U887" i="6" s="1"/>
  <c r="T883" i="6"/>
  <c r="U883" i="6" s="1"/>
  <c r="U3657" i="6" l="1"/>
  <c r="U857" i="6"/>
  <c r="U854" i="6"/>
  <c r="U851" i="6"/>
  <c r="U848" i="6"/>
  <c r="U845" i="6"/>
  <c r="U842" i="6"/>
  <c r="U839" i="6"/>
  <c r="U836" i="6"/>
  <c r="U833" i="6"/>
  <c r="U830" i="6"/>
  <c r="U4241" i="6" l="1"/>
  <c r="R2392" i="6" l="1"/>
  <c r="U2392" i="6" s="1"/>
  <c r="R2959" i="6"/>
  <c r="T2959" i="6" s="1"/>
  <c r="U2959" i="6" s="1"/>
  <c r="R3649" i="6"/>
  <c r="T3649" i="6" s="1"/>
  <c r="U3649" i="6" s="1"/>
  <c r="R3647" i="6"/>
  <c r="T3647" i="6" s="1"/>
  <c r="U3647" i="6" s="1"/>
  <c r="R3644" i="6"/>
  <c r="R3645" i="6"/>
  <c r="T3645" i="6" s="1"/>
  <c r="U3645" i="6" s="1"/>
  <c r="T3423" i="6"/>
  <c r="U3423" i="6" s="1"/>
  <c r="T3420" i="6"/>
  <c r="U3420" i="6" s="1"/>
  <c r="T3417" i="6"/>
  <c r="U3417" i="6" s="1"/>
  <c r="T3414" i="6"/>
  <c r="U3414" i="6" s="1"/>
  <c r="T3411" i="6"/>
  <c r="U3411" i="6" s="1"/>
  <c r="T1262" i="6"/>
  <c r="U1262" i="6" s="1"/>
  <c r="T1259" i="6"/>
  <c r="U1259" i="6" s="1"/>
  <c r="T1256" i="6"/>
  <c r="U1256" i="6" s="1"/>
  <c r="T1253" i="6"/>
  <c r="U1253" i="6" s="1"/>
  <c r="T1249" i="6"/>
  <c r="U1249" i="6" s="1"/>
  <c r="T1246" i="6"/>
  <c r="U1246" i="6" s="1"/>
  <c r="T1239" i="6"/>
  <c r="U1239" i="6" s="1"/>
  <c r="T1235" i="6"/>
  <c r="U1235" i="6" s="1"/>
  <c r="T1231" i="6"/>
  <c r="U1231" i="6" s="1"/>
  <c r="T1223" i="6"/>
  <c r="U1223" i="6" s="1"/>
  <c r="T1220" i="6"/>
  <c r="U1220" i="6" s="1"/>
  <c r="T1207" i="6"/>
  <c r="U1207" i="6" s="1"/>
  <c r="T1204" i="6"/>
  <c r="U1204" i="6" s="1"/>
  <c r="T1200" i="6"/>
  <c r="U1200" i="6" s="1"/>
  <c r="R1189" i="6"/>
  <c r="T1189" i="6" s="1"/>
  <c r="U1189" i="6" s="1"/>
  <c r="T1185" i="6"/>
  <c r="U1185" i="6" s="1"/>
  <c r="T1181" i="6"/>
  <c r="U1181" i="6" s="1"/>
  <c r="T1178" i="6"/>
  <c r="U1178" i="6" s="1"/>
  <c r="T1174" i="6"/>
  <c r="U1174" i="6" s="1"/>
  <c r="R1170" i="6"/>
  <c r="T1170" i="6" s="1"/>
  <c r="U1170" i="6" s="1"/>
  <c r="R1166" i="6"/>
  <c r="T1166" i="6" s="1"/>
  <c r="U1166" i="6" s="1"/>
  <c r="T1162" i="6"/>
  <c r="U1162" i="6" s="1"/>
  <c r="T1158" i="6"/>
  <c r="U1158" i="6" s="1"/>
  <c r="T1154" i="6"/>
  <c r="U1154" i="6" s="1"/>
  <c r="T1150" i="6"/>
  <c r="U1150" i="6" s="1"/>
  <c r="T1145" i="6"/>
  <c r="R3579" i="6"/>
  <c r="T3579" i="6" s="1"/>
  <c r="U3579" i="6" s="1"/>
  <c r="T3407" i="6"/>
  <c r="U3407" i="6" s="1"/>
  <c r="T3405" i="6"/>
  <c r="U3405" i="6" s="1"/>
  <c r="R2436" i="6"/>
  <c r="U2436" i="6" s="1"/>
  <c r="T3650" i="6"/>
  <c r="U3650" i="6" s="1"/>
  <c r="U3655" i="6"/>
  <c r="U3653" i="6"/>
  <c r="U3651" i="6"/>
  <c r="T3913" i="6"/>
  <c r="U3913" i="6" s="1"/>
  <c r="R3581" i="6"/>
  <c r="U3581" i="6" s="1"/>
  <c r="R3592" i="6"/>
  <c r="U3592" i="6" s="1"/>
  <c r="U3648" i="6"/>
  <c r="U3646" i="6"/>
  <c r="R2391" i="6"/>
  <c r="U2391" i="6" s="1"/>
  <c r="U3644" i="6"/>
  <c r="U1145" i="6" l="1"/>
  <c r="U3956" i="6"/>
  <c r="U4239" i="6"/>
  <c r="U4240" i="6"/>
  <c r="T3923" i="6"/>
  <c r="U3923" i="6" s="1"/>
  <c r="U3962" i="6" l="1"/>
  <c r="U3643" i="6" l="1"/>
  <c r="R2444" i="6"/>
  <c r="U2444" i="6" s="1"/>
  <c r="T2495" i="6"/>
  <c r="U2495" i="6" s="1"/>
  <c r="U3921" i="6"/>
  <c r="U3642" i="6"/>
  <c r="U3902" i="6"/>
  <c r="U2379" i="6" l="1"/>
  <c r="T3641" i="6"/>
  <c r="U3641" i="6" s="1"/>
  <c r="T3640" i="6"/>
  <c r="U3640" i="6" s="1"/>
  <c r="T3639" i="6"/>
  <c r="U3639" i="6" s="1"/>
  <c r="T3638" i="6"/>
  <c r="U3638" i="6" s="1"/>
  <c r="U3895" i="6"/>
  <c r="T3635" i="6" l="1"/>
  <c r="U3635" i="6" s="1"/>
  <c r="R3591" i="6" l="1"/>
  <c r="U3591" i="6" s="1"/>
  <c r="T3632" i="6" l="1"/>
  <c r="U3632" i="6" s="1"/>
  <c r="U3633" i="6"/>
  <c r="U3636" i="6"/>
  <c r="T3631" i="6"/>
  <c r="U3631" i="6" s="1"/>
  <c r="R141" i="6" l="1"/>
  <c r="U141" i="6" s="1"/>
  <c r="T4156" i="6" l="1"/>
  <c r="U4156" i="6" s="1"/>
  <c r="T3630" i="6" l="1"/>
  <c r="U3630" i="6" s="1"/>
  <c r="U4238" i="6"/>
  <c r="U4237" i="6"/>
  <c r="T3629" i="6"/>
  <c r="U3629" i="6" s="1"/>
  <c r="T3628" i="6"/>
  <c r="U3628" i="6" s="1"/>
  <c r="T3627" i="6"/>
  <c r="U3627" i="6" s="1"/>
  <c r="T3626" i="6"/>
  <c r="U3626" i="6" s="1"/>
  <c r="T3625" i="6"/>
  <c r="U3625" i="6" s="1"/>
  <c r="T3624" i="6"/>
  <c r="U3624" i="6" s="1"/>
  <c r="T3623" i="6"/>
  <c r="U3623" i="6" s="1"/>
  <c r="T3622" i="6"/>
  <c r="U3622" i="6" s="1"/>
  <c r="T3621" i="6"/>
  <c r="U3621" i="6" s="1"/>
  <c r="T3620" i="6"/>
  <c r="U3620" i="6" s="1"/>
  <c r="T3619" i="6"/>
  <c r="U3619" i="6" s="1"/>
  <c r="T3618" i="6"/>
  <c r="U3618" i="6" s="1"/>
  <c r="T3617" i="6"/>
  <c r="U3617" i="6" s="1"/>
  <c r="T3616" i="6"/>
  <c r="U3616" i="6" s="1"/>
  <c r="T3615" i="6"/>
  <c r="U3615" i="6" s="1"/>
  <c r="T3614" i="6"/>
  <c r="U3614" i="6" s="1"/>
  <c r="T3613" i="6"/>
  <c r="U3613" i="6" s="1"/>
  <c r="T3612" i="6"/>
  <c r="U3612" i="6" s="1"/>
  <c r="T3611" i="6"/>
  <c r="U3611" i="6" s="1"/>
  <c r="T3610" i="6"/>
  <c r="U3610" i="6" s="1"/>
  <c r="T3609" i="6"/>
  <c r="U3609" i="6" s="1"/>
  <c r="T3608" i="6"/>
  <c r="U3608" i="6" s="1"/>
  <c r="T3607" i="6"/>
  <c r="U3607" i="6" s="1"/>
  <c r="T3606" i="6"/>
  <c r="U3606" i="6" s="1"/>
  <c r="T3605" i="6"/>
  <c r="U3605" i="6" s="1"/>
  <c r="U3602" i="6"/>
  <c r="U4189" i="6" l="1"/>
  <c r="U3142" i="6" l="1"/>
  <c r="U79" i="6" l="1"/>
  <c r="T3444" i="6" l="1"/>
  <c r="U3444" i="6" s="1"/>
  <c r="U3422" i="6" l="1"/>
  <c r="U3419" i="6"/>
  <c r="U3416" i="6"/>
  <c r="U3413" i="6"/>
  <c r="U3410" i="6"/>
  <c r="U1303" i="6"/>
  <c r="U1298" i="6"/>
  <c r="U1291" i="6"/>
  <c r="U1288" i="6"/>
  <c r="U1285" i="6"/>
  <c r="U1281" i="6"/>
  <c r="U1276" i="6"/>
  <c r="T1271" i="6"/>
  <c r="U1271" i="6" s="1"/>
  <c r="T1268" i="6"/>
  <c r="U1268" i="6" s="1"/>
  <c r="T1265" i="6"/>
  <c r="U1265" i="6" s="1"/>
  <c r="U1261" i="6"/>
  <c r="U1258" i="6"/>
  <c r="U1255" i="6"/>
  <c r="U1252" i="6"/>
  <c r="U1248" i="6"/>
  <c r="U1245" i="6"/>
  <c r="U1238" i="6"/>
  <c r="U1234" i="6"/>
  <c r="U1230" i="6"/>
  <c r="U1222" i="6"/>
  <c r="U1219" i="6"/>
  <c r="U1206" i="6"/>
  <c r="U1203" i="6"/>
  <c r="U1199" i="6"/>
  <c r="R1188" i="6"/>
  <c r="U1188" i="6" s="1"/>
  <c r="U1184" i="6"/>
  <c r="U1180" i="6"/>
  <c r="U1177" i="6"/>
  <c r="U1173" i="6"/>
  <c r="R1169" i="6"/>
  <c r="U1169" i="6" s="1"/>
  <c r="R1165" i="6"/>
  <c r="U1165" i="6" s="1"/>
  <c r="U1161" i="6"/>
  <c r="U1157" i="6"/>
  <c r="U1153" i="6"/>
  <c r="U1149" i="6"/>
  <c r="U1144" i="6"/>
  <c r="R92" i="6" l="1"/>
  <c r="U92" i="6"/>
  <c r="R89" i="6"/>
  <c r="U89" i="6"/>
  <c r="R83" i="6"/>
  <c r="R79" i="6"/>
  <c r="T72" i="6"/>
  <c r="U72" i="6" s="1"/>
  <c r="R65" i="6"/>
  <c r="U61" i="6"/>
  <c r="U58" i="6"/>
  <c r="R101" i="6"/>
  <c r="U101" i="6" s="1"/>
  <c r="U100" i="6"/>
  <c r="R100" i="6"/>
  <c r="R99" i="6"/>
  <c r="T99" i="6" s="1"/>
  <c r="U99" i="6" s="1"/>
  <c r="U98" i="6"/>
  <c r="R98" i="6"/>
  <c r="R95" i="6"/>
  <c r="U95" i="6" s="1"/>
  <c r="U94" i="6"/>
  <c r="R94" i="6"/>
  <c r="R91" i="6"/>
  <c r="U91" i="6" s="1"/>
  <c r="U90" i="6"/>
  <c r="R90" i="6"/>
  <c r="R88" i="6"/>
  <c r="U88" i="6" s="1"/>
  <c r="U87" i="6"/>
  <c r="R87" i="6"/>
  <c r="U86" i="6"/>
  <c r="R86" i="6"/>
  <c r="U82" i="6"/>
  <c r="U81" i="6"/>
  <c r="U78" i="6"/>
  <c r="T77" i="6"/>
  <c r="U77" i="6" s="1"/>
  <c r="U74" i="6"/>
  <c r="U73" i="6"/>
  <c r="U71" i="6"/>
  <c r="U70" i="6"/>
  <c r="U67" i="6"/>
  <c r="U66" i="6"/>
  <c r="U64" i="6"/>
  <c r="U63" i="6"/>
  <c r="U60" i="6"/>
  <c r="U59" i="6"/>
  <c r="U57" i="6"/>
  <c r="U56" i="6"/>
  <c r="U55" i="6"/>
  <c r="T3604" i="6" l="1"/>
  <c r="U3604" i="6" s="1"/>
  <c r="U4236" i="6" l="1"/>
  <c r="U3149" i="6" l="1"/>
  <c r="T3145" i="6"/>
  <c r="U3145" i="6" s="1"/>
  <c r="U3600" i="6" l="1"/>
  <c r="T3599" i="6" l="1"/>
  <c r="U3599" i="6" s="1"/>
  <c r="T3598" i="6"/>
  <c r="U3598" i="6" s="1"/>
  <c r="T3597" i="6"/>
  <c r="U3597" i="6" s="1"/>
  <c r="T3594" i="6"/>
  <c r="U3594" i="6" s="1"/>
  <c r="T3595" i="6"/>
  <c r="U3595" i="6" s="1"/>
  <c r="T3596" i="6"/>
  <c r="U3596" i="6" s="1"/>
  <c r="T3583" i="6"/>
  <c r="U3580" i="6"/>
  <c r="U3590" i="6"/>
  <c r="U3588" i="6"/>
  <c r="U3586" i="6"/>
  <c r="U3584" i="6"/>
  <c r="U3583" i="6" l="1"/>
  <c r="U3900" i="6" l="1"/>
  <c r="T3908" i="6" l="1"/>
  <c r="U3907" i="6"/>
  <c r="U3888" i="6" l="1"/>
  <c r="T3542" i="6"/>
  <c r="U3542" i="6" s="1"/>
  <c r="T4235" i="6" l="1"/>
  <c r="U4234" i="6"/>
  <c r="U4232" i="6"/>
  <c r="T3577" i="6"/>
  <c r="U3577" i="6" s="1"/>
  <c r="T3576" i="6"/>
  <c r="U3576" i="6" s="1"/>
  <c r="T3575" i="6"/>
  <c r="U3575" i="6" s="1"/>
  <c r="T3574" i="6"/>
  <c r="U3574" i="6" s="1"/>
  <c r="T3573" i="6"/>
  <c r="U3573" i="6" s="1"/>
  <c r="T3572" i="6"/>
  <c r="U3572" i="6" s="1"/>
  <c r="T3571" i="6"/>
  <c r="U3571" i="6" s="1"/>
  <c r="T3570" i="6"/>
  <c r="U3570" i="6" s="1"/>
  <c r="T3569" i="6"/>
  <c r="U3569" i="6" s="1"/>
  <c r="T3568" i="6"/>
  <c r="U3568" i="6" s="1"/>
  <c r="T3567" i="6"/>
  <c r="U3567" i="6" s="1"/>
  <c r="T3566" i="6"/>
  <c r="U3566" i="6" s="1"/>
  <c r="T3565" i="6"/>
  <c r="U3565" i="6" s="1"/>
  <c r="T3564" i="6"/>
  <c r="U3564" i="6" s="1"/>
  <c r="T3563" i="6"/>
  <c r="U3563" i="6" s="1"/>
  <c r="T3562" i="6"/>
  <c r="U3562" i="6" s="1"/>
  <c r="T3561" i="6"/>
  <c r="U3561" i="6" s="1"/>
  <c r="T3560" i="6"/>
  <c r="U3560" i="6" s="1"/>
  <c r="T3559" i="6"/>
  <c r="U3559" i="6" s="1"/>
  <c r="T3558" i="6"/>
  <c r="U3558" i="6" s="1"/>
  <c r="T3557" i="6"/>
  <c r="U3557" i="6" s="1"/>
  <c r="T3556" i="6"/>
  <c r="U3556" i="6" s="1"/>
  <c r="T3555" i="6"/>
  <c r="U3555" i="6" s="1"/>
  <c r="T3554" i="6"/>
  <c r="U3554" i="6" s="1"/>
  <c r="T3553" i="6"/>
  <c r="U3553" i="6" s="1"/>
  <c r="T3552" i="6"/>
  <c r="U3552" i="6" s="1"/>
  <c r="T3551" i="6"/>
  <c r="U3551" i="6" s="1"/>
  <c r="T3550" i="6"/>
  <c r="U3550" i="6" s="1"/>
  <c r="T3549" i="6"/>
  <c r="U3549" i="6" s="1"/>
  <c r="T3548" i="6"/>
  <c r="U3548" i="6" s="1"/>
  <c r="T3547" i="6"/>
  <c r="U3547" i="6" s="1"/>
  <c r="T3546" i="6"/>
  <c r="U3546" i="6" s="1"/>
  <c r="T3545" i="6"/>
  <c r="U3545" i="6" s="1"/>
  <c r="T3544" i="6"/>
  <c r="U3544" i="6" s="1"/>
  <c r="T3543" i="6"/>
  <c r="U3543" i="6" s="1"/>
  <c r="T3541" i="6"/>
  <c r="U3541" i="6" s="1"/>
  <c r="T3540" i="6"/>
  <c r="U3540" i="6" s="1"/>
  <c r="T3539" i="6"/>
  <c r="U3539" i="6" s="1"/>
  <c r="T3538" i="6"/>
  <c r="U3538" i="6" s="1"/>
  <c r="T3537" i="6"/>
  <c r="U3537" i="6" s="1"/>
  <c r="T3536" i="6"/>
  <c r="U3536" i="6" s="1"/>
  <c r="T3535" i="6"/>
  <c r="U3535" i="6" s="1"/>
  <c r="T3534" i="6"/>
  <c r="U3534" i="6" s="1"/>
  <c r="T3533" i="6"/>
  <c r="U3533" i="6" s="1"/>
  <c r="T3532" i="6"/>
  <c r="U3532" i="6" s="1"/>
  <c r="T3531" i="6"/>
  <c r="U3531" i="6" s="1"/>
  <c r="T3530" i="6"/>
  <c r="U3530" i="6" s="1"/>
  <c r="T3529" i="6"/>
  <c r="U3529" i="6" s="1"/>
  <c r="T3528" i="6"/>
  <c r="U3528" i="6" s="1"/>
  <c r="T3527" i="6"/>
  <c r="U3527" i="6" s="1"/>
  <c r="T3526" i="6"/>
  <c r="U3526" i="6" s="1"/>
  <c r="T3525" i="6"/>
  <c r="U3525" i="6" s="1"/>
  <c r="T3524" i="6"/>
  <c r="U3524" i="6" s="1"/>
  <c r="T3523" i="6"/>
  <c r="U3523" i="6" s="1"/>
  <c r="T3522" i="6"/>
  <c r="U3522" i="6" s="1"/>
  <c r="T3521" i="6"/>
  <c r="U3521" i="6" s="1"/>
  <c r="T3520" i="6"/>
  <c r="U3520" i="6" s="1"/>
  <c r="T3519" i="6"/>
  <c r="U3519" i="6" s="1"/>
  <c r="T3518" i="6"/>
  <c r="U3518" i="6" s="1"/>
  <c r="T3517" i="6"/>
  <c r="U3517" i="6" s="1"/>
  <c r="T3516" i="6"/>
  <c r="U3516" i="6" s="1"/>
  <c r="T3515" i="6"/>
  <c r="U3515" i="6" s="1"/>
  <c r="T3514" i="6"/>
  <c r="U3514" i="6" s="1"/>
  <c r="T3513" i="6"/>
  <c r="U3513" i="6" s="1"/>
  <c r="T3512" i="6"/>
  <c r="U3512" i="6" s="1"/>
  <c r="T3511" i="6"/>
  <c r="U3511" i="6" s="1"/>
  <c r="T3510" i="6"/>
  <c r="U3510" i="6" s="1"/>
  <c r="T3509" i="6"/>
  <c r="U3509" i="6" s="1"/>
  <c r="T3508" i="6"/>
  <c r="U3508" i="6" s="1"/>
  <c r="T3507" i="6"/>
  <c r="U3507" i="6" s="1"/>
  <c r="T3506" i="6"/>
  <c r="U3506" i="6" s="1"/>
  <c r="T3505" i="6"/>
  <c r="U3505" i="6" s="1"/>
  <c r="T3504" i="6"/>
  <c r="U3504" i="6" s="1"/>
  <c r="T3503" i="6"/>
  <c r="U3503" i="6" s="1"/>
  <c r="T3502" i="6"/>
  <c r="U3502" i="6" s="1"/>
  <c r="T3501" i="6"/>
  <c r="U3501" i="6" s="1"/>
  <c r="T3500" i="6"/>
  <c r="U3500" i="6" s="1"/>
  <c r="T3499" i="6"/>
  <c r="U3499" i="6" s="1"/>
  <c r="T3498" i="6"/>
  <c r="U3498" i="6" s="1"/>
  <c r="T3497" i="6"/>
  <c r="U3497" i="6" s="1"/>
  <c r="T3496" i="6"/>
  <c r="U3496" i="6" s="1"/>
  <c r="T3495" i="6"/>
  <c r="U3495" i="6" s="1"/>
  <c r="T3494" i="6"/>
  <c r="U3494" i="6" s="1"/>
  <c r="T3493" i="6"/>
  <c r="U3493" i="6" s="1"/>
  <c r="T3492" i="6"/>
  <c r="U3492" i="6" s="1"/>
  <c r="T3491" i="6"/>
  <c r="U3491" i="6" s="1"/>
  <c r="T3490" i="6"/>
  <c r="U3490" i="6" s="1"/>
  <c r="T3489" i="6"/>
  <c r="U3489" i="6" s="1"/>
  <c r="T3488" i="6"/>
  <c r="U3488" i="6" s="1"/>
  <c r="T3487" i="6"/>
  <c r="U3487" i="6" s="1"/>
  <c r="T3486" i="6"/>
  <c r="U3486" i="6" s="1"/>
  <c r="T3485" i="6"/>
  <c r="U3485" i="6" s="1"/>
  <c r="T3484" i="6"/>
  <c r="U3484" i="6" s="1"/>
  <c r="T3483" i="6"/>
  <c r="U3483" i="6" s="1"/>
  <c r="T3482" i="6"/>
  <c r="U3482" i="6" s="1"/>
  <c r="T3481" i="6"/>
  <c r="U3481" i="6" s="1"/>
  <c r="T3480" i="6"/>
  <c r="U3480" i="6" s="1"/>
  <c r="T3479" i="6"/>
  <c r="U3479" i="6" s="1"/>
  <c r="T3478" i="6"/>
  <c r="U3478" i="6" s="1"/>
  <c r="T3477" i="6"/>
  <c r="U3477" i="6" s="1"/>
  <c r="T3476" i="6"/>
  <c r="U3476" i="6" s="1"/>
  <c r="T3475" i="6"/>
  <c r="U3475" i="6" s="1"/>
  <c r="T3474" i="6"/>
  <c r="U3474" i="6" s="1"/>
  <c r="T3473" i="6"/>
  <c r="U3473" i="6" s="1"/>
  <c r="T3472" i="6"/>
  <c r="U3472" i="6" s="1"/>
  <c r="T3471" i="6"/>
  <c r="U3471" i="6" s="1"/>
  <c r="T3470" i="6"/>
  <c r="U3470" i="6" s="1"/>
  <c r="T3469" i="6"/>
  <c r="U3469" i="6" s="1"/>
  <c r="T3468" i="6"/>
  <c r="U3468" i="6" s="1"/>
  <c r="T3467" i="6"/>
  <c r="U3467" i="6" s="1"/>
  <c r="T3466" i="6"/>
  <c r="U3466" i="6" s="1"/>
  <c r="T3465" i="6"/>
  <c r="U3465" i="6" s="1"/>
  <c r="T3464" i="6"/>
  <c r="U3464" i="6" s="1"/>
  <c r="T3463" i="6"/>
  <c r="U3463" i="6" s="1"/>
  <c r="T3462" i="6"/>
  <c r="U3462" i="6" s="1"/>
  <c r="T3461" i="6"/>
  <c r="U3461" i="6" s="1"/>
  <c r="T3460" i="6"/>
  <c r="U3460" i="6" s="1"/>
  <c r="T3459" i="6"/>
  <c r="U3459" i="6" s="1"/>
  <c r="T3458" i="6"/>
  <c r="U3458" i="6" s="1"/>
  <c r="T3457" i="6"/>
  <c r="U3457" i="6" s="1"/>
  <c r="T3456" i="6"/>
  <c r="U3456" i="6" s="1"/>
  <c r="T3455" i="6"/>
  <c r="U3455" i="6" s="1"/>
  <c r="T3454" i="6"/>
  <c r="U3454" i="6" s="1"/>
  <c r="T3453" i="6"/>
  <c r="U3453" i="6" s="1"/>
  <c r="T3452" i="6"/>
  <c r="U3452" i="6" s="1"/>
  <c r="T3451" i="6"/>
  <c r="U3451" i="6" s="1"/>
  <c r="T3450" i="6"/>
  <c r="U3450" i="6" s="1"/>
  <c r="T3449" i="6"/>
  <c r="U3449" i="6" s="1"/>
  <c r="U3447" i="6"/>
  <c r="U3578" i="6" l="1"/>
  <c r="T600" i="6"/>
  <c r="T708" i="6"/>
  <c r="U708" i="6" s="1"/>
  <c r="T593" i="6"/>
  <c r="U593" i="6" s="1"/>
  <c r="T590" i="6"/>
  <c r="U590" i="6" s="1"/>
  <c r="T587" i="6"/>
  <c r="U587" i="6" s="1"/>
  <c r="T584" i="6"/>
  <c r="U584" i="6" s="1"/>
  <c r="T581" i="6"/>
  <c r="U581" i="6" s="1"/>
  <c r="T578" i="6"/>
  <c r="U578" i="6" s="1"/>
  <c r="T575" i="6"/>
  <c r="U575" i="6" s="1"/>
  <c r="T604" i="6" l="1"/>
  <c r="U604" i="6" s="1"/>
  <c r="T598" i="6"/>
  <c r="U598" i="6" s="1"/>
  <c r="T553" i="6"/>
  <c r="U553" i="6" s="1"/>
  <c r="T512" i="6"/>
  <c r="U512" i="6" s="1"/>
  <c r="T509" i="6"/>
  <c r="U509" i="6" s="1"/>
  <c r="T506" i="6"/>
  <c r="U506" i="6" s="1"/>
  <c r="T495" i="6"/>
  <c r="U495" i="6" s="1"/>
  <c r="T490" i="6"/>
  <c r="U490" i="6" s="1"/>
  <c r="T446" i="6"/>
  <c r="U446" i="6" s="1"/>
  <c r="T435" i="6"/>
  <c r="U435" i="6" s="1"/>
  <c r="T416" i="6"/>
  <c r="U416" i="6" s="1"/>
  <c r="T409" i="6"/>
  <c r="U409" i="6" s="1"/>
  <c r="T406" i="6"/>
  <c r="U406" i="6" s="1"/>
  <c r="T401" i="6"/>
  <c r="U401" i="6" s="1"/>
  <c r="T398" i="6"/>
  <c r="U398" i="6" s="1"/>
  <c r="T395" i="6"/>
  <c r="U395" i="6" s="1"/>
  <c r="T392" i="6"/>
  <c r="U392" i="6" s="1"/>
  <c r="T389" i="6"/>
  <c r="U389" i="6" s="1"/>
  <c r="T373" i="6"/>
  <c r="U373" i="6" s="1"/>
  <c r="T368" i="6"/>
  <c r="U368" i="6" s="1"/>
  <c r="T365" i="6"/>
  <c r="U365" i="6" s="1"/>
  <c r="T362" i="6"/>
  <c r="U362" i="6" s="1"/>
  <c r="T342" i="6"/>
  <c r="U342" i="6" s="1"/>
  <c r="U337" i="6"/>
  <c r="R452" i="6" l="1"/>
  <c r="T452" i="6" s="1"/>
  <c r="U452" i="6" s="1"/>
  <c r="T117" i="6"/>
  <c r="U117" i="6" s="1"/>
  <c r="T115" i="6"/>
  <c r="U115" i="6" s="1"/>
  <c r="U113" i="6"/>
  <c r="U111" i="6"/>
  <c r="T109" i="6"/>
  <c r="U109" i="6" s="1"/>
  <c r="R105" i="6"/>
  <c r="U105" i="6" s="1"/>
  <c r="T3445" i="6"/>
  <c r="U3445" i="6" s="1"/>
  <c r="T3957" i="6"/>
  <c r="U3957" i="6" s="1"/>
  <c r="U3443" i="6"/>
  <c r="T3442" i="6"/>
  <c r="U3442" i="6" s="1"/>
  <c r="T3441" i="6"/>
  <c r="U3441" i="6" s="1"/>
  <c r="T3440" i="6"/>
  <c r="U3440" i="6" s="1"/>
  <c r="T3439" i="6"/>
  <c r="U3439" i="6" s="1"/>
  <c r="T3438" i="6"/>
  <c r="U3438" i="6" s="1"/>
  <c r="U3133" i="6"/>
  <c r="U4230" i="6" l="1"/>
  <c r="T4204" i="6"/>
  <c r="U4204" i="6" s="1"/>
  <c r="U4149" i="6"/>
  <c r="T3437" i="6"/>
  <c r="U3437" i="6" s="1"/>
  <c r="T1901" i="6"/>
  <c r="U1901" i="6" s="1"/>
  <c r="T1899" i="6"/>
  <c r="U1899" i="6" s="1"/>
  <c r="T1897" i="6"/>
  <c r="U1897" i="6" s="1"/>
  <c r="T1895" i="6"/>
  <c r="U1895" i="6" s="1"/>
  <c r="T1893" i="6"/>
  <c r="U1893" i="6" s="1"/>
  <c r="T1891" i="6"/>
  <c r="U1891" i="6" s="1"/>
  <c r="T1889" i="6"/>
  <c r="U1889" i="6" s="1"/>
  <c r="T1887" i="6"/>
  <c r="U1887" i="6" s="1"/>
  <c r="T1885" i="6"/>
  <c r="U1885" i="6" s="1"/>
  <c r="T1883" i="6"/>
  <c r="U1883" i="6" s="1"/>
  <c r="T1881" i="6"/>
  <c r="U1881" i="6" s="1"/>
  <c r="T1879" i="6"/>
  <c r="U1879" i="6" s="1"/>
  <c r="T1877" i="6"/>
  <c r="U1877" i="6" s="1"/>
  <c r="T1875" i="6"/>
  <c r="U1875" i="6" s="1"/>
  <c r="T1873" i="6"/>
  <c r="U1873" i="6" s="1"/>
  <c r="T1871" i="6"/>
  <c r="U1871" i="6" s="1"/>
  <c r="T1869" i="6"/>
  <c r="U1869" i="6" s="1"/>
  <c r="T1867" i="6"/>
  <c r="U1867" i="6" s="1"/>
  <c r="T1865" i="6"/>
  <c r="U1865" i="6" s="1"/>
  <c r="T1863" i="6"/>
  <c r="U1863" i="6" s="1"/>
  <c r="T1861" i="6"/>
  <c r="U1861" i="6" s="1"/>
  <c r="T1859" i="6"/>
  <c r="U1859" i="6" s="1"/>
  <c r="T1857" i="6"/>
  <c r="U1857" i="6" s="1"/>
  <c r="T1855" i="6"/>
  <c r="U1855" i="6" s="1"/>
  <c r="T1853" i="6"/>
  <c r="U1853" i="6" s="1"/>
  <c r="T1851" i="6"/>
  <c r="U1851" i="6" s="1"/>
  <c r="T1849" i="6"/>
  <c r="U1849" i="6" s="1"/>
  <c r="T1847" i="6"/>
  <c r="U1847" i="6" s="1"/>
  <c r="T1845" i="6"/>
  <c r="U1845" i="6" s="1"/>
  <c r="T1843" i="6"/>
  <c r="U1843" i="6" s="1"/>
  <c r="T1841" i="6"/>
  <c r="U1841" i="6" s="1"/>
  <c r="T1839" i="6"/>
  <c r="U1839" i="6" s="1"/>
  <c r="T1837" i="6"/>
  <c r="U1837" i="6" s="1"/>
  <c r="T1835" i="6"/>
  <c r="U1835" i="6" s="1"/>
  <c r="T1833" i="6"/>
  <c r="U1833" i="6" s="1"/>
  <c r="T1831" i="6"/>
  <c r="U1831" i="6" s="1"/>
  <c r="T1829" i="6"/>
  <c r="U1829" i="6" s="1"/>
  <c r="T1827" i="6"/>
  <c r="U1827" i="6" s="1"/>
  <c r="T1825" i="6"/>
  <c r="U1825" i="6" s="1"/>
  <c r="T1823" i="6"/>
  <c r="U1823" i="6" s="1"/>
  <c r="T1821" i="6"/>
  <c r="U1821" i="6" s="1"/>
  <c r="T1819" i="6"/>
  <c r="U1819" i="6" s="1"/>
  <c r="T1817" i="6"/>
  <c r="U1817" i="6" s="1"/>
  <c r="T1815" i="6"/>
  <c r="U1815" i="6" s="1"/>
  <c r="T1813" i="6"/>
  <c r="U1813" i="6" s="1"/>
  <c r="T1811" i="6"/>
  <c r="U1811" i="6" s="1"/>
  <c r="T1809" i="6" l="1"/>
  <c r="U1809" i="6" s="1"/>
  <c r="T1807" i="6"/>
  <c r="U1807" i="6" s="1"/>
  <c r="T1805" i="6"/>
  <c r="U1805" i="6" s="1"/>
  <c r="T1803" i="6"/>
  <c r="U1803" i="6" s="1"/>
  <c r="T1801" i="6"/>
  <c r="U1801" i="6" s="1"/>
  <c r="T1799" i="6"/>
  <c r="U1799" i="6" s="1"/>
  <c r="T1607" i="6"/>
  <c r="U1607" i="6" s="1"/>
  <c r="T1605" i="6"/>
  <c r="U1605" i="6" s="1"/>
  <c r="T1603" i="6"/>
  <c r="U1603" i="6" s="1"/>
  <c r="T1601" i="6"/>
  <c r="U1601" i="6" s="1"/>
  <c r="T1599" i="6"/>
  <c r="U1599" i="6" s="1"/>
  <c r="T1597" i="6"/>
  <c r="U1597" i="6" s="1"/>
  <c r="T1595" i="6"/>
  <c r="U1595" i="6" s="1"/>
  <c r="T1593" i="6"/>
  <c r="U1593" i="6" s="1"/>
  <c r="T1591" i="6"/>
  <c r="U1591" i="6" s="1"/>
  <c r="T1589" i="6"/>
  <c r="U1589" i="6" s="1"/>
  <c r="T1587" i="6"/>
  <c r="U1587" i="6" s="1"/>
  <c r="T1585" i="6"/>
  <c r="U1585" i="6" s="1"/>
  <c r="T1583" i="6"/>
  <c r="U1583" i="6" s="1"/>
  <c r="T1581" i="6"/>
  <c r="U1581" i="6" s="1"/>
  <c r="T1579" i="6"/>
  <c r="U1579" i="6" s="1"/>
  <c r="T1577" i="6"/>
  <c r="U1577" i="6" s="1"/>
  <c r="T1575" i="6"/>
  <c r="U1575" i="6" s="1"/>
  <c r="T1572" i="6"/>
  <c r="U1572" i="6" s="1"/>
  <c r="T1569" i="6"/>
  <c r="U1569" i="6" s="1"/>
  <c r="U1566" i="6"/>
  <c r="T1563" i="6"/>
  <c r="U1563" i="6" s="1"/>
  <c r="T1560" i="6"/>
  <c r="U1560" i="6" s="1"/>
  <c r="T1557" i="6"/>
  <c r="U1557" i="6" s="1"/>
  <c r="T1554" i="6"/>
  <c r="U1554" i="6" s="1"/>
  <c r="T1551" i="6"/>
  <c r="U1551" i="6" s="1"/>
  <c r="T1548" i="6"/>
  <c r="U1548" i="6" s="1"/>
  <c r="T1545" i="6"/>
  <c r="U1545" i="6" s="1"/>
  <c r="T1542" i="6"/>
  <c r="U1542" i="6" s="1"/>
  <c r="T1539" i="6"/>
  <c r="U1539" i="6" s="1"/>
  <c r="T1536" i="6"/>
  <c r="U1536" i="6" s="1"/>
  <c r="T1533" i="6" l="1"/>
  <c r="U1533" i="6" s="1"/>
  <c r="T1530" i="6"/>
  <c r="U1530" i="6" s="1"/>
  <c r="T1527" i="6"/>
  <c r="U1527" i="6" s="1"/>
  <c r="T1524" i="6"/>
  <c r="U1524" i="6" s="1"/>
  <c r="T1521" i="6"/>
  <c r="U1521" i="6" s="1"/>
  <c r="T1518" i="6"/>
  <c r="U1518" i="6" s="1"/>
  <c r="T1515" i="6"/>
  <c r="U1515" i="6" s="1"/>
  <c r="T1512" i="6"/>
  <c r="U1512" i="6" s="1"/>
  <c r="T1510" i="6"/>
  <c r="U1510" i="6" s="1"/>
  <c r="T1507" i="6"/>
  <c r="U1507" i="6" s="1"/>
  <c r="T1504" i="6"/>
  <c r="U1504" i="6" s="1"/>
  <c r="T1501" i="6"/>
  <c r="U1501" i="6" s="1"/>
  <c r="T1498" i="6"/>
  <c r="U1498" i="6" s="1"/>
  <c r="T1495" i="6"/>
  <c r="U1495" i="6" s="1"/>
  <c r="T1492" i="6"/>
  <c r="U1492" i="6" s="1"/>
  <c r="T1489" i="6"/>
  <c r="U1489" i="6" s="1"/>
  <c r="T1486" i="6"/>
  <c r="U1486" i="6" s="1"/>
  <c r="T1483" i="6"/>
  <c r="U1483" i="6" s="1"/>
  <c r="T1480" i="6"/>
  <c r="U1480" i="6" s="1"/>
  <c r="T1477" i="6"/>
  <c r="U1477" i="6" s="1"/>
  <c r="T1474" i="6"/>
  <c r="U1474" i="6" s="1"/>
  <c r="T1471" i="6"/>
  <c r="U1471" i="6" s="1"/>
  <c r="T1469" i="6"/>
  <c r="U1469" i="6" s="1"/>
  <c r="T1466" i="6"/>
  <c r="U1466" i="6" s="1"/>
  <c r="T1461" i="6"/>
  <c r="U1461" i="6" s="1"/>
  <c r="T1456" i="6"/>
  <c r="U1456" i="6" s="1"/>
  <c r="T1453" i="6"/>
  <c r="U1453" i="6" s="1"/>
  <c r="T1451" i="6"/>
  <c r="U1451" i="6" s="1"/>
  <c r="T1448" i="6"/>
  <c r="U1448" i="6" s="1"/>
  <c r="T1445" i="6"/>
  <c r="U1445" i="6" s="1"/>
  <c r="T1442" i="6"/>
  <c r="U1442" i="6" s="1"/>
  <c r="T1439" i="6"/>
  <c r="U1439" i="6" s="1"/>
  <c r="T1436" i="6"/>
  <c r="U1436" i="6" s="1"/>
  <c r="T1433" i="6"/>
  <c r="U1433" i="6" s="1"/>
  <c r="T1430" i="6"/>
  <c r="U1430" i="6" s="1"/>
  <c r="T1427" i="6"/>
  <c r="U1427" i="6" s="1"/>
  <c r="T1424" i="6"/>
  <c r="U1424" i="6" s="1"/>
  <c r="T1421" i="6"/>
  <c r="U1421" i="6" s="1"/>
  <c r="T1393" i="6"/>
  <c r="U1393" i="6" s="1"/>
  <c r="T1390" i="6"/>
  <c r="U1390" i="6" s="1"/>
  <c r="T1385" i="6"/>
  <c r="U1385" i="6" s="1"/>
  <c r="T1382" i="6"/>
  <c r="U1382" i="6" s="1"/>
  <c r="T1379" i="6"/>
  <c r="U1379" i="6" s="1"/>
  <c r="T1376" i="6"/>
  <c r="U1376" i="6" s="1"/>
  <c r="T1373" i="6"/>
  <c r="U1373" i="6" s="1"/>
  <c r="T1370" i="6"/>
  <c r="U1370" i="6" s="1"/>
  <c r="T1365" i="6"/>
  <c r="U1365" i="6" s="1"/>
  <c r="T1362" i="6"/>
  <c r="U1362" i="6" s="1"/>
  <c r="T1359" i="6"/>
  <c r="U1359" i="6" s="1"/>
  <c r="T1356" i="6"/>
  <c r="U1356" i="6" s="1"/>
  <c r="T1353" i="6"/>
  <c r="U1353" i="6" s="1"/>
  <c r="T1350" i="6"/>
  <c r="U1350" i="6" s="1"/>
  <c r="T1347" i="6"/>
  <c r="U1347" i="6" s="1"/>
  <c r="T1344" i="6"/>
  <c r="U1344" i="6" s="1"/>
  <c r="T1418" i="6"/>
  <c r="U1418" i="6" s="1"/>
  <c r="T1415" i="6"/>
  <c r="U1415" i="6" s="1"/>
  <c r="T1412" i="6"/>
  <c r="U1412" i="6" s="1"/>
  <c r="T1409" i="6"/>
  <c r="U1409" i="6" s="1"/>
  <c r="T1407" i="6"/>
  <c r="U1407" i="6" s="1"/>
  <c r="T1404" i="6"/>
  <c r="U1404" i="6" s="1"/>
  <c r="T1401" i="6"/>
  <c r="U1401" i="6" s="1"/>
  <c r="T1398" i="6"/>
  <c r="U1398" i="6" s="1"/>
  <c r="T1396" i="6"/>
  <c r="U1396" i="6" s="1"/>
  <c r="T1341" i="6"/>
  <c r="U1341" i="6" s="1"/>
  <c r="T1338" i="6"/>
  <c r="U1338" i="6" s="1"/>
  <c r="T1335" i="6"/>
  <c r="U1335" i="6" s="1"/>
  <c r="T1332" i="6"/>
  <c r="U1332" i="6" s="1"/>
  <c r="T1329" i="6"/>
  <c r="U1329" i="6" s="1"/>
  <c r="T1326" i="6"/>
  <c r="U1326" i="6" s="1"/>
  <c r="T1324" i="6"/>
  <c r="U1324" i="6" s="1"/>
  <c r="U3434" i="6"/>
  <c r="T3433" i="6" l="1"/>
  <c r="U3433" i="6" s="1"/>
  <c r="T3432" i="6"/>
  <c r="U3432" i="6" s="1"/>
  <c r="T3431" i="6"/>
  <c r="U3431" i="6" s="1"/>
  <c r="T3430" i="6"/>
  <c r="U3430" i="6" s="1"/>
  <c r="T3429" i="6"/>
  <c r="U3429" i="6" s="1"/>
  <c r="T3428" i="6"/>
  <c r="U3428" i="6" s="1"/>
  <c r="U3188" i="6"/>
  <c r="U3187" i="6"/>
  <c r="U3186" i="6"/>
  <c r="U3185" i="6"/>
  <c r="U3184" i="6"/>
  <c r="R3184" i="6"/>
  <c r="U3183" i="6"/>
  <c r="U3182" i="6"/>
  <c r="U3181" i="6"/>
  <c r="T3180" i="6"/>
  <c r="U3180" i="6" s="1"/>
  <c r="U3179" i="6"/>
  <c r="T3178" i="6"/>
  <c r="U3178" i="6" s="1"/>
  <c r="T3177" i="6"/>
  <c r="U3177" i="6" s="1"/>
  <c r="T3126" i="6"/>
  <c r="U3126" i="6" s="1"/>
  <c r="T3124" i="6"/>
  <c r="U3124" i="6" s="1"/>
  <c r="T3122" i="6"/>
  <c r="U3122" i="6" s="1"/>
  <c r="T3120" i="6"/>
  <c r="U3120" i="6" s="1"/>
  <c r="T3025" i="6"/>
  <c r="U3025" i="6" s="1"/>
  <c r="U3024" i="6"/>
  <c r="T3021" i="6"/>
  <c r="U3021" i="6" s="1"/>
  <c r="U3020" i="6"/>
  <c r="T3017" i="6"/>
  <c r="U3017" i="6" s="1"/>
  <c r="T3014" i="6"/>
  <c r="U3014" i="6" s="1"/>
  <c r="T3011" i="6"/>
  <c r="U3011" i="6" s="1"/>
  <c r="U3010" i="6"/>
  <c r="T3005" i="6"/>
  <c r="U3005" i="6" s="1"/>
  <c r="U2956" i="6"/>
  <c r="R2956" i="6"/>
  <c r="T2763" i="6"/>
  <c r="U2763" i="6" s="1"/>
  <c r="T2756" i="6"/>
  <c r="U2756" i="6" s="1"/>
  <c r="U2709" i="6"/>
  <c r="T2703" i="6"/>
  <c r="U2703" i="6" s="1"/>
  <c r="T3373" i="6" l="1"/>
  <c r="U3373" i="6" s="1"/>
  <c r="T3371" i="6"/>
  <c r="U3371" i="6" s="1"/>
  <c r="T3369" i="6"/>
  <c r="U3369" i="6" s="1"/>
  <c r="T3367" i="6"/>
  <c r="U3367" i="6" s="1"/>
  <c r="T3365" i="6"/>
  <c r="U3365" i="6" s="1"/>
  <c r="T3363" i="6"/>
  <c r="U3363" i="6" s="1"/>
  <c r="T3361" i="6"/>
  <c r="U3361" i="6" s="1"/>
  <c r="T3359" i="6"/>
  <c r="U3359" i="6" s="1"/>
  <c r="U3360" i="6"/>
  <c r="T3357" i="6"/>
  <c r="U3357" i="6" s="1"/>
  <c r="T3355" i="6"/>
  <c r="U3355" i="6" s="1"/>
  <c r="T3353" i="6"/>
  <c r="U3353" i="6" s="1"/>
  <c r="T3348" i="6"/>
  <c r="U3348" i="6" s="1"/>
  <c r="U3350" i="6"/>
  <c r="T3346" i="6"/>
  <c r="U3346" i="6" s="1"/>
  <c r="T3344" i="6"/>
  <c r="U3344" i="6" s="1"/>
  <c r="T3342" i="6"/>
  <c r="U3342" i="6" s="1"/>
  <c r="T3340" i="6"/>
  <c r="U3340" i="6" s="1"/>
  <c r="T3338" i="6"/>
  <c r="U3338" i="6" s="1"/>
  <c r="T3336" i="6"/>
  <c r="U3336" i="6" s="1"/>
  <c r="T3334" i="6"/>
  <c r="U3334" i="6" s="1"/>
  <c r="T3332" i="6"/>
  <c r="U3332" i="6" s="1"/>
  <c r="T3330" i="6"/>
  <c r="U3330" i="6" s="1"/>
  <c r="T3328" i="6"/>
  <c r="U3328" i="6" s="1"/>
  <c r="T3326" i="6"/>
  <c r="U3326" i="6" s="1"/>
  <c r="T3324" i="6"/>
  <c r="U3324" i="6" s="1"/>
  <c r="U3322" i="6"/>
  <c r="T3320" i="6"/>
  <c r="U3320" i="6" s="1"/>
  <c r="T3318" i="6"/>
  <c r="U3318" i="6" s="1"/>
  <c r="T3316" i="6"/>
  <c r="U3316" i="6" s="1"/>
  <c r="T3314" i="6"/>
  <c r="U3314" i="6" s="1"/>
  <c r="U3310" i="6"/>
  <c r="U3306" i="6"/>
  <c r="U3302" i="6"/>
  <c r="U3299" i="6"/>
  <c r="U3296" i="6"/>
  <c r="U3293" i="6"/>
  <c r="T3291" i="6"/>
  <c r="U3291" i="6" s="1"/>
  <c r="T3289" i="6"/>
  <c r="U3289" i="6" s="1"/>
  <c r="T3287" i="6"/>
  <c r="U3287" i="6" s="1"/>
  <c r="U3281" i="6"/>
  <c r="T3279" i="6"/>
  <c r="U3279" i="6" s="1"/>
  <c r="U3276" i="6"/>
  <c r="T3274" i="6"/>
  <c r="U3274" i="6" s="1"/>
  <c r="U3271" i="6"/>
  <c r="T3269" i="6"/>
  <c r="U3269" i="6" s="1"/>
  <c r="T3267" i="6"/>
  <c r="U3267" i="6" s="1"/>
  <c r="T3176" i="6"/>
  <c r="U3176" i="6" s="1"/>
  <c r="T3172" i="6"/>
  <c r="U3172" i="6" s="1"/>
  <c r="T3169" i="6"/>
  <c r="U3169" i="6" s="1"/>
  <c r="R3167" i="6"/>
  <c r="T3167" i="6" s="1"/>
  <c r="U3167" i="6" s="1"/>
  <c r="R3165" i="6"/>
  <c r="T3165" i="6" s="1"/>
  <c r="U3165" i="6" s="1"/>
  <c r="T3163" i="6"/>
  <c r="U3163" i="6" s="1"/>
  <c r="T3161" i="6"/>
  <c r="U3161" i="6" s="1"/>
  <c r="T3158" i="6"/>
  <c r="U3158" i="6" s="1"/>
  <c r="T3091" i="6"/>
  <c r="U3091" i="6" s="1"/>
  <c r="T3089" i="6"/>
  <c r="U3089" i="6" s="1"/>
  <c r="T3087" i="6"/>
  <c r="U3087" i="6" s="1"/>
  <c r="T3085" i="6"/>
  <c r="U3085" i="6" s="1"/>
  <c r="T3083" i="6"/>
  <c r="U3083" i="6" s="1"/>
  <c r="T3081" i="6"/>
  <c r="U3081" i="6" s="1"/>
  <c r="U3078" i="6"/>
  <c r="U3075" i="6"/>
  <c r="T3073" i="6"/>
  <c r="U3073" i="6" s="1"/>
  <c r="T3071" i="6"/>
  <c r="U3071" i="6" s="1"/>
  <c r="T3069" i="6"/>
  <c r="U3069" i="6" s="1"/>
  <c r="T3067" i="6"/>
  <c r="U3067" i="6" s="1"/>
  <c r="U3062" i="6"/>
  <c r="T3065" i="6"/>
  <c r="U3065" i="6" s="1"/>
  <c r="T3060" i="6"/>
  <c r="U3060" i="6" s="1"/>
  <c r="T3058" i="6"/>
  <c r="U3058" i="6" s="1"/>
  <c r="T3056" i="6"/>
  <c r="U3056" i="6" s="1"/>
  <c r="T3054" i="6"/>
  <c r="U3054" i="6" s="1"/>
  <c r="T3052" i="6"/>
  <c r="U3052" i="6" s="1"/>
  <c r="T3050" i="6"/>
  <c r="U3050" i="6" s="1"/>
  <c r="T3048" i="6"/>
  <c r="U3048" i="6" s="1"/>
  <c r="U3045" i="6"/>
  <c r="T3043" i="6"/>
  <c r="U3043" i="6" s="1"/>
  <c r="T3041" i="6"/>
  <c r="U3041" i="6" s="1"/>
  <c r="U3037" i="6"/>
  <c r="T3035" i="6"/>
  <c r="U3035" i="6" s="1"/>
  <c r="U3032" i="6"/>
  <c r="U3029" i="6"/>
  <c r="T3027" i="6"/>
  <c r="U3027" i="6" s="1"/>
  <c r="T3023" i="6"/>
  <c r="U3023" i="6" s="1"/>
  <c r="T3019" i="6"/>
  <c r="U3019" i="6" s="1"/>
  <c r="T3016" i="6"/>
  <c r="U3016" i="6" s="1"/>
  <c r="T3013" i="6"/>
  <c r="U3013" i="6" s="1"/>
  <c r="T3009" i="6"/>
  <c r="U3009" i="6" s="1"/>
  <c r="T3007" i="6"/>
  <c r="U3007" i="6" s="1"/>
  <c r="T3004" i="6"/>
  <c r="U3004" i="6" s="1"/>
  <c r="T3002" i="6"/>
  <c r="U3002" i="6" s="1"/>
  <c r="T3000" i="6"/>
  <c r="U3000" i="6" s="1"/>
  <c r="T2998" i="6"/>
  <c r="U2998" i="6" s="1"/>
  <c r="T2996" i="6"/>
  <c r="U2996" i="6" s="1"/>
  <c r="T2994" i="6"/>
  <c r="U2994" i="6" s="1"/>
  <c r="T2992" i="6"/>
  <c r="U2992" i="6" s="1"/>
  <c r="U2988" i="6"/>
  <c r="T2986" i="6"/>
  <c r="U2986" i="6" s="1"/>
  <c r="T2984" i="6"/>
  <c r="U2984" i="6" s="1"/>
  <c r="T2982" i="6"/>
  <c r="U2982" i="6" s="1"/>
  <c r="T2980" i="6"/>
  <c r="U2980" i="6" s="1"/>
  <c r="T2978" i="6"/>
  <c r="U2978" i="6" s="1"/>
  <c r="T2976" i="6"/>
  <c r="U2976" i="6" s="1"/>
  <c r="T2974" i="6"/>
  <c r="U2974" i="6" s="1"/>
  <c r="T2972" i="6"/>
  <c r="U2972" i="6" s="1"/>
  <c r="T2969" i="6"/>
  <c r="U2969" i="6" s="1"/>
  <c r="T2966" i="6"/>
  <c r="U2966" i="6" s="1"/>
  <c r="T2964" i="6"/>
  <c r="U2964" i="6" s="1"/>
  <c r="T2961" i="6"/>
  <c r="U2961" i="6" s="1"/>
  <c r="R2958" i="6"/>
  <c r="U2958" i="6" s="1"/>
  <c r="T2955" i="6"/>
  <c r="U2955" i="6" s="1"/>
  <c r="R2952" i="6"/>
  <c r="T2952" i="6" s="1"/>
  <c r="U2952" i="6" s="1"/>
  <c r="T2949" i="6"/>
  <c r="U2949" i="6" s="1"/>
  <c r="T2946" i="6"/>
  <c r="U2946" i="6" s="1"/>
  <c r="T2943" i="6"/>
  <c r="U2943" i="6" s="1"/>
  <c r="T2940" i="6"/>
  <c r="U2940" i="6" s="1"/>
  <c r="T2938" i="6"/>
  <c r="U2938" i="6" s="1"/>
  <c r="T2936" i="6"/>
  <c r="U2936" i="6" s="1"/>
  <c r="T2933" i="6"/>
  <c r="U2933" i="6" s="1"/>
  <c r="R2930" i="6"/>
  <c r="T2930" i="6" s="1"/>
  <c r="U2930" i="6" s="1"/>
  <c r="T2928" i="6"/>
  <c r="U2928" i="6" s="1"/>
  <c r="R2925" i="6"/>
  <c r="T2925" i="6" s="1"/>
  <c r="U2925" i="6" s="1"/>
  <c r="T2923" i="6"/>
  <c r="U2923" i="6" s="1"/>
  <c r="T2921" i="6"/>
  <c r="U2921" i="6" s="1"/>
  <c r="T2919" i="6"/>
  <c r="U2919" i="6" s="1"/>
  <c r="T2917" i="6"/>
  <c r="U2917" i="6" s="1"/>
  <c r="T2914" i="6"/>
  <c r="U2914" i="6" s="1"/>
  <c r="R2911" i="6"/>
  <c r="T2911" i="6" s="1"/>
  <c r="U2911" i="6" s="1"/>
  <c r="T2908" i="6"/>
  <c r="U2908" i="6" s="1"/>
  <c r="R2906" i="6"/>
  <c r="T2906" i="6" s="1"/>
  <c r="U2906" i="6" s="1"/>
  <c r="T2903" i="6"/>
  <c r="U2903" i="6" s="1"/>
  <c r="R2897" i="6"/>
  <c r="T2897" i="6" s="1"/>
  <c r="U2897" i="6" s="1"/>
  <c r="R2900" i="6"/>
  <c r="T2900" i="6" s="1"/>
  <c r="U2900" i="6" s="1"/>
  <c r="T2895" i="6"/>
  <c r="U2895" i="6" s="1"/>
  <c r="R2892" i="6"/>
  <c r="T2892" i="6" s="1"/>
  <c r="U2892" i="6" s="1"/>
  <c r="R2889" i="6"/>
  <c r="T2889" i="6" s="1"/>
  <c r="U2889" i="6" s="1"/>
  <c r="T2886" i="6"/>
  <c r="U2886" i="6" s="1"/>
  <c r="T2883" i="6"/>
  <c r="U2883" i="6" s="1"/>
  <c r="T2880" i="6"/>
  <c r="U2880" i="6" s="1"/>
  <c r="T2878" i="6"/>
  <c r="U2878" i="6" s="1"/>
  <c r="R2875" i="6"/>
  <c r="T2875" i="6" s="1"/>
  <c r="U2875" i="6" s="1"/>
  <c r="R2872" i="6"/>
  <c r="T2872" i="6" s="1"/>
  <c r="U2872" i="6" s="1"/>
  <c r="R2870" i="6"/>
  <c r="T2870" i="6" s="1"/>
  <c r="U2870" i="6" s="1"/>
  <c r="R2867" i="6"/>
  <c r="T2867" i="6" s="1"/>
  <c r="U2867" i="6" s="1"/>
  <c r="R2864" i="6"/>
  <c r="T2864" i="6" s="1"/>
  <c r="U2864" i="6" s="1"/>
  <c r="T2861" i="6"/>
  <c r="U2861" i="6" s="1"/>
  <c r="R2859" i="6"/>
  <c r="T2859" i="6" s="1"/>
  <c r="U2859" i="6" s="1"/>
  <c r="T2856" i="6"/>
  <c r="U2856" i="6" s="1"/>
  <c r="T2854" i="6"/>
  <c r="U2854" i="6" s="1"/>
  <c r="T2852" i="6"/>
  <c r="U2852" i="6" s="1"/>
  <c r="R2849" i="6"/>
  <c r="T2849" i="6" s="1"/>
  <c r="U2849" i="6" s="1"/>
  <c r="T2846" i="6" l="1"/>
  <c r="U2846" i="6" s="1"/>
  <c r="T2843" i="6" l="1"/>
  <c r="U2843" i="6" s="1"/>
  <c r="T2840" i="6"/>
  <c r="U2840" i="6" s="1"/>
  <c r="R2838" i="6"/>
  <c r="T2838" i="6" s="1"/>
  <c r="U2838" i="6" s="1"/>
  <c r="R2836" i="6"/>
  <c r="T2836" i="6" s="1"/>
  <c r="U2836" i="6" s="1"/>
  <c r="R2833" i="6"/>
  <c r="T2833" i="6" s="1"/>
  <c r="U2833" i="6" s="1"/>
  <c r="R2830" i="6"/>
  <c r="T2830" i="6" s="1"/>
  <c r="U2830" i="6" s="1"/>
  <c r="R2827" i="6"/>
  <c r="T2827" i="6" s="1"/>
  <c r="U2827" i="6" s="1"/>
  <c r="R2824" i="6"/>
  <c r="T2824" i="6" s="1"/>
  <c r="U2824" i="6" s="1"/>
  <c r="R2821" i="6"/>
  <c r="T2821" i="6" s="1"/>
  <c r="U2821" i="6" s="1"/>
  <c r="R2818" i="6"/>
  <c r="T2818" i="6" s="1"/>
  <c r="U2818" i="6" s="1"/>
  <c r="T2815" i="6"/>
  <c r="U2815" i="6" s="1"/>
  <c r="T2813" i="6"/>
  <c r="U2813" i="6" s="1"/>
  <c r="T2811" i="6"/>
  <c r="U2811" i="6" s="1"/>
  <c r="R2809" i="6"/>
  <c r="T2809" i="6" s="1"/>
  <c r="U2809" i="6" s="1"/>
  <c r="R2806" i="6"/>
  <c r="T2806" i="6" s="1"/>
  <c r="U2806" i="6" s="1"/>
  <c r="R2803" i="6"/>
  <c r="T2803" i="6" s="1"/>
  <c r="U2803" i="6" s="1"/>
  <c r="R2800" i="6"/>
  <c r="T2800" i="6" s="1"/>
  <c r="U2800" i="6" s="1"/>
  <c r="R2797" i="6"/>
  <c r="T2797" i="6" s="1"/>
  <c r="U2797" i="6" s="1"/>
  <c r="R2794" i="6"/>
  <c r="T2794" i="6" s="1"/>
  <c r="U2794" i="6" s="1"/>
  <c r="T2791" i="6"/>
  <c r="U2791" i="6" s="1"/>
  <c r="T2789" i="6"/>
  <c r="U2789" i="6" s="1"/>
  <c r="T2787" i="6"/>
  <c r="U2787" i="6" s="1"/>
  <c r="T2785" i="6"/>
  <c r="U2785" i="6" s="1"/>
  <c r="T2783" i="6"/>
  <c r="U2783" i="6" s="1"/>
  <c r="T2781" i="6"/>
  <c r="U2781" i="6" s="1"/>
  <c r="T2779" i="6"/>
  <c r="U2779" i="6" s="1"/>
  <c r="T2777" i="6"/>
  <c r="U2777" i="6" s="1"/>
  <c r="T2775" i="6"/>
  <c r="U2775" i="6" s="1"/>
  <c r="T2773" i="6"/>
  <c r="U2773" i="6" s="1"/>
  <c r="T2771" i="6"/>
  <c r="U2771" i="6" s="1"/>
  <c r="T2769" i="6"/>
  <c r="U2769" i="6" s="1"/>
  <c r="T2767" i="6"/>
  <c r="U2767" i="6" s="1"/>
  <c r="T2765" i="6"/>
  <c r="U2765" i="6" s="1"/>
  <c r="T2762" i="6"/>
  <c r="U2762" i="6" s="1"/>
  <c r="T2760" i="6"/>
  <c r="U2760" i="6" s="1"/>
  <c r="T2758" i="6"/>
  <c r="U2758" i="6" s="1"/>
  <c r="T2755" i="6"/>
  <c r="U2755" i="6" s="1"/>
  <c r="T2753" i="6"/>
  <c r="U2753" i="6" s="1"/>
  <c r="T2751" i="6"/>
  <c r="U2751" i="6" s="1"/>
  <c r="T2749" i="6"/>
  <c r="U2749" i="6" s="1"/>
  <c r="T2747" i="6"/>
  <c r="U2747" i="6" s="1"/>
  <c r="T2745" i="6"/>
  <c r="U2745" i="6" s="1"/>
  <c r="T2743" i="6"/>
  <c r="U2743" i="6" s="1"/>
  <c r="T2741" i="6"/>
  <c r="U2741" i="6" s="1"/>
  <c r="T2739" i="6"/>
  <c r="U2739" i="6" s="1"/>
  <c r="T2737" i="6"/>
  <c r="U2737" i="6" s="1"/>
  <c r="R2735" i="6"/>
  <c r="T2735" i="6" s="1"/>
  <c r="U2735" i="6" s="1"/>
  <c r="T2729" i="6"/>
  <c r="U2729" i="6" s="1"/>
  <c r="T2726" i="6"/>
  <c r="U2726" i="6" s="1"/>
  <c r="T2723" i="6"/>
  <c r="U2723" i="6" s="1"/>
  <c r="T2721" i="6"/>
  <c r="U2721" i="6" s="1"/>
  <c r="T2719" i="6"/>
  <c r="U2719" i="6" s="1"/>
  <c r="T2717" i="6"/>
  <c r="U2717" i="6" s="1"/>
  <c r="T2715" i="6"/>
  <c r="U2715" i="6" s="1"/>
  <c r="T2713" i="6"/>
  <c r="U2713" i="6" s="1"/>
  <c r="U2707" i="6"/>
  <c r="T2705" i="6"/>
  <c r="U2705" i="6" s="1"/>
  <c r="T2702" i="6"/>
  <c r="U2702" i="6" s="1"/>
  <c r="R2700" i="6"/>
  <c r="T2700" i="6" s="1"/>
  <c r="U2700" i="6" s="1"/>
  <c r="R2697" i="6"/>
  <c r="T2697" i="6" s="1"/>
  <c r="U2697" i="6" s="1"/>
  <c r="T2695" i="6"/>
  <c r="U2695" i="6" s="1"/>
  <c r="T2693" i="6"/>
  <c r="U2693" i="6" s="1"/>
  <c r="R2691" i="6"/>
  <c r="T2691" i="6" s="1"/>
  <c r="U2691" i="6" s="1"/>
  <c r="T2689" i="6"/>
  <c r="U2689" i="6" s="1"/>
  <c r="R2687" i="6"/>
  <c r="T2687" i="6" s="1"/>
  <c r="U2687" i="6" s="1"/>
  <c r="R2684" i="6"/>
  <c r="T2684" i="6" s="1"/>
  <c r="U2684" i="6" s="1"/>
  <c r="T2681" i="6"/>
  <c r="U2681" i="6" s="1"/>
  <c r="T2678" i="6"/>
  <c r="U2678" i="6" s="1"/>
  <c r="R2675" i="6"/>
  <c r="T2675" i="6" s="1"/>
  <c r="U2675" i="6" s="1"/>
  <c r="R2672" i="6"/>
  <c r="T2672" i="6" s="1"/>
  <c r="U2672" i="6" s="1"/>
  <c r="R2669" i="6"/>
  <c r="T2669" i="6" s="1"/>
  <c r="U2669" i="6" s="1"/>
  <c r="T2666" i="6"/>
  <c r="U2666" i="6" s="1"/>
  <c r="R2664" i="6"/>
  <c r="T2664" i="6" s="1"/>
  <c r="U2664" i="6" s="1"/>
  <c r="R2661" i="6"/>
  <c r="T2661" i="6" s="1"/>
  <c r="U2661" i="6" s="1"/>
  <c r="R2658" i="6"/>
  <c r="T2658" i="6" s="1"/>
  <c r="U2658" i="6" s="1"/>
  <c r="R2655" i="6"/>
  <c r="T2655" i="6" s="1"/>
  <c r="U2655" i="6" s="1"/>
  <c r="R2652" i="6"/>
  <c r="T2652" i="6" s="1"/>
  <c r="U2652" i="6" s="1"/>
  <c r="R2649" i="6"/>
  <c r="T2649" i="6" s="1"/>
  <c r="U2649" i="6" s="1"/>
  <c r="T2646" i="6"/>
  <c r="U2646" i="6" s="1"/>
  <c r="R2643" i="6"/>
  <c r="T2643" i="6" s="1"/>
  <c r="U2643" i="6" s="1"/>
  <c r="T2640" i="6"/>
  <c r="U2640" i="6" s="1"/>
  <c r="R2637" i="6"/>
  <c r="T2637" i="6" s="1"/>
  <c r="U2637" i="6" s="1"/>
  <c r="R2635" i="6"/>
  <c r="T2635" i="6" s="1"/>
  <c r="U2635" i="6" s="1"/>
  <c r="R2632" i="6"/>
  <c r="T2632" i="6" s="1"/>
  <c r="U2632" i="6" s="1"/>
  <c r="R2630" i="6"/>
  <c r="T2630" i="6" s="1"/>
  <c r="U2630" i="6" s="1"/>
  <c r="R2627" i="6"/>
  <c r="T2627" i="6" s="1"/>
  <c r="U2627" i="6" s="1"/>
  <c r="R2625" i="6"/>
  <c r="T2625" i="6" s="1"/>
  <c r="U2625" i="6" s="1"/>
  <c r="R2623" i="6"/>
  <c r="T2623" i="6" s="1"/>
  <c r="U2623" i="6" s="1"/>
  <c r="R2620" i="6"/>
  <c r="T2620" i="6" s="1"/>
  <c r="U2620" i="6" s="1"/>
  <c r="T2617" i="6"/>
  <c r="U2617" i="6" s="1"/>
  <c r="R2614" i="6"/>
  <c r="T2614" i="6" s="1"/>
  <c r="U2614" i="6" s="1"/>
  <c r="R2611" i="6"/>
  <c r="T2611" i="6" s="1"/>
  <c r="U2611" i="6" s="1"/>
  <c r="R2608" i="6"/>
  <c r="T2608" i="6" s="1"/>
  <c r="U2608" i="6" s="1"/>
  <c r="R2605" i="6"/>
  <c r="T2605" i="6" s="1"/>
  <c r="U2605" i="6" s="1"/>
  <c r="R2602" i="6"/>
  <c r="T2602" i="6" s="1"/>
  <c r="U2602" i="6" s="1"/>
  <c r="T2600" i="6"/>
  <c r="U2600" i="6" s="1"/>
  <c r="T2597" i="6"/>
  <c r="U2597" i="6" s="1"/>
  <c r="T2595" i="6"/>
  <c r="U2595" i="6" s="1"/>
  <c r="T2593" i="6"/>
  <c r="U2593" i="6" s="1"/>
  <c r="R2590" i="6"/>
  <c r="T2590" i="6" s="1"/>
  <c r="U2590" i="6" s="1"/>
  <c r="R2587" i="6"/>
  <c r="T2587" i="6" s="1"/>
  <c r="U2587" i="6" s="1"/>
  <c r="R2585" i="6"/>
  <c r="T2585" i="6" s="1"/>
  <c r="U2585" i="6" s="1"/>
  <c r="T2582" i="6"/>
  <c r="U2582" i="6" s="1"/>
  <c r="R2576" i="6"/>
  <c r="U2576" i="6" s="1"/>
  <c r="R2573" i="6"/>
  <c r="U2573" i="6" s="1"/>
  <c r="R2579" i="6"/>
  <c r="U2579" i="6" s="1"/>
  <c r="R2569" i="6"/>
  <c r="U2569" i="6" s="1"/>
  <c r="R2544" i="6"/>
  <c r="R2543" i="6"/>
  <c r="U2543" i="6" s="1"/>
  <c r="T2541" i="6"/>
  <c r="U2541" i="6" s="1"/>
  <c r="T2539" i="6"/>
  <c r="U2539" i="6" s="1"/>
  <c r="R2536" i="6"/>
  <c r="T2536" i="6" s="1"/>
  <c r="U2536" i="6" s="1"/>
  <c r="U2532" i="6"/>
  <c r="T2530" i="6"/>
  <c r="U2530" i="6" s="1"/>
  <c r="R2528" i="6"/>
  <c r="T2528" i="6" s="1"/>
  <c r="U2528" i="6" s="1"/>
  <c r="T2525" i="6"/>
  <c r="U2525" i="6" s="1"/>
  <c r="T2522" i="6"/>
  <c r="U2522" i="6" s="1"/>
  <c r="R2519" i="6"/>
  <c r="T2519" i="6" s="1"/>
  <c r="U2519" i="6" s="1"/>
  <c r="T2517" i="6"/>
  <c r="U2517" i="6" s="1"/>
  <c r="T2515" i="6"/>
  <c r="U2515" i="6" s="1"/>
  <c r="T2513" i="6"/>
  <c r="U2513" i="6" s="1"/>
  <c r="T2511" i="6"/>
  <c r="U2511" i="6" s="1"/>
  <c r="T2509" i="6"/>
  <c r="U2509" i="6" s="1"/>
  <c r="T2507" i="6"/>
  <c r="U2507" i="6" s="1"/>
  <c r="R2504" i="6"/>
  <c r="U2504" i="6" s="1"/>
  <c r="U2501" i="6"/>
  <c r="U2497" i="6"/>
  <c r="R2494" i="6"/>
  <c r="T2494" i="6" s="1"/>
  <c r="U2494" i="6" s="1"/>
  <c r="T2492" i="6"/>
  <c r="U2492" i="6" s="1"/>
  <c r="T2490" i="6"/>
  <c r="U2490" i="6" s="1"/>
  <c r="T2488" i="6"/>
  <c r="U2488" i="6" s="1"/>
  <c r="R2485" i="6"/>
  <c r="U2485" i="6" s="1"/>
  <c r="R2482" i="6"/>
  <c r="T2482" i="6" s="1"/>
  <c r="U2482" i="6" s="1"/>
  <c r="T2479" i="6"/>
  <c r="U2479" i="6" s="1"/>
  <c r="R2477" i="6"/>
  <c r="T2477" i="6" s="1"/>
  <c r="U2477" i="6" s="1"/>
  <c r="R2475" i="6" l="1"/>
  <c r="T2475" i="6" s="1"/>
  <c r="U2475" i="6" s="1"/>
  <c r="R2472" i="6"/>
  <c r="T2472" i="6" s="1"/>
  <c r="U2472" i="6" s="1"/>
  <c r="R2473" i="6"/>
  <c r="U2473" i="6"/>
  <c r="R2469" i="6"/>
  <c r="U2469" i="6" s="1"/>
  <c r="R2464" i="6"/>
  <c r="U2464" i="6" s="1"/>
  <c r="U2460" i="6"/>
  <c r="U2458" i="6"/>
  <c r="T2455" i="6"/>
  <c r="U2455" i="6" s="1"/>
  <c r="R2453" i="6"/>
  <c r="T2453" i="6" s="1"/>
  <c r="U2453" i="6" s="1"/>
  <c r="T2450" i="6"/>
  <c r="U2450" i="6" s="1"/>
  <c r="R2447" i="6"/>
  <c r="T2447" i="6" s="1"/>
  <c r="U2447" i="6" s="1"/>
  <c r="R2443" i="6"/>
  <c r="U2443" i="6" s="1"/>
  <c r="R2441" i="6"/>
  <c r="T2441" i="6" s="1"/>
  <c r="U2441" i="6" s="1"/>
  <c r="R2435" i="6"/>
  <c r="U2435" i="6" s="1"/>
  <c r="U2430" i="6"/>
  <c r="R2428" i="6"/>
  <c r="T2428" i="6" s="1"/>
  <c r="U2428" i="6" s="1"/>
  <c r="R2425" i="6"/>
  <c r="U2425" i="6" s="1"/>
  <c r="U2422" i="6"/>
  <c r="R2419" i="6"/>
  <c r="U2419" i="6" s="1"/>
  <c r="R2417" i="6"/>
  <c r="T2417" i="6" s="1"/>
  <c r="U2417" i="6" s="1"/>
  <c r="T2415" i="6"/>
  <c r="U2415" i="6" s="1"/>
  <c r="R2413" i="6"/>
  <c r="T2413" i="6" s="1"/>
  <c r="U2413" i="6" s="1"/>
  <c r="R2411" i="6"/>
  <c r="T2411" i="6" s="1"/>
  <c r="U2411" i="6" s="1"/>
  <c r="T2409" i="6"/>
  <c r="U2409" i="6" s="1"/>
  <c r="R2407" i="6"/>
  <c r="T2407" i="6" s="1"/>
  <c r="U2407" i="6" s="1"/>
  <c r="R2405" i="6"/>
  <c r="T2405" i="6" s="1"/>
  <c r="U2405" i="6" s="1"/>
  <c r="R2387" i="6"/>
  <c r="U2387" i="6" s="1"/>
  <c r="T2402" i="6"/>
  <c r="U2402" i="6" s="1"/>
  <c r="U2399" i="6"/>
  <c r="R2397" i="6"/>
  <c r="T2397" i="6" s="1"/>
  <c r="U2397" i="6" s="1"/>
  <c r="R2395" i="6"/>
  <c r="T2395" i="6" s="1"/>
  <c r="U2395" i="6" s="1"/>
  <c r="U2390" i="6"/>
  <c r="R2378" i="6"/>
  <c r="U2378" i="6" s="1"/>
  <c r="U2384" i="6"/>
  <c r="R2375" i="6"/>
  <c r="R2374" i="6"/>
  <c r="U2374" i="6" s="1"/>
  <c r="R2371" i="6"/>
  <c r="U2371" i="6" s="1"/>
  <c r="R2368" i="6"/>
  <c r="T2368" i="6" s="1"/>
  <c r="U2368" i="6" s="1"/>
  <c r="T2366" i="6"/>
  <c r="U2366" i="6" s="1"/>
  <c r="T2363" i="6"/>
  <c r="U2363" i="6" s="1"/>
  <c r="T2361" i="6"/>
  <c r="U2361" i="6" s="1"/>
  <c r="T2358" i="6"/>
  <c r="U2358" i="6" s="1"/>
  <c r="T2356" i="6"/>
  <c r="U2356" i="6" s="1"/>
  <c r="U2353" i="6"/>
  <c r="T2351" i="6"/>
  <c r="U2351" i="6" s="1"/>
  <c r="U2348" i="6"/>
  <c r="T2346" i="6"/>
  <c r="U2346" i="6" s="1"/>
  <c r="U2342" i="6"/>
  <c r="T2340" i="6"/>
  <c r="U2340" i="6" s="1"/>
  <c r="R2338" i="6"/>
  <c r="T2338" i="6" s="1"/>
  <c r="U2338" i="6" s="1"/>
  <c r="R2335" i="6"/>
  <c r="U2335" i="6" s="1"/>
  <c r="T2330" i="6"/>
  <c r="U2330" i="6" s="1"/>
  <c r="T2328" i="6"/>
  <c r="U2328" i="6" s="1"/>
  <c r="T2326" i="6"/>
  <c r="U2326" i="6" s="1"/>
  <c r="T2324" i="6"/>
  <c r="U2324" i="6" s="1"/>
  <c r="T2322" i="6"/>
  <c r="U2322" i="6" s="1"/>
  <c r="T2320" i="6"/>
  <c r="U2320" i="6" s="1"/>
  <c r="T2318" i="6"/>
  <c r="U2318" i="6" s="1"/>
  <c r="T2316" i="6"/>
  <c r="U2316" i="6" s="1"/>
  <c r="T2314" i="6"/>
  <c r="U2314" i="6" s="1"/>
  <c r="T2312" i="6"/>
  <c r="U2312" i="6" s="1"/>
  <c r="T2310" i="6"/>
  <c r="U2310" i="6" s="1"/>
  <c r="T2308" i="6"/>
  <c r="U2308" i="6" s="1"/>
  <c r="T2306" i="6"/>
  <c r="U2306" i="6" s="1"/>
  <c r="R2303" i="6"/>
  <c r="U2303" i="6" s="1"/>
  <c r="R2300" i="6"/>
  <c r="T2300" i="6" s="1"/>
  <c r="U2300" i="6" s="1"/>
  <c r="T2298" i="6"/>
  <c r="U2298" i="6" s="1"/>
  <c r="T2296" i="6"/>
  <c r="U2296" i="6" s="1"/>
  <c r="T2294" i="6"/>
  <c r="U2294" i="6" s="1"/>
  <c r="R2292" i="6"/>
  <c r="T2292" i="6" s="1"/>
  <c r="U2292" i="6" s="1"/>
  <c r="U2288" i="6"/>
  <c r="T2286" i="6"/>
  <c r="U2286" i="6" s="1"/>
  <c r="T2283" i="6"/>
  <c r="U2283" i="6" s="1"/>
  <c r="T2281" i="6"/>
  <c r="U2281" i="6" s="1"/>
  <c r="T2278" i="6"/>
  <c r="U2278" i="6" s="1"/>
  <c r="T2276" i="6"/>
  <c r="U2276" i="6" s="1"/>
  <c r="T2274" i="6"/>
  <c r="U2274" i="6" s="1"/>
  <c r="T2269" i="6"/>
  <c r="U2269" i="6" s="1"/>
  <c r="T2272" i="6"/>
  <c r="U2272" i="6" s="1"/>
  <c r="T2267" i="6"/>
  <c r="U2267" i="6" s="1"/>
  <c r="T2265" i="6"/>
  <c r="U2265" i="6" s="1"/>
  <c r="T2263" i="6"/>
  <c r="U2263" i="6" s="1"/>
  <c r="R2259" i="6"/>
  <c r="T2259" i="6" s="1"/>
  <c r="U2259" i="6" s="1"/>
  <c r="R2257" i="6"/>
  <c r="T2257" i="6" s="1"/>
  <c r="U2257" i="6" s="1"/>
  <c r="T2253" i="6"/>
  <c r="T2254" i="6"/>
  <c r="U2254" i="6" s="1"/>
  <c r="T2252" i="6"/>
  <c r="U2252" i="6" s="1"/>
  <c r="T2250" i="6"/>
  <c r="U2250" i="6" s="1"/>
  <c r="R2248" i="6"/>
  <c r="T2248" i="6" s="1"/>
  <c r="U2248" i="6" s="1"/>
  <c r="R2246" i="6"/>
  <c r="T2246" i="6" s="1"/>
  <c r="U2246" i="6" s="1"/>
  <c r="R2244" i="6"/>
  <c r="T2244" i="6" s="1"/>
  <c r="U2244" i="6" s="1"/>
  <c r="T2242" i="6"/>
  <c r="U2242" i="6" s="1"/>
  <c r="R2240" i="6"/>
  <c r="T2240" i="6" s="1"/>
  <c r="U2240" i="6" s="1"/>
  <c r="T2238" i="6"/>
  <c r="U2238" i="6" s="1"/>
  <c r="R2235" i="6"/>
  <c r="T2235" i="6" s="1"/>
  <c r="U2235" i="6" s="1"/>
  <c r="T2233" i="6"/>
  <c r="U2233" i="6" s="1"/>
  <c r="R2234" i="6"/>
  <c r="U2234" i="6"/>
  <c r="R2231" i="6"/>
  <c r="T2231" i="6" s="1"/>
  <c r="U2231" i="6" s="1"/>
  <c r="T2228" i="6"/>
  <c r="U2228" i="6" s="1"/>
  <c r="T2226" i="6"/>
  <c r="U2226" i="6" s="1"/>
  <c r="R2224" i="6"/>
  <c r="T2224" i="6" s="1"/>
  <c r="U2224" i="6" s="1"/>
  <c r="U2221" i="6"/>
  <c r="R2219" i="6"/>
  <c r="T2219" i="6" s="1"/>
  <c r="U2219" i="6" s="1"/>
  <c r="R2215" i="6"/>
  <c r="U2215" i="6" s="1"/>
  <c r="R2213" i="6"/>
  <c r="T2213" i="6" s="1"/>
  <c r="U2213" i="6" s="1"/>
  <c r="R2211" i="6"/>
  <c r="T2211" i="6" s="1"/>
  <c r="U2211" i="6" s="1"/>
  <c r="T2206" i="6" l="1"/>
  <c r="U2206" i="6" s="1"/>
  <c r="T2208" i="6"/>
  <c r="U2208" i="6" s="1"/>
  <c r="U2207" i="6"/>
  <c r="R2203" i="6"/>
  <c r="U2203" i="6" s="1"/>
  <c r="T2201" i="6"/>
  <c r="U2201" i="6" s="1"/>
  <c r="T2198" i="6"/>
  <c r="U2198" i="6" s="1"/>
  <c r="T2196" i="6"/>
  <c r="U2196" i="6" s="1"/>
  <c r="U2193" i="6"/>
  <c r="R2191" i="6"/>
  <c r="T2191" i="6" s="1"/>
  <c r="U2191" i="6" s="1"/>
  <c r="T2189" i="6"/>
  <c r="U2189" i="6" s="1"/>
  <c r="R2187" i="6"/>
  <c r="T2187" i="6" s="1"/>
  <c r="U2187" i="6" s="1"/>
  <c r="T2185" i="6"/>
  <c r="U2185" i="6" s="1"/>
  <c r="T2183" i="6"/>
  <c r="U2183" i="6" s="1"/>
  <c r="R2181" i="6"/>
  <c r="T2181" i="6" s="1"/>
  <c r="U2181" i="6" s="1"/>
  <c r="R2178" i="6"/>
  <c r="U2178" i="6" s="1"/>
  <c r="R2175" i="6"/>
  <c r="T2175" i="6" s="1"/>
  <c r="U2175" i="6" s="1"/>
  <c r="T2173" i="6"/>
  <c r="U2173" i="6" s="1"/>
  <c r="T2170" i="6"/>
  <c r="U2170" i="6" s="1"/>
  <c r="U2167" i="6"/>
  <c r="R2142" i="6"/>
  <c r="T2142" i="6" s="1"/>
  <c r="U2142" i="6" s="1"/>
  <c r="R2140" i="6"/>
  <c r="T2140" i="6" s="1"/>
  <c r="U2140" i="6" s="1"/>
  <c r="T2118" i="6" l="1"/>
  <c r="U2118" i="6" s="1"/>
  <c r="T2116" i="6"/>
  <c r="U2116" i="6" s="1"/>
  <c r="T2114" i="6"/>
  <c r="U2114" i="6" s="1"/>
  <c r="U2111" i="6"/>
  <c r="R2087" i="6"/>
  <c r="T2087" i="6" s="1"/>
  <c r="U2087" i="6" s="1"/>
  <c r="U2081" i="6"/>
  <c r="T2078" i="6"/>
  <c r="U2078" i="6" s="1"/>
  <c r="U2073" i="6"/>
  <c r="R2073" i="6"/>
  <c r="U2070" i="6"/>
  <c r="T2066" i="6"/>
  <c r="U2066" i="6" s="1"/>
  <c r="T2064" i="6"/>
  <c r="U2064" i="6" s="1"/>
  <c r="T2062" i="6"/>
  <c r="U2062" i="6" s="1"/>
  <c r="T2060" i="6"/>
  <c r="U2060" i="6" s="1"/>
  <c r="U2061" i="6"/>
  <c r="T2058" i="6"/>
  <c r="U2058" i="6" s="1"/>
  <c r="T2056" i="6"/>
  <c r="U2056" i="6" s="1"/>
  <c r="T2054" i="6"/>
  <c r="U2054" i="6" s="1"/>
  <c r="U2051" i="6"/>
  <c r="T2049" i="6"/>
  <c r="U2049" i="6" s="1"/>
  <c r="R2047" i="6"/>
  <c r="T2047" i="6" s="1"/>
  <c r="U2047" i="6" s="1"/>
  <c r="R2045" i="6"/>
  <c r="T2045" i="6" s="1"/>
  <c r="U2045" i="6" s="1"/>
  <c r="U2042" i="6"/>
  <c r="T2040" i="6"/>
  <c r="U2040" i="6" s="1"/>
  <c r="T2038" i="6"/>
  <c r="U2038" i="6" s="1"/>
  <c r="R2036" i="6"/>
  <c r="T2036" i="6" s="1"/>
  <c r="U2036" i="6" s="1"/>
  <c r="R2033" i="6"/>
  <c r="U2033" i="6" s="1"/>
  <c r="R2031" i="6"/>
  <c r="T2031" i="6" s="1"/>
  <c r="U2031" i="6" s="1"/>
  <c r="R2029" i="6"/>
  <c r="T2029" i="6" s="1"/>
  <c r="U2029" i="6" s="1"/>
  <c r="T2027" i="6"/>
  <c r="U2027" i="6" s="1"/>
  <c r="R2025" i="6"/>
  <c r="T2025" i="6" s="1"/>
  <c r="U2025" i="6" s="1"/>
  <c r="U4203" i="6" l="1"/>
  <c r="T3427" i="6"/>
  <c r="U3427" i="6" s="1"/>
  <c r="U3915" i="6"/>
  <c r="U3912" i="6"/>
  <c r="U3955" i="6"/>
  <c r="U4117" i="6"/>
  <c r="T3240" i="6"/>
  <c r="U3240" i="6" s="1"/>
  <c r="T3238" i="6"/>
  <c r="U3238" i="6" s="1"/>
  <c r="T3236" i="6"/>
  <c r="U3236" i="6" s="1"/>
  <c r="T3234" i="6"/>
  <c r="U3234" i="6" s="1"/>
  <c r="T3232" i="6"/>
  <c r="U3232" i="6" s="1"/>
  <c r="T3230" i="6"/>
  <c r="U3230" i="6" s="1"/>
  <c r="T3228" i="6"/>
  <c r="U3228" i="6" s="1"/>
  <c r="T3226" i="6"/>
  <c r="U3226" i="6" s="1"/>
  <c r="T3224" i="6"/>
  <c r="U3224" i="6" s="1"/>
  <c r="T3222" i="6"/>
  <c r="U3222" i="6" s="1"/>
  <c r="T3220" i="6"/>
  <c r="U3220" i="6" s="1"/>
  <c r="T3218" i="6"/>
  <c r="U3218" i="6" s="1"/>
  <c r="T3216" i="6"/>
  <c r="U3216" i="6" s="1"/>
  <c r="T3214" i="6"/>
  <c r="U3214" i="6" s="1"/>
  <c r="T3212" i="6"/>
  <c r="U3212" i="6" s="1"/>
  <c r="T3210" i="6"/>
  <c r="U3210" i="6" s="1"/>
  <c r="T3208" i="6"/>
  <c r="U3208" i="6" s="1"/>
  <c r="T3206" i="6"/>
  <c r="U3206" i="6" s="1"/>
  <c r="T3204" i="6"/>
  <c r="U3424" i="6"/>
  <c r="U3204" i="6" l="1"/>
  <c r="U4127" i="6"/>
  <c r="U3953" i="6"/>
  <c r="T3904" i="6"/>
  <c r="U3899" i="6"/>
  <c r="U4177" i="6"/>
  <c r="T4174" i="6"/>
  <c r="U4174" i="6" s="1"/>
  <c r="U3950" i="6"/>
  <c r="U4228" i="6"/>
  <c r="U4225" i="6"/>
  <c r="U4223" i="6"/>
  <c r="U4215" i="6"/>
  <c r="U3952" i="6"/>
  <c r="U3951" i="6"/>
  <c r="T1140" i="6"/>
  <c r="U1140" i="6" s="1"/>
  <c r="U3948" i="6"/>
  <c r="U3930" i="6"/>
  <c r="U3928" i="6"/>
  <c r="U3941" i="6"/>
  <c r="U3939" i="6"/>
  <c r="U4081" i="6"/>
  <c r="U4077" i="6"/>
  <c r="T3379" i="6"/>
  <c r="U3379" i="6" s="1"/>
  <c r="T3377" i="6"/>
  <c r="U3377" i="6" s="1"/>
  <c r="T4219" i="6"/>
  <c r="U4219" i="6" s="1"/>
  <c r="T4023" i="6"/>
  <c r="U4023" i="6" s="1"/>
  <c r="T3156" i="6"/>
  <c r="U3156" i="6" s="1"/>
  <c r="T3115" i="6"/>
  <c r="U3115" i="6" s="1"/>
  <c r="T3113" i="6"/>
  <c r="U3113" i="6" s="1"/>
  <c r="T3111" i="6"/>
  <c r="U3111" i="6" s="1"/>
  <c r="T3109" i="6"/>
  <c r="U3109" i="6" s="1"/>
  <c r="T3107" i="6"/>
  <c r="U3107" i="6" s="1"/>
  <c r="T3105" i="6"/>
  <c r="U3105" i="6" s="1"/>
  <c r="T3103" i="6"/>
  <c r="U3103" i="6" s="1"/>
  <c r="T3101" i="6"/>
  <c r="U3101" i="6" s="1"/>
  <c r="T3099" i="6"/>
  <c r="U3099" i="6" s="1"/>
  <c r="T3097" i="6"/>
  <c r="U3097" i="6" s="1"/>
  <c r="T3095" i="6"/>
  <c r="U3095" i="6" s="1"/>
  <c r="T3093" i="6"/>
  <c r="U3093" i="6" s="1"/>
  <c r="U871" i="6"/>
  <c r="U866" i="6"/>
  <c r="U3421" i="6"/>
  <c r="U3418" i="6"/>
  <c r="U3415" i="6"/>
  <c r="U3412" i="6"/>
  <c r="U3409" i="6"/>
  <c r="U3904" i="6" l="1"/>
  <c r="U4229" i="6"/>
  <c r="U4194" i="6" l="1"/>
  <c r="T4091" i="6"/>
  <c r="U1270" i="6"/>
  <c r="U1267" i="6"/>
  <c r="U1264" i="6"/>
  <c r="U1251" i="6"/>
  <c r="U1233" i="6"/>
  <c r="U1229" i="6"/>
  <c r="T1227" i="6"/>
  <c r="U1227" i="6" s="1"/>
  <c r="T1225" i="6"/>
  <c r="U1225" i="6" s="1"/>
  <c r="R1215" i="6" l="1"/>
  <c r="T1215" i="6" s="1"/>
  <c r="U1215" i="6" s="1"/>
  <c r="T1212" i="6"/>
  <c r="U1212" i="6" s="1"/>
  <c r="U4227" i="6" l="1"/>
  <c r="U4224" i="6"/>
  <c r="U4222" i="6"/>
  <c r="U4096" i="6"/>
  <c r="U4094" i="6"/>
  <c r="U4091" i="6"/>
  <c r="T3383" i="6"/>
  <c r="U3383" i="6" s="1"/>
  <c r="T3381" i="6"/>
  <c r="U3381" i="6" s="1"/>
  <c r="T3375" i="6"/>
  <c r="U3375" i="6" s="1"/>
  <c r="U600" i="6"/>
  <c r="U597" i="6"/>
  <c r="U595" i="6"/>
  <c r="U592" i="6"/>
  <c r="U589" i="6"/>
  <c r="U586" i="6"/>
  <c r="U583" i="6"/>
  <c r="U580" i="6"/>
  <c r="U577" i="6"/>
  <c r="U574" i="6"/>
  <c r="R572" i="6"/>
  <c r="T572" i="6" s="1"/>
  <c r="U572" i="6" s="1"/>
  <c r="R569" i="6"/>
  <c r="T569" i="6" s="1"/>
  <c r="U569" i="6" s="1"/>
  <c r="T566" i="6"/>
  <c r="U566" i="6" s="1"/>
  <c r="T564" i="6"/>
  <c r="U564" i="6" s="1"/>
  <c r="R562" i="6"/>
  <c r="T562" i="6" s="1"/>
  <c r="U562" i="6" s="1"/>
  <c r="T559" i="6"/>
  <c r="U559" i="6" s="1"/>
  <c r="T557" i="6"/>
  <c r="U557" i="6" s="1"/>
  <c r="T555" i="6"/>
  <c r="U555" i="6" s="1"/>
  <c r="U552" i="6"/>
  <c r="T550" i="6"/>
  <c r="U550" i="6" s="1"/>
  <c r="T548" i="6"/>
  <c r="U548" i="6" s="1"/>
  <c r="T546" i="6"/>
  <c r="U546" i="6" s="1"/>
  <c r="T544" i="6"/>
  <c r="U544" i="6" s="1"/>
  <c r="R542" i="6"/>
  <c r="T542" i="6" s="1"/>
  <c r="U542" i="6" s="1"/>
  <c r="R539" i="6"/>
  <c r="T539" i="6" s="1"/>
  <c r="U539" i="6" s="1"/>
  <c r="T536" i="6"/>
  <c r="U536" i="6" s="1"/>
  <c r="T534" i="6"/>
  <c r="U534" i="6" s="1"/>
  <c r="T532" i="6"/>
  <c r="U532" i="6" s="1"/>
  <c r="T530" i="6"/>
  <c r="U530" i="6" s="1"/>
  <c r="T528" i="6"/>
  <c r="U528" i="6" s="1"/>
  <c r="T526" i="6"/>
  <c r="U526" i="6" s="1"/>
  <c r="T524" i="6"/>
  <c r="U524" i="6" s="1"/>
  <c r="T522" i="6"/>
  <c r="U522" i="6" s="1"/>
  <c r="T519" i="6"/>
  <c r="U519" i="6" s="1"/>
  <c r="T516" i="6"/>
  <c r="U516" i="6" s="1"/>
  <c r="U511" i="6"/>
  <c r="U508" i="6"/>
  <c r="U505" i="6"/>
  <c r="T503" i="6"/>
  <c r="U503" i="6" s="1"/>
  <c r="T501" i="6"/>
  <c r="U501" i="6" s="1"/>
  <c r="T499" i="6"/>
  <c r="U499" i="6" s="1"/>
  <c r="T497" i="6"/>
  <c r="U497" i="6" s="1"/>
  <c r="U494" i="6"/>
  <c r="T492" i="6"/>
  <c r="U492" i="6" s="1"/>
  <c r="U489" i="6"/>
  <c r="T487" i="6"/>
  <c r="U487" i="6" s="1"/>
  <c r="T485" i="6"/>
  <c r="U485" i="6" s="1"/>
  <c r="T483" i="6"/>
  <c r="U483" i="6" s="1"/>
  <c r="R481" i="6"/>
  <c r="T481" i="6" s="1"/>
  <c r="U481" i="6" s="1"/>
  <c r="T478" i="6"/>
  <c r="U478" i="6" s="1"/>
  <c r="T476" i="6"/>
  <c r="U476" i="6" s="1"/>
  <c r="R474" i="6"/>
  <c r="T474" i="6" s="1"/>
  <c r="U474" i="6" s="1"/>
  <c r="T471" i="6"/>
  <c r="U471" i="6" s="1"/>
  <c r="T469" i="6"/>
  <c r="U469" i="6" s="1"/>
  <c r="T467" i="6"/>
  <c r="U467" i="6" s="1"/>
  <c r="R465" i="6"/>
  <c r="T465" i="6" s="1"/>
  <c r="U465" i="6" s="1"/>
  <c r="T462" i="6"/>
  <c r="U462" i="6" s="1"/>
  <c r="R457" i="6"/>
  <c r="T457" i="6" s="1"/>
  <c r="U457" i="6" s="1"/>
  <c r="T454" i="6"/>
  <c r="U454" i="6" s="1"/>
  <c r="R451" i="6"/>
  <c r="U451" i="6" s="1"/>
  <c r="T448" i="6"/>
  <c r="U448" i="6" s="1"/>
  <c r="U445" i="6"/>
  <c r="T442" i="6"/>
  <c r="U442" i="6" s="1"/>
  <c r="T440" i="6"/>
  <c r="U440" i="6" s="1"/>
  <c r="R438" i="6"/>
  <c r="T438" i="6" s="1"/>
  <c r="U438" i="6" s="1"/>
  <c r="T434" i="6"/>
  <c r="U434" i="6" s="1"/>
  <c r="R432" i="6"/>
  <c r="T432" i="6" s="1"/>
  <c r="U432" i="6" s="1"/>
  <c r="T429" i="6"/>
  <c r="U429" i="6" s="1"/>
  <c r="T426" i="6"/>
  <c r="U426" i="6" s="1"/>
  <c r="T423" i="6"/>
  <c r="U423" i="6" s="1"/>
  <c r="T421" i="6"/>
  <c r="U421" i="6" s="1"/>
  <c r="R1210" i="6"/>
  <c r="T1210" i="6" s="1"/>
  <c r="U1210" i="6" s="1"/>
  <c r="U1202" i="6"/>
  <c r="U1198" i="6"/>
  <c r="T1196" i="6"/>
  <c r="U1196" i="6" s="1"/>
  <c r="T1194" i="6"/>
  <c r="U1194" i="6" s="1"/>
  <c r="T1192" i="6"/>
  <c r="U1192" i="6" s="1"/>
  <c r="R1187" i="6"/>
  <c r="U1187" i="6" s="1"/>
  <c r="U1183" i="6"/>
  <c r="U1176" i="6"/>
  <c r="U1172" i="6"/>
  <c r="R1168" i="6"/>
  <c r="U1168" i="6" s="1"/>
  <c r="R1164" i="6"/>
  <c r="U1164" i="6" s="1"/>
  <c r="U1160" i="6"/>
  <c r="U1156" i="6"/>
  <c r="U1152" i="6"/>
  <c r="U1148" i="6"/>
  <c r="U1143" i="6"/>
  <c r="T419" i="6" l="1"/>
  <c r="U419" i="6" s="1"/>
  <c r="U415" i="6"/>
  <c r="T413" i="6"/>
  <c r="U413" i="6" s="1"/>
  <c r="T411" i="6"/>
  <c r="U411" i="6" s="1"/>
  <c r="U408" i="6"/>
  <c r="U405" i="6"/>
  <c r="T403" i="6"/>
  <c r="U403" i="6" s="1"/>
  <c r="U400" i="6"/>
  <c r="U397" i="6"/>
  <c r="U394" i="6"/>
  <c r="U391" i="6"/>
  <c r="U388" i="6"/>
  <c r="T386" i="6"/>
  <c r="U386" i="6" s="1"/>
  <c r="T383" i="6"/>
  <c r="U383" i="6" s="1"/>
  <c r="T381" i="6"/>
  <c r="U381" i="6" s="1"/>
  <c r="R379" i="6"/>
  <c r="T379" i="6" s="1"/>
  <c r="U379" i="6" s="1"/>
  <c r="R376" i="6"/>
  <c r="T376" i="6" s="1"/>
  <c r="U376" i="6" s="1"/>
  <c r="U372" i="6"/>
  <c r="T370" i="6"/>
  <c r="U370" i="6" s="1"/>
  <c r="U367" i="6"/>
  <c r="U364" i="6"/>
  <c r="U361" i="6"/>
  <c r="T359" i="6"/>
  <c r="U359" i="6" s="1"/>
  <c r="T357" i="6"/>
  <c r="U357" i="6" s="1"/>
  <c r="T355" i="6"/>
  <c r="U355" i="6" s="1"/>
  <c r="T353" i="6"/>
  <c r="U353" i="6" s="1"/>
  <c r="T351" i="6"/>
  <c r="U351" i="6" s="1"/>
  <c r="T349" i="6"/>
  <c r="U349" i="6" s="1"/>
  <c r="T347" i="6"/>
  <c r="U347" i="6" s="1"/>
  <c r="T344" i="6"/>
  <c r="U344" i="6" s="1"/>
  <c r="U341" i="6"/>
  <c r="U339" i="6"/>
  <c r="T338" i="6"/>
  <c r="U338" i="6" s="1"/>
  <c r="T335" i="6"/>
  <c r="U335" i="6" s="1"/>
  <c r="T333" i="6"/>
  <c r="U333" i="6" s="1"/>
  <c r="T331" i="6"/>
  <c r="U331" i="6" s="1"/>
  <c r="T329" i="6"/>
  <c r="U329" i="6" s="1"/>
  <c r="T327" i="6"/>
  <c r="U327" i="6" s="1"/>
  <c r="T325" i="6"/>
  <c r="U325" i="6" s="1"/>
  <c r="T323" i="6"/>
  <c r="U323" i="6" s="1"/>
  <c r="T321" i="6"/>
  <c r="U321" i="6" s="1"/>
  <c r="R319" i="6"/>
  <c r="T319" i="6" s="1"/>
  <c r="U319" i="6" s="1"/>
  <c r="T316" i="6"/>
  <c r="U316" i="6" s="1"/>
  <c r="T314" i="6"/>
  <c r="U314" i="6" s="1"/>
  <c r="T312" i="6"/>
  <c r="U312" i="6" s="1"/>
  <c r="T3408" i="6" l="1"/>
  <c r="U3408" i="6" s="1"/>
  <c r="U3406" i="6"/>
  <c r="U3404" i="6"/>
  <c r="U3949" i="6" l="1"/>
  <c r="U4221" i="6"/>
  <c r="T4152" i="6"/>
  <c r="U4152" i="6" s="1"/>
  <c r="U4178" i="6"/>
  <c r="U4218" i="6" l="1"/>
  <c r="U4059" i="6"/>
  <c r="U4057" i="6"/>
  <c r="U4055" i="6"/>
  <c r="U3998" i="6"/>
  <c r="U3996" i="6"/>
  <c r="T3994" i="6"/>
  <c r="U3992" i="6"/>
  <c r="T3401" i="6"/>
  <c r="U3401" i="6" s="1"/>
  <c r="U3994" i="6" l="1"/>
  <c r="T4019" i="6"/>
  <c r="U4214" i="6" l="1"/>
  <c r="U4217" i="6"/>
  <c r="U4022" i="6"/>
  <c r="U4019" i="6"/>
  <c r="U4220" i="6" l="1"/>
  <c r="U4213" i="6"/>
  <c r="T3403" i="6" l="1"/>
  <c r="U3403" i="6" s="1"/>
  <c r="T3402" i="6"/>
  <c r="U3402" i="6" s="1"/>
  <c r="U3400" i="6"/>
  <c r="U4137" i="6" l="1"/>
  <c r="U4135" i="6"/>
  <c r="U1562" i="6" l="1"/>
  <c r="U1389" i="6"/>
  <c r="T3399" i="6" l="1"/>
  <c r="U3399" i="6" s="1"/>
  <c r="U3398" i="6"/>
  <c r="U1372" i="6" l="1"/>
  <c r="U3946" i="6" l="1"/>
  <c r="U3947" i="6"/>
  <c r="U1544" i="6"/>
  <c r="U1571" i="6" l="1"/>
  <c r="U1574" i="6"/>
  <c r="U1403" i="6" l="1"/>
  <c r="U1406" i="6"/>
  <c r="U1417" i="6"/>
  <c r="U1435" i="6"/>
  <c r="U1438" i="6"/>
  <c r="U1441" i="6"/>
  <c r="U1444" i="6"/>
  <c r="U1447" i="6"/>
  <c r="U1450" i="6"/>
  <c r="U1559" i="6" l="1"/>
  <c r="U1550" i="6"/>
  <c r="U1517" i="6"/>
  <c r="U1455" i="6"/>
  <c r="T1458" i="6"/>
  <c r="U1458" i="6" s="1"/>
  <c r="U1460" i="6"/>
  <c r="T1463" i="6"/>
  <c r="U1463" i="6" s="1"/>
  <c r="U1465" i="6"/>
  <c r="U1476" i="6"/>
  <c r="U1479" i="6"/>
  <c r="U1482" i="6"/>
  <c r="U1485" i="6"/>
  <c r="U1488" i="6"/>
  <c r="U1491" i="6"/>
  <c r="U1494" i="6"/>
  <c r="U1497" i="6"/>
  <c r="U1500" i="6"/>
  <c r="U1503" i="6"/>
  <c r="T3391" i="6"/>
  <c r="U3391" i="6" s="1"/>
  <c r="T3390" i="6"/>
  <c r="U3390" i="6" s="1"/>
  <c r="T3392" i="6"/>
  <c r="U3392" i="6" s="1"/>
  <c r="T3393" i="6"/>
  <c r="U3393" i="6" s="1"/>
  <c r="T3394" i="6"/>
  <c r="U3394" i="6" s="1"/>
  <c r="U4037" i="6" l="1"/>
  <c r="T3397" i="6" l="1"/>
  <c r="U3397" i="6" s="1"/>
  <c r="T3396" i="6"/>
  <c r="T3395" i="6"/>
  <c r="U3395" i="6" s="1"/>
  <c r="U3396" i="6" l="1"/>
  <c r="U4200" i="6"/>
  <c r="U1381" i="6"/>
  <c r="U1378" i="6"/>
  <c r="U1375" i="6"/>
  <c r="U1343" i="6"/>
  <c r="U1334" i="6"/>
  <c r="U1369" i="6"/>
  <c r="T1367" i="6"/>
  <c r="U1367" i="6" s="1"/>
  <c r="U1364" i="6" l="1"/>
  <c r="U1355" i="6"/>
  <c r="U1352" i="6"/>
  <c r="U1349" i="6" l="1"/>
  <c r="T1387" i="6"/>
  <c r="U1387" i="6" s="1"/>
  <c r="U1384" i="6"/>
  <c r="U1411" i="6"/>
  <c r="U1400" i="6"/>
  <c r="U1395" i="6"/>
  <c r="U1392" i="6"/>
  <c r="T1568" i="6"/>
  <c r="U1568" i="6" s="1"/>
  <c r="U1565" i="6"/>
  <c r="U1556" i="6"/>
  <c r="U1553" i="6"/>
  <c r="U1547" i="6"/>
  <c r="U1541" i="6"/>
  <c r="U1538" i="6"/>
  <c r="U3944" i="6" l="1"/>
  <c r="U1535" i="6" l="1"/>
  <c r="U1532" i="6"/>
  <c r="U1529" i="6"/>
  <c r="U4005" i="6" l="1"/>
  <c r="T3389" i="6" l="1"/>
  <c r="U3389" i="6" s="1"/>
  <c r="U1506" i="6" l="1"/>
  <c r="U1509" i="6"/>
  <c r="U1514" i="6"/>
  <c r="U1520" i="6"/>
  <c r="U1523" i="6"/>
  <c r="U1526" i="6"/>
  <c r="U1473" i="6" l="1"/>
  <c r="U1468" i="6"/>
  <c r="U1432" i="6"/>
  <c r="U1429" i="6"/>
  <c r="U1426" i="6"/>
  <c r="U1423" i="6"/>
  <c r="U1420" i="6"/>
  <c r="U1414" i="6"/>
  <c r="U1361" i="6"/>
  <c r="U1358" i="6"/>
  <c r="U1346" i="6"/>
  <c r="U1340" i="6"/>
  <c r="U1337" i="6"/>
  <c r="U1331" i="6"/>
  <c r="U1333" i="6"/>
  <c r="U1328" i="6"/>
  <c r="U1323" i="6"/>
  <c r="U4154" i="6" l="1"/>
  <c r="U3943" i="6" l="1"/>
  <c r="U4212" i="6"/>
  <c r="U385" i="6" l="1"/>
  <c r="U340" i="6"/>
  <c r="T3388" i="6"/>
  <c r="U3388" i="6" s="1"/>
  <c r="T3387" i="6"/>
  <c r="U3387" i="6" s="1"/>
  <c r="T3386" i="6"/>
  <c r="U3386" i="6" s="1"/>
  <c r="T3385" i="6"/>
  <c r="U3385" i="6" s="1"/>
  <c r="T3384" i="6"/>
  <c r="U3384" i="6" s="1"/>
  <c r="U418" i="6"/>
  <c r="U346" i="6" l="1"/>
  <c r="U428" i="6"/>
  <c r="U425" i="6"/>
  <c r="U521" i="6"/>
  <c r="U518" i="6"/>
  <c r="U515" i="6"/>
  <c r="U3382" i="6"/>
  <c r="U3380" i="6"/>
  <c r="R3252" i="6" l="1"/>
  <c r="T3252" i="6" s="1"/>
  <c r="U3252" i="6" s="1"/>
  <c r="R3250" i="6"/>
  <c r="T3250" i="6" s="1"/>
  <c r="U3250" i="6" s="1"/>
  <c r="T47" i="6"/>
  <c r="R571" i="6"/>
  <c r="U571" i="6" s="1"/>
  <c r="R568" i="6"/>
  <c r="U568" i="6" s="1"/>
  <c r="R561" i="6"/>
  <c r="U561" i="6" s="1"/>
  <c r="R541" i="6"/>
  <c r="U541" i="6" s="1"/>
  <c r="R538" i="6"/>
  <c r="U538" i="6" s="1"/>
  <c r="U3374" i="6"/>
  <c r="R480" i="6"/>
  <c r="U480" i="6" s="1"/>
  <c r="R473" i="6"/>
  <c r="U473" i="6" s="1"/>
  <c r="R464" i="6"/>
  <c r="U464" i="6" s="1"/>
  <c r="R456" i="6"/>
  <c r="U456" i="6" s="1"/>
  <c r="R450" i="6"/>
  <c r="U450" i="6" s="1"/>
  <c r="R437" i="6"/>
  <c r="U437" i="6" s="1"/>
  <c r="R431" i="6"/>
  <c r="U431" i="6" s="1"/>
  <c r="R378" i="6"/>
  <c r="U378" i="6" s="1"/>
  <c r="T4142" i="6"/>
  <c r="R375" i="6"/>
  <c r="U375" i="6" s="1"/>
  <c r="R318" i="6"/>
  <c r="U318" i="6" s="1"/>
  <c r="U3372" i="6"/>
  <c r="U3370" i="6"/>
  <c r="U3368" i="6"/>
  <c r="U3366" i="6"/>
  <c r="U3364" i="6"/>
  <c r="U3362" i="6"/>
  <c r="U3356" i="6"/>
  <c r="U3354" i="6"/>
  <c r="U3352" i="6"/>
  <c r="U3349" i="6"/>
  <c r="U3347" i="6"/>
  <c r="U3345" i="6"/>
  <c r="U3343" i="6"/>
  <c r="U3341" i="6"/>
  <c r="U3339" i="6"/>
  <c r="U3337" i="6"/>
  <c r="U3335" i="6"/>
  <c r="U3333" i="6"/>
  <c r="U3331" i="6"/>
  <c r="U3329" i="6"/>
  <c r="U3327" i="6"/>
  <c r="U3325" i="6"/>
  <c r="U3323" i="6"/>
  <c r="U3321" i="6"/>
  <c r="U3319" i="6"/>
  <c r="U3317" i="6"/>
  <c r="U3315" i="6"/>
  <c r="U3313" i="6"/>
  <c r="U3309" i="6"/>
  <c r="U3305" i="6"/>
  <c r="U3301" i="6"/>
  <c r="U3298" i="6"/>
  <c r="U3295" i="6"/>
  <c r="U3292" i="6"/>
  <c r="U3290" i="6"/>
  <c r="U3288" i="6"/>
  <c r="U3286" i="6"/>
  <c r="U3280" i="6"/>
  <c r="U3278" i="6"/>
  <c r="U3275" i="6"/>
  <c r="U3273" i="6"/>
  <c r="U3270" i="6"/>
  <c r="U3268" i="6"/>
  <c r="U3266" i="6"/>
  <c r="U3175" i="6"/>
  <c r="U3174" i="6"/>
  <c r="U3171" i="6"/>
  <c r="R3170" i="6"/>
  <c r="U3170" i="6" s="1"/>
  <c r="U3160" i="6"/>
  <c r="T3159" i="6"/>
  <c r="U3159" i="6" s="1"/>
  <c r="R3159" i="6"/>
  <c r="R3148" i="6"/>
  <c r="U3148" i="6" s="1"/>
  <c r="U3147" i="6"/>
  <c r="R3147" i="6"/>
  <c r="U2971" i="6"/>
  <c r="U2970" i="6"/>
  <c r="U2968" i="6"/>
  <c r="U2967" i="6"/>
  <c r="U2963" i="6"/>
  <c r="U2962" i="6"/>
  <c r="R2957" i="6"/>
  <c r="T2957" i="6" s="1"/>
  <c r="U2957" i="6" s="1"/>
  <c r="R2954" i="6"/>
  <c r="U2954" i="6" s="1"/>
  <c r="R2953" i="6"/>
  <c r="U2953" i="6" s="1"/>
  <c r="R2951" i="6"/>
  <c r="U2951" i="6" s="1"/>
  <c r="R2950" i="6"/>
  <c r="U2950" i="6" s="1"/>
  <c r="R2948" i="6"/>
  <c r="U2948" i="6" s="1"/>
  <c r="R2947" i="6"/>
  <c r="U2947" i="6" s="1"/>
  <c r="R2945" i="6"/>
  <c r="U2945" i="6" s="1"/>
  <c r="R2944" i="6"/>
  <c r="U2944" i="6" s="1"/>
  <c r="R2942" i="6"/>
  <c r="U2942" i="6" s="1"/>
  <c r="R2941" i="6"/>
  <c r="U2941" i="6" s="1"/>
  <c r="R2935" i="6"/>
  <c r="U2935" i="6" s="1"/>
  <c r="U2934" i="6"/>
  <c r="R2934" i="6"/>
  <c r="R2932" i="6"/>
  <c r="U2932" i="6" s="1"/>
  <c r="R2931" i="6"/>
  <c r="U2931" i="6" s="1"/>
  <c r="R2927" i="6"/>
  <c r="U2927" i="6" s="1"/>
  <c r="R2926" i="6"/>
  <c r="U2926" i="6" s="1"/>
  <c r="U2916" i="6"/>
  <c r="U2915" i="6"/>
  <c r="U2913" i="6"/>
  <c r="U2912" i="6"/>
  <c r="R2910" i="6"/>
  <c r="U2910" i="6" s="1"/>
  <c r="U2909" i="6"/>
  <c r="R2909" i="6"/>
  <c r="R2899" i="6"/>
  <c r="U2899" i="6" s="1"/>
  <c r="R2898" i="6"/>
  <c r="U2898" i="6" s="1"/>
  <c r="R2905" i="6"/>
  <c r="U2905" i="6" s="1"/>
  <c r="R2904" i="6"/>
  <c r="U2904" i="6" s="1"/>
  <c r="U2902" i="6"/>
  <c r="U2901" i="6"/>
  <c r="R2894" i="6"/>
  <c r="U2894" i="6" s="1"/>
  <c r="R2893" i="6"/>
  <c r="U2893" i="6" s="1"/>
  <c r="R2891" i="6"/>
  <c r="U2891" i="6" s="1"/>
  <c r="R2890" i="6"/>
  <c r="U2890" i="6" s="1"/>
  <c r="R2888" i="6"/>
  <c r="U2888" i="6" s="1"/>
  <c r="R2887" i="6"/>
  <c r="U2887" i="6" s="1"/>
  <c r="R2885" i="6"/>
  <c r="U2885" i="6" s="1"/>
  <c r="R2884" i="6"/>
  <c r="U2884" i="6" s="1"/>
  <c r="U2882" i="6"/>
  <c r="U2881" i="6"/>
  <c r="R2877" i="6"/>
  <c r="U2877" i="6" s="1"/>
  <c r="R2876" i="6"/>
  <c r="U2876" i="6" s="1"/>
  <c r="R2874" i="6"/>
  <c r="U2874" i="6" s="1"/>
  <c r="U2873" i="6"/>
  <c r="R2873" i="6"/>
  <c r="T3265" i="6"/>
  <c r="U3265" i="6" s="1"/>
  <c r="T3264" i="6"/>
  <c r="U3264" i="6" s="1"/>
  <c r="R1032" i="6"/>
  <c r="T1032" i="6" s="1"/>
  <c r="U1032" i="6" s="1"/>
  <c r="T3263" i="6"/>
  <c r="U3263" i="6" s="1"/>
  <c r="T3262" i="6"/>
  <c r="U3262" i="6" s="1"/>
  <c r="U2332" i="6"/>
  <c r="U1302" i="6"/>
  <c r="T1295" i="6"/>
  <c r="U1295" i="6" s="1"/>
  <c r="U1280" i="6"/>
  <c r="U1275" i="6"/>
  <c r="T1273" i="6"/>
  <c r="U1273" i="6" s="1"/>
  <c r="U603" i="6"/>
  <c r="U3898" i="6" l="1"/>
  <c r="R2869" i="6"/>
  <c r="U2869" i="6" s="1"/>
  <c r="R2868" i="6"/>
  <c r="U2868" i="6" s="1"/>
  <c r="R2866" i="6"/>
  <c r="U2866" i="6" s="1"/>
  <c r="R2865" i="6"/>
  <c r="U2865" i="6" s="1"/>
  <c r="R2863" i="6"/>
  <c r="U2863" i="6" s="1"/>
  <c r="U2862" i="6"/>
  <c r="R2862" i="6"/>
  <c r="R2858" i="6"/>
  <c r="U2858" i="6" s="1"/>
  <c r="R2857" i="6"/>
  <c r="U2857" i="6" s="1"/>
  <c r="U2851" i="6"/>
  <c r="U2850" i="6"/>
  <c r="R2850" i="6"/>
  <c r="R2848" i="6"/>
  <c r="U2848" i="6" s="1"/>
  <c r="U2847" i="6"/>
  <c r="R2847" i="6"/>
  <c r="U2845" i="6"/>
  <c r="U2844" i="6"/>
  <c r="U2842" i="6"/>
  <c r="U2841" i="6"/>
  <c r="R2835" i="6"/>
  <c r="U2835" i="6" s="1"/>
  <c r="R2834" i="6"/>
  <c r="U2834" i="6" s="1"/>
  <c r="R2832" i="6"/>
  <c r="U2832" i="6" s="1"/>
  <c r="R2831" i="6"/>
  <c r="U2831" i="6" s="1"/>
  <c r="R2829" i="6"/>
  <c r="U2829" i="6" s="1"/>
  <c r="U2828" i="6"/>
  <c r="R2828" i="6"/>
  <c r="R2826" i="6"/>
  <c r="U2826" i="6" s="1"/>
  <c r="R2825" i="6"/>
  <c r="U2825" i="6" s="1"/>
  <c r="R2823" i="6"/>
  <c r="U2823" i="6" s="1"/>
  <c r="R2822" i="6"/>
  <c r="U2822" i="6" s="1"/>
  <c r="R2820" i="6"/>
  <c r="U2820" i="6" s="1"/>
  <c r="R2819" i="6"/>
  <c r="U2819" i="6" s="1"/>
  <c r="R2817" i="6"/>
  <c r="U2817" i="6" s="1"/>
  <c r="U2816" i="6"/>
  <c r="R2816" i="6"/>
  <c r="R2808" i="6"/>
  <c r="U2808" i="6" s="1"/>
  <c r="R2807" i="6"/>
  <c r="U2807" i="6" s="1"/>
  <c r="R2805" i="6"/>
  <c r="U2805" i="6" s="1"/>
  <c r="R2804" i="6"/>
  <c r="U2804" i="6" s="1"/>
  <c r="R2802" i="6"/>
  <c r="U2802" i="6" s="1"/>
  <c r="U2801" i="6"/>
  <c r="R2801" i="6"/>
  <c r="R2799" i="6"/>
  <c r="U2799" i="6" s="1"/>
  <c r="R2798" i="6"/>
  <c r="U2798" i="6" s="1"/>
  <c r="R2796" i="6"/>
  <c r="U2796" i="6" s="1"/>
  <c r="R2795" i="6"/>
  <c r="U2795" i="6" s="1"/>
  <c r="R2793" i="6"/>
  <c r="U2793" i="6" s="1"/>
  <c r="R2792" i="6"/>
  <c r="U2792" i="6" s="1"/>
  <c r="R2734" i="6"/>
  <c r="U2734" i="6" s="1"/>
  <c r="R2733" i="6"/>
  <c r="U2733" i="6" s="1"/>
  <c r="U2728" i="6"/>
  <c r="U2727" i="6"/>
  <c r="U2725" i="6"/>
  <c r="U2724" i="6"/>
  <c r="U2712" i="6"/>
  <c r="U2711" i="6"/>
  <c r="T2710" i="6"/>
  <c r="U2710" i="6" s="1"/>
  <c r="R2699" i="6"/>
  <c r="U2699" i="6" s="1"/>
  <c r="U2698" i="6"/>
  <c r="R2698" i="6"/>
  <c r="R2686" i="6"/>
  <c r="U2686" i="6" s="1"/>
  <c r="U2685" i="6"/>
  <c r="R2685" i="6"/>
  <c r="R2683" i="6"/>
  <c r="U2683" i="6" s="1"/>
  <c r="U2682" i="6"/>
  <c r="U2680" i="6"/>
  <c r="U2679" i="6"/>
  <c r="U2677" i="6"/>
  <c r="U2676" i="6"/>
  <c r="R2676" i="6"/>
  <c r="R2674" i="6"/>
  <c r="U2674" i="6" s="1"/>
  <c r="U2673" i="6"/>
  <c r="R2673" i="6"/>
  <c r="R2671" i="6"/>
  <c r="U2671" i="6" s="1"/>
  <c r="R2670" i="6"/>
  <c r="U2670" i="6" s="1"/>
  <c r="R2668" i="6"/>
  <c r="U2668" i="6" s="1"/>
  <c r="U2667" i="6"/>
  <c r="R2667" i="6"/>
  <c r="R2663" i="6"/>
  <c r="U2663" i="6" s="1"/>
  <c r="U2662" i="6"/>
  <c r="R2662" i="6"/>
  <c r="R2660" i="6"/>
  <c r="U2660" i="6" s="1"/>
  <c r="R2659" i="6"/>
  <c r="U2659" i="6" s="1"/>
  <c r="R2657" i="6"/>
  <c r="U2657" i="6" s="1"/>
  <c r="R2656" i="6"/>
  <c r="U2656" i="6" s="1"/>
  <c r="R2654" i="6"/>
  <c r="U2654" i="6" s="1"/>
  <c r="U2653" i="6"/>
  <c r="R2653" i="6"/>
  <c r="R2651" i="6"/>
  <c r="U2651" i="6" s="1"/>
  <c r="U2650" i="6"/>
  <c r="R2650" i="6"/>
  <c r="R2648" i="6"/>
  <c r="U2648" i="6" s="1"/>
  <c r="U2647" i="6"/>
  <c r="R2647" i="6"/>
  <c r="U2645" i="6"/>
  <c r="U2644" i="6"/>
  <c r="R2642" i="6"/>
  <c r="U2642" i="6" s="1"/>
  <c r="R2641" i="6"/>
  <c r="U2641" i="6" s="1"/>
  <c r="U2639" i="6"/>
  <c r="U2638" i="6"/>
  <c r="R2638" i="6"/>
  <c r="R2634" i="6"/>
  <c r="U2634" i="6" s="1"/>
  <c r="R2633" i="6"/>
  <c r="U2633" i="6" s="1"/>
  <c r="R2629" i="6"/>
  <c r="U2629" i="6" s="1"/>
  <c r="R2628" i="6"/>
  <c r="U2628" i="6" s="1"/>
  <c r="R2622" i="6"/>
  <c r="T2622" i="6" s="1"/>
  <c r="U2622" i="6" s="1"/>
  <c r="R2621" i="6"/>
  <c r="U2621" i="6" s="1"/>
  <c r="R2619" i="6"/>
  <c r="U2619" i="6" s="1"/>
  <c r="R2618" i="6"/>
  <c r="U2618" i="6" s="1"/>
  <c r="U2616" i="6"/>
  <c r="U2615" i="6"/>
  <c r="R2613" i="6"/>
  <c r="U2613" i="6" s="1"/>
  <c r="R2612" i="6"/>
  <c r="U2612" i="6" s="1"/>
  <c r="R2610" i="6"/>
  <c r="R2609" i="6"/>
  <c r="U2609" i="6" s="1"/>
  <c r="R2607" i="6"/>
  <c r="U2607" i="6" s="1"/>
  <c r="R2606" i="6"/>
  <c r="U2606" i="6" s="1"/>
  <c r="R2604" i="6"/>
  <c r="U2604" i="6" s="1"/>
  <c r="R2603" i="6"/>
  <c r="U2603" i="6" s="1"/>
  <c r="U2599" i="6"/>
  <c r="U2598" i="6"/>
  <c r="U2592" i="6"/>
  <c r="U2591" i="6"/>
  <c r="R2589" i="6"/>
  <c r="U2589" i="6" s="1"/>
  <c r="R2588" i="6"/>
  <c r="U2588" i="6" s="1"/>
  <c r="R2584" i="6"/>
  <c r="U2584" i="6" s="1"/>
  <c r="R2583" i="6"/>
  <c r="U2583" i="6" s="1"/>
  <c r="R2572" i="6"/>
  <c r="U2572" i="6" s="1"/>
  <c r="U2571" i="6"/>
  <c r="R2571" i="6"/>
  <c r="T2544" i="6"/>
  <c r="U2544" i="6" s="1"/>
  <c r="U2542" i="6"/>
  <c r="R2542" i="6"/>
  <c r="U2538" i="6"/>
  <c r="U2537" i="6"/>
  <c r="R2535" i="6"/>
  <c r="U2535" i="6" s="1"/>
  <c r="U2534" i="6"/>
  <c r="R2534" i="6"/>
  <c r="R2527" i="6"/>
  <c r="U2527" i="6" s="1"/>
  <c r="R2526" i="6"/>
  <c r="U2526" i="6" s="1"/>
  <c r="U2521" i="6"/>
  <c r="U2520" i="6"/>
  <c r="R2520" i="6"/>
  <c r="R2484" i="6"/>
  <c r="U2484" i="6" s="1"/>
  <c r="U2483" i="6"/>
  <c r="R2483" i="6"/>
  <c r="R2481" i="6"/>
  <c r="U2481" i="6" s="1"/>
  <c r="U2480" i="6"/>
  <c r="R2480" i="6"/>
  <c r="R2474" i="6"/>
  <c r="U2474" i="6" s="1"/>
  <c r="R2463" i="6"/>
  <c r="U2463" i="6" s="1"/>
  <c r="R2462" i="6"/>
  <c r="U2462" i="6" s="1"/>
  <c r="U2457" i="6"/>
  <c r="U2456" i="6"/>
  <c r="R2452" i="6"/>
  <c r="T2452" i="6" s="1"/>
  <c r="U2452" i="6" s="1"/>
  <c r="R2451" i="6"/>
  <c r="U2451" i="6" s="1"/>
  <c r="U2449" i="6"/>
  <c r="U2448" i="6"/>
  <c r="R2404" i="6"/>
  <c r="U2404" i="6" s="1"/>
  <c r="R2403" i="6"/>
  <c r="U2403" i="6" s="1"/>
  <c r="U2373" i="6"/>
  <c r="U2375" i="6"/>
  <c r="R2373" i="6"/>
  <c r="R2370" i="6"/>
  <c r="T2370" i="6" s="1"/>
  <c r="U2370" i="6" s="1"/>
  <c r="U2369" i="6"/>
  <c r="R2369" i="6"/>
  <c r="U2365" i="6"/>
  <c r="U2364" i="6"/>
  <c r="U2360" i="6"/>
  <c r="R2359" i="6"/>
  <c r="U2359" i="6" s="1"/>
  <c r="R2291" i="6"/>
  <c r="U2291" i="6" s="1"/>
  <c r="U2290" i="6"/>
  <c r="R2290" i="6"/>
  <c r="T2271" i="6"/>
  <c r="U2271" i="6" s="1"/>
  <c r="U2270" i="6"/>
  <c r="R2256" i="6"/>
  <c r="U2256" i="6" s="1"/>
  <c r="U2255" i="6"/>
  <c r="R2255" i="6"/>
  <c r="R2237" i="6"/>
  <c r="U2237" i="6" s="1"/>
  <c r="U2236" i="6"/>
  <c r="R2236" i="6"/>
  <c r="R2230" i="6"/>
  <c r="U2230" i="6" s="1"/>
  <c r="U2229" i="6"/>
  <c r="R2229" i="6"/>
  <c r="R2218" i="6"/>
  <c r="U2218" i="6" s="1"/>
  <c r="U2217" i="6"/>
  <c r="R2217" i="6"/>
  <c r="R2210" i="6"/>
  <c r="U2210" i="6" s="1"/>
  <c r="U2209" i="6"/>
  <c r="R2209" i="6"/>
  <c r="U2200" i="6"/>
  <c r="U2199" i="6"/>
  <c r="R2177" i="6"/>
  <c r="U2177" i="6" s="1"/>
  <c r="U2176" i="6"/>
  <c r="R2176" i="6"/>
  <c r="R2139" i="6"/>
  <c r="U2139" i="6" s="1"/>
  <c r="U2138" i="6"/>
  <c r="R2138" i="6"/>
  <c r="R2086" i="6"/>
  <c r="U2086" i="6" s="1"/>
  <c r="U2085" i="6"/>
  <c r="R2085" i="6"/>
  <c r="R2080" i="6"/>
  <c r="U2080" i="6" s="1"/>
  <c r="U2079" i="6"/>
  <c r="R2079" i="6"/>
  <c r="U2610" i="6" l="1"/>
  <c r="R1794" i="6"/>
  <c r="T1794" i="6" s="1"/>
  <c r="U1794" i="6" s="1"/>
  <c r="U1793" i="6"/>
  <c r="R1792" i="6"/>
  <c r="T1792" i="6" s="1"/>
  <c r="U1792" i="6" s="1"/>
  <c r="U1791" i="6"/>
  <c r="R1789" i="6"/>
  <c r="T1789" i="6" s="1"/>
  <c r="U1789" i="6" s="1"/>
  <c r="U1788" i="6"/>
  <c r="R1783" i="6"/>
  <c r="T1783" i="6" s="1"/>
  <c r="U1783" i="6" s="1"/>
  <c r="U1782" i="6"/>
  <c r="R1781" i="6"/>
  <c r="T1781" i="6" s="1"/>
  <c r="U1781" i="6" s="1"/>
  <c r="U1780" i="6"/>
  <c r="R1779" i="6"/>
  <c r="T1779" i="6" s="1"/>
  <c r="U1779" i="6" s="1"/>
  <c r="U1778" i="6"/>
  <c r="R1770" i="6"/>
  <c r="T1770" i="6" s="1"/>
  <c r="U1770" i="6" s="1"/>
  <c r="U1769" i="6"/>
  <c r="R1768" i="6"/>
  <c r="T1768" i="6" s="1"/>
  <c r="U1768" i="6" s="1"/>
  <c r="U1767" i="6"/>
  <c r="R1766" i="6"/>
  <c r="T1766" i="6" s="1"/>
  <c r="U1766" i="6" s="1"/>
  <c r="U1765" i="6"/>
  <c r="R1759" i="6"/>
  <c r="T1759" i="6" s="1"/>
  <c r="U1759" i="6" s="1"/>
  <c r="U1758" i="6"/>
  <c r="R1756" i="6"/>
  <c r="T1756" i="6" s="1"/>
  <c r="U1756" i="6" s="1"/>
  <c r="U1755" i="6"/>
  <c r="R1754" i="6"/>
  <c r="T1754" i="6" s="1"/>
  <c r="U1754" i="6" s="1"/>
  <c r="U1753" i="6"/>
  <c r="R1722" i="6"/>
  <c r="T1722" i="6" s="1"/>
  <c r="U1722" i="6" s="1"/>
  <c r="U1721" i="6"/>
  <c r="R1720" i="6"/>
  <c r="T1720" i="6" s="1"/>
  <c r="U1720" i="6" s="1"/>
  <c r="U1719" i="6"/>
  <c r="R1716" i="6"/>
  <c r="T1716" i="6" s="1"/>
  <c r="U1716" i="6" s="1"/>
  <c r="U1715" i="6"/>
  <c r="R1714" i="6"/>
  <c r="T1714" i="6" s="1"/>
  <c r="U1714" i="6" s="1"/>
  <c r="U1713" i="6"/>
  <c r="R1699" i="6"/>
  <c r="T1699" i="6" s="1"/>
  <c r="U1699" i="6" s="1"/>
  <c r="U1698" i="6"/>
  <c r="R1696" i="6"/>
  <c r="T1696" i="6" s="1"/>
  <c r="U1696" i="6" s="1"/>
  <c r="U1695" i="6"/>
  <c r="R1694" i="6"/>
  <c r="T1694" i="6" s="1"/>
  <c r="U1694" i="6" s="1"/>
  <c r="U1693" i="6"/>
  <c r="R1692" i="6"/>
  <c r="T1692" i="6" s="1"/>
  <c r="U1692" i="6" s="1"/>
  <c r="U1691" i="6"/>
  <c r="R1690" i="6"/>
  <c r="T1690" i="6" s="1"/>
  <c r="U1690" i="6" s="1"/>
  <c r="U1689" i="6"/>
  <c r="R1688" i="6"/>
  <c r="T1688" i="6" s="1"/>
  <c r="U1688" i="6" s="1"/>
  <c r="U1687" i="6"/>
  <c r="S1620" i="6"/>
  <c r="R1620" i="6"/>
  <c r="U1619" i="6"/>
  <c r="S1619" i="6"/>
  <c r="R1619" i="6"/>
  <c r="S1618" i="6"/>
  <c r="R1618" i="6"/>
  <c r="U1617" i="6"/>
  <c r="S1617" i="6"/>
  <c r="R1617" i="6"/>
  <c r="R1610" i="6"/>
  <c r="T1610" i="6" s="1"/>
  <c r="U1610" i="6" s="1"/>
  <c r="U1609" i="6"/>
  <c r="T1620" i="6" l="1"/>
  <c r="U1620" i="6" s="1"/>
  <c r="T1618" i="6"/>
  <c r="U1618" i="6" s="1"/>
  <c r="U970" i="6" l="1"/>
  <c r="R970" i="6"/>
  <c r="T3261" i="6" l="1"/>
  <c r="U3261" i="6" s="1"/>
  <c r="T3260" i="6"/>
  <c r="U3260" i="6" s="1"/>
  <c r="T4098" i="6"/>
  <c r="U4098" i="6" s="1"/>
  <c r="R1209" i="6"/>
  <c r="U1209" i="6" s="1"/>
  <c r="R1214" i="6"/>
  <c r="U1214" i="6" s="1"/>
  <c r="R955" i="6"/>
  <c r="T955" i="6" s="1"/>
  <c r="U955" i="6" s="1"/>
  <c r="R957" i="6"/>
  <c r="T957" i="6" s="1"/>
  <c r="U957" i="6" s="1"/>
  <c r="R949" i="6"/>
  <c r="T949" i="6" s="1"/>
  <c r="U949" i="6" s="1"/>
  <c r="R940" i="6"/>
  <c r="T940" i="6" s="1"/>
  <c r="U940" i="6" s="1"/>
  <c r="R929" i="6"/>
  <c r="T929" i="6" s="1"/>
  <c r="U929" i="6" s="1"/>
  <c r="R921" i="6"/>
  <c r="T921" i="6" s="1"/>
  <c r="U921" i="6" s="1"/>
  <c r="R944" i="6"/>
  <c r="T944" i="6" s="1"/>
  <c r="U944" i="6" s="1"/>
  <c r="R963" i="6"/>
  <c r="T963" i="6" s="1"/>
  <c r="U963" i="6" s="1"/>
  <c r="R951" i="6"/>
  <c r="T951" i="6" s="1"/>
  <c r="U951" i="6" s="1"/>
  <c r="R942" i="6" l="1"/>
  <c r="T942" i="6" s="1"/>
  <c r="U942" i="6" s="1"/>
  <c r="R941" i="6"/>
  <c r="R938" i="6"/>
  <c r="T938" i="6" s="1"/>
  <c r="U938" i="6" s="1"/>
  <c r="R932" i="6"/>
  <c r="T932" i="6" s="1"/>
  <c r="U932" i="6" s="1"/>
  <c r="R931" i="6"/>
  <c r="R961" i="6"/>
  <c r="T961" i="6" s="1"/>
  <c r="U961" i="6" s="1"/>
  <c r="R959" i="6"/>
  <c r="T959" i="6" s="1"/>
  <c r="U959" i="6" s="1"/>
  <c r="R953" i="6"/>
  <c r="T953" i="6" s="1"/>
  <c r="U953" i="6" s="1"/>
  <c r="R971" i="6"/>
  <c r="T971" i="6" s="1"/>
  <c r="U971" i="6" s="1"/>
  <c r="R969" i="6"/>
  <c r="T969" i="6" s="1"/>
  <c r="U969" i="6" s="1"/>
  <c r="R967" i="6"/>
  <c r="T967" i="6" s="1"/>
  <c r="U967" i="6" s="1"/>
  <c r="U889" i="6"/>
  <c r="U886" i="6"/>
  <c r="R882" i="6"/>
  <c r="U882" i="6" s="1"/>
  <c r="R872" i="6"/>
  <c r="U872" i="6" s="1"/>
  <c r="R863" i="6"/>
  <c r="U863" i="6" s="1"/>
  <c r="T4182" i="6" l="1"/>
  <c r="U4182" i="6" s="1"/>
  <c r="T4007" i="6" l="1"/>
  <c r="T4009" i="6"/>
  <c r="U4009" i="6" s="1"/>
  <c r="T52" i="6"/>
  <c r="R47" i="6"/>
  <c r="U4142" i="6"/>
  <c r="U4007" i="6" l="1"/>
  <c r="R52" i="6"/>
  <c r="U52" i="6"/>
  <c r="U47" i="6"/>
  <c r="U1998" i="6"/>
  <c r="U3905" i="6"/>
  <c r="U3896" i="6"/>
  <c r="T693" i="6" l="1"/>
  <c r="U693" i="6" s="1"/>
  <c r="U1552" i="6" l="1"/>
  <c r="U1413" i="6"/>
  <c r="U1410" i="6"/>
  <c r="U1457" i="6"/>
  <c r="U1454" i="6"/>
  <c r="T279" i="6"/>
  <c r="U279" i="6" s="1"/>
  <c r="T280" i="6"/>
  <c r="U280" i="6" s="1"/>
  <c r="T281" i="6"/>
  <c r="U281" i="6" s="1"/>
  <c r="T282" i="6"/>
  <c r="U282" i="6" s="1"/>
  <c r="T283" i="6"/>
  <c r="U283" i="6" s="1"/>
  <c r="T284" i="6"/>
  <c r="U284" i="6" s="1"/>
  <c r="T285" i="6"/>
  <c r="U285" i="6" s="1"/>
  <c r="T286" i="6"/>
  <c r="U286" i="6" s="1"/>
  <c r="T287" i="6"/>
  <c r="U287" i="6" s="1"/>
  <c r="T288" i="6"/>
  <c r="U288" i="6" s="1"/>
  <c r="T289" i="6"/>
  <c r="U289" i="6" s="1"/>
  <c r="T290" i="6"/>
  <c r="U290" i="6" s="1"/>
  <c r="T291" i="6"/>
  <c r="U291" i="6" s="1"/>
  <c r="T292" i="6"/>
  <c r="U292" i="6" s="1"/>
  <c r="T293" i="6"/>
  <c r="U293" i="6" s="1"/>
  <c r="T294" i="6"/>
  <c r="U294" i="6" s="1"/>
  <c r="T295" i="6"/>
  <c r="U295" i="6" s="1"/>
  <c r="T296" i="6"/>
  <c r="U296" i="6" s="1"/>
  <c r="T297" i="6"/>
  <c r="U297" i="6" s="1"/>
  <c r="T298" i="6"/>
  <c r="U298" i="6" s="1"/>
  <c r="T299" i="6"/>
  <c r="U299" i="6" s="1"/>
  <c r="T300" i="6"/>
  <c r="U300" i="6" s="1"/>
  <c r="T301" i="6"/>
  <c r="U301" i="6" s="1"/>
  <c r="T302" i="6"/>
  <c r="U302" i="6" s="1"/>
  <c r="T303" i="6"/>
  <c r="U303" i="6" s="1"/>
  <c r="T304" i="6"/>
  <c r="U304" i="6" s="1"/>
  <c r="T305" i="6"/>
  <c r="U305" i="6" s="1"/>
  <c r="T306" i="6"/>
  <c r="U306" i="6" s="1"/>
  <c r="T307" i="6"/>
  <c r="U307" i="6" s="1"/>
  <c r="T308" i="6"/>
  <c r="U308" i="6" s="1"/>
  <c r="T278" i="6"/>
  <c r="U278" i="6" s="1"/>
  <c r="U4196" i="6"/>
  <c r="U3911" i="6" l="1"/>
  <c r="S54" i="6"/>
  <c r="T54" i="6" s="1"/>
  <c r="U4029" i="6"/>
  <c r="U53" i="6"/>
  <c r="R104" i="6"/>
  <c r="U104" i="6" s="1"/>
  <c r="U108" i="6"/>
  <c r="U110" i="6"/>
  <c r="U112" i="6"/>
  <c r="U114" i="6"/>
  <c r="U116" i="6"/>
  <c r="R118" i="6"/>
  <c r="T150" i="6"/>
  <c r="U150" i="6" s="1"/>
  <c r="R151" i="6"/>
  <c r="T151" i="6" s="1"/>
  <c r="U151" i="6" s="1"/>
  <c r="T119" i="6"/>
  <c r="U119" i="6" s="1"/>
  <c r="R120" i="6"/>
  <c r="T120" i="6" s="1"/>
  <c r="U120" i="6" s="1"/>
  <c r="R121" i="6"/>
  <c r="T121" i="6" s="1"/>
  <c r="U121" i="6" s="1"/>
  <c r="R152" i="6"/>
  <c r="U152" i="6" s="1"/>
  <c r="R154" i="6"/>
  <c r="U154" i="6" s="1"/>
  <c r="R122" i="6"/>
  <c r="T122" i="6" s="1"/>
  <c r="U122" i="6" s="1"/>
  <c r="R123" i="6"/>
  <c r="T123" i="6" s="1"/>
  <c r="U123" i="6" s="1"/>
  <c r="R124" i="6"/>
  <c r="T124" i="6" s="1"/>
  <c r="U124" i="6" s="1"/>
  <c r="R149" i="6"/>
  <c r="T149" i="6" s="1"/>
  <c r="U149" i="6" s="1"/>
  <c r="R182" i="6"/>
  <c r="T182" i="6" s="1"/>
  <c r="U182" i="6" s="1"/>
  <c r="T183" i="6"/>
  <c r="U183" i="6" s="1"/>
  <c r="T156" i="6"/>
  <c r="U156" i="6" s="1"/>
  <c r="R127" i="6"/>
  <c r="T127" i="6" s="1"/>
  <c r="U127" i="6" s="1"/>
  <c r="R128" i="6"/>
  <c r="T128" i="6" s="1"/>
  <c r="U128" i="6" s="1"/>
  <c r="T129" i="6"/>
  <c r="U129" i="6" s="1"/>
  <c r="T130" i="6"/>
  <c r="U130" i="6" s="1"/>
  <c r="R157" i="6"/>
  <c r="T157" i="6" s="1"/>
  <c r="U157" i="6" s="1"/>
  <c r="T158" i="6"/>
  <c r="U158" i="6" s="1"/>
  <c r="R159" i="6"/>
  <c r="T159" i="6" s="1"/>
  <c r="U159" i="6" s="1"/>
  <c r="T160" i="6"/>
  <c r="U160" i="6" s="1"/>
  <c r="R161" i="6"/>
  <c r="T161" i="6" s="1"/>
  <c r="U161" i="6" s="1"/>
  <c r="R131" i="6"/>
  <c r="T131" i="6" s="1"/>
  <c r="U131" i="6" s="1"/>
  <c r="T132" i="6"/>
  <c r="U132" i="6" s="1"/>
  <c r="R133" i="6"/>
  <c r="T133" i="6" s="1"/>
  <c r="U133" i="6" s="1"/>
  <c r="R134" i="6"/>
  <c r="T134" i="6" s="1"/>
  <c r="U134" i="6" s="1"/>
  <c r="T135" i="6"/>
  <c r="U135" i="6" s="1"/>
  <c r="R178" i="6"/>
  <c r="T178" i="6" s="1"/>
  <c r="U178" i="6" s="1"/>
  <c r="R179" i="6"/>
  <c r="T179" i="6" s="1"/>
  <c r="U179" i="6" s="1"/>
  <c r="R184" i="6"/>
  <c r="T184" i="6" s="1"/>
  <c r="U184" i="6" s="1"/>
  <c r="T136" i="6"/>
  <c r="U136" i="6" s="1"/>
  <c r="R137" i="6"/>
  <c r="T137" i="6" s="1"/>
  <c r="U137" i="6" s="1"/>
  <c r="R138" i="6"/>
  <c r="T138" i="6" s="1"/>
  <c r="U138" i="6" s="1"/>
  <c r="R139" i="6"/>
  <c r="T139" i="6" s="1"/>
  <c r="U139" i="6" s="1"/>
  <c r="T162" i="6"/>
  <c r="U162" i="6" s="1"/>
  <c r="T163" i="6"/>
  <c r="U163" i="6" s="1"/>
  <c r="R164" i="6"/>
  <c r="T164" i="6" s="1"/>
  <c r="U164" i="6" s="1"/>
  <c r="R165" i="6"/>
  <c r="T165" i="6" s="1"/>
  <c r="U165" i="6" s="1"/>
  <c r="T166" i="6"/>
  <c r="U166" i="6" s="1"/>
  <c r="R167" i="6"/>
  <c r="T167" i="6" s="1"/>
  <c r="U167" i="6" s="1"/>
  <c r="R168" i="6"/>
  <c r="T168" i="6" s="1"/>
  <c r="U168" i="6" s="1"/>
  <c r="T169" i="6"/>
  <c r="U169" i="6" s="1"/>
  <c r="R170" i="6"/>
  <c r="T170" i="6" s="1"/>
  <c r="U170" i="6" s="1"/>
  <c r="R193" i="6"/>
  <c r="U193" i="6" s="1"/>
  <c r="T195" i="6"/>
  <c r="U195" i="6" s="1"/>
  <c r="T185" i="6"/>
  <c r="U185" i="6" s="1"/>
  <c r="U140" i="6"/>
  <c r="R186" i="6"/>
  <c r="T186" i="6" s="1"/>
  <c r="U186" i="6" s="1"/>
  <c r="T187" i="6"/>
  <c r="U187" i="6" s="1"/>
  <c r="T188" i="6"/>
  <c r="U188" i="6" s="1"/>
  <c r="R189" i="6"/>
  <c r="T189" i="6" s="1"/>
  <c r="U189" i="6" s="1"/>
  <c r="R125" i="6"/>
  <c r="T125" i="6" s="1"/>
  <c r="U125" i="6" s="1"/>
  <c r="R126" i="6"/>
  <c r="T126" i="6" s="1"/>
  <c r="U126" i="6" s="1"/>
  <c r="R171" i="6"/>
  <c r="T171" i="6" s="1"/>
  <c r="U171" i="6" s="1"/>
  <c r="R172" i="6"/>
  <c r="T172" i="6" s="1"/>
  <c r="U172" i="6" s="1"/>
  <c r="R143" i="6"/>
  <c r="T143" i="6" s="1"/>
  <c r="U143" i="6" s="1"/>
  <c r="R144" i="6"/>
  <c r="T144" i="6" s="1"/>
  <c r="U144" i="6" s="1"/>
  <c r="R145" i="6"/>
  <c r="T145" i="6" s="1"/>
  <c r="U145" i="6" s="1"/>
  <c r="R146" i="6"/>
  <c r="T146" i="6" s="1"/>
  <c r="U146" i="6" s="1"/>
  <c r="R147" i="6"/>
  <c r="T147" i="6" s="1"/>
  <c r="U147" i="6" s="1"/>
  <c r="T190" i="6"/>
  <c r="U190" i="6" s="1"/>
  <c r="R173" i="6"/>
  <c r="U173" i="6" s="1"/>
  <c r="R175" i="6"/>
  <c r="T175" i="6" s="1"/>
  <c r="U175" i="6" s="1"/>
  <c r="R176" i="6"/>
  <c r="T176" i="6" s="1"/>
  <c r="U176" i="6" s="1"/>
  <c r="R148" i="6"/>
  <c r="T148" i="6" s="1"/>
  <c r="U148" i="6" s="1"/>
  <c r="R177" i="6"/>
  <c r="T177" i="6" s="1"/>
  <c r="U177" i="6" s="1"/>
  <c r="R180" i="6"/>
  <c r="U180" i="6" s="1"/>
  <c r="T191" i="6"/>
  <c r="U191" i="6" s="1"/>
  <c r="R192" i="6"/>
  <c r="T192" i="6" s="1"/>
  <c r="U192" i="6" s="1"/>
  <c r="T196" i="6"/>
  <c r="U196" i="6" s="1"/>
  <c r="T197" i="6"/>
  <c r="U197" i="6" s="1"/>
  <c r="T198" i="6"/>
  <c r="U198" i="6" s="1"/>
  <c r="T199" i="6"/>
  <c r="U199" i="6" s="1"/>
  <c r="T200" i="6"/>
  <c r="U200" i="6" s="1"/>
  <c r="T201" i="6"/>
  <c r="U201" i="6" s="1"/>
  <c r="T202" i="6"/>
  <c r="U202" i="6" s="1"/>
  <c r="T203" i="6"/>
  <c r="U203" i="6" s="1"/>
  <c r="T204" i="6"/>
  <c r="U204" i="6" s="1"/>
  <c r="T205" i="6"/>
  <c r="U205" i="6" s="1"/>
  <c r="T206" i="6"/>
  <c r="U206" i="6" s="1"/>
  <c r="T207" i="6"/>
  <c r="U207" i="6" s="1"/>
  <c r="T208" i="6"/>
  <c r="U208" i="6" s="1"/>
  <c r="T209" i="6"/>
  <c r="U209" i="6" s="1"/>
  <c r="T210" i="6"/>
  <c r="U210" i="6" s="1"/>
  <c r="T211" i="6"/>
  <c r="U211" i="6" s="1"/>
  <c r="T212" i="6"/>
  <c r="U212" i="6" s="1"/>
  <c r="T213" i="6"/>
  <c r="U213" i="6" s="1"/>
  <c r="T214" i="6"/>
  <c r="U214" i="6" s="1"/>
  <c r="T215" i="6"/>
  <c r="U215" i="6" s="1"/>
  <c r="T216" i="6"/>
  <c r="U216" i="6" s="1"/>
  <c r="T217" i="6"/>
  <c r="U217" i="6" s="1"/>
  <c r="T218" i="6"/>
  <c r="U218" i="6" s="1"/>
  <c r="T219" i="6"/>
  <c r="U219" i="6" s="1"/>
  <c r="T220" i="6"/>
  <c r="U220" i="6" s="1"/>
  <c r="T221" i="6"/>
  <c r="U221" i="6" s="1"/>
  <c r="T222" i="6"/>
  <c r="U222" i="6" s="1"/>
  <c r="T223" i="6"/>
  <c r="U223" i="6" s="1"/>
  <c r="T224" i="6"/>
  <c r="U224" i="6" s="1"/>
  <c r="T225" i="6"/>
  <c r="U225" i="6" s="1"/>
  <c r="T226" i="6"/>
  <c r="U226" i="6" s="1"/>
  <c r="T227" i="6"/>
  <c r="U227" i="6" s="1"/>
  <c r="T228" i="6"/>
  <c r="U228" i="6" s="1"/>
  <c r="T229" i="6"/>
  <c r="U229" i="6" s="1"/>
  <c r="T230" i="6"/>
  <c r="U230" i="6" s="1"/>
  <c r="T231" i="6"/>
  <c r="U231" i="6" s="1"/>
  <c r="T232" i="6"/>
  <c r="U232" i="6" s="1"/>
  <c r="T233" i="6"/>
  <c r="U233" i="6" s="1"/>
  <c r="T234" i="6"/>
  <c r="U234" i="6" s="1"/>
  <c r="T235" i="6"/>
  <c r="U235" i="6" s="1"/>
  <c r="T236" i="6"/>
  <c r="U236" i="6" s="1"/>
  <c r="T237" i="6"/>
  <c r="U237" i="6" s="1"/>
  <c r="T238" i="6"/>
  <c r="U238" i="6" s="1"/>
  <c r="T239" i="6"/>
  <c r="U239" i="6" s="1"/>
  <c r="T240" i="6"/>
  <c r="U240" i="6" s="1"/>
  <c r="T241" i="6"/>
  <c r="U241" i="6" s="1"/>
  <c r="T242" i="6"/>
  <c r="U242" i="6" s="1"/>
  <c r="T243" i="6"/>
  <c r="U243" i="6" s="1"/>
  <c r="T244" i="6"/>
  <c r="U244" i="6" s="1"/>
  <c r="T245" i="6"/>
  <c r="U245" i="6" s="1"/>
  <c r="T246" i="6"/>
  <c r="U246" i="6" s="1"/>
  <c r="T247" i="6"/>
  <c r="U247" i="6" s="1"/>
  <c r="T248" i="6"/>
  <c r="U248" i="6" s="1"/>
  <c r="T249" i="6"/>
  <c r="U249" i="6" s="1"/>
  <c r="T250" i="6"/>
  <c r="U250" i="6" s="1"/>
  <c r="T251" i="6"/>
  <c r="U251" i="6" s="1"/>
  <c r="T252" i="6"/>
  <c r="U252" i="6" s="1"/>
  <c r="T253" i="6"/>
  <c r="U253" i="6" s="1"/>
  <c r="T254" i="6"/>
  <c r="U254" i="6" s="1"/>
  <c r="T255" i="6"/>
  <c r="U255" i="6" s="1"/>
  <c r="T256" i="6"/>
  <c r="U256" i="6" s="1"/>
  <c r="T257" i="6"/>
  <c r="U257" i="6" s="1"/>
  <c r="T258" i="6"/>
  <c r="U258" i="6" s="1"/>
  <c r="T259" i="6"/>
  <c r="U259" i="6" s="1"/>
  <c r="T260" i="6"/>
  <c r="U260" i="6" s="1"/>
  <c r="T261" i="6"/>
  <c r="U261" i="6" s="1"/>
  <c r="T262" i="6"/>
  <c r="U262" i="6" s="1"/>
  <c r="T263" i="6"/>
  <c r="U263" i="6" s="1"/>
  <c r="T264" i="6"/>
  <c r="U264" i="6" s="1"/>
  <c r="T265" i="6"/>
  <c r="U265" i="6" s="1"/>
  <c r="T266" i="6"/>
  <c r="U266" i="6" s="1"/>
  <c r="T267" i="6"/>
  <c r="U267" i="6" s="1"/>
  <c r="T268" i="6"/>
  <c r="U268" i="6" s="1"/>
  <c r="T269" i="6"/>
  <c r="U269" i="6" s="1"/>
  <c r="T270" i="6"/>
  <c r="U270" i="6" s="1"/>
  <c r="T271" i="6"/>
  <c r="U271" i="6" s="1"/>
  <c r="T272" i="6"/>
  <c r="U272" i="6" s="1"/>
  <c r="T273" i="6"/>
  <c r="U273" i="6" s="1"/>
  <c r="T274" i="6"/>
  <c r="U274" i="6" s="1"/>
  <c r="T275" i="6"/>
  <c r="U275" i="6" s="1"/>
  <c r="T276" i="6"/>
  <c r="U276" i="6" s="1"/>
  <c r="T277" i="6"/>
  <c r="U277" i="6" s="1"/>
  <c r="U311" i="6"/>
  <c r="U313" i="6"/>
  <c r="U315" i="6"/>
  <c r="U317" i="6"/>
  <c r="U320" i="6"/>
  <c r="U322" i="6"/>
  <c r="U324" i="6"/>
  <c r="U326" i="6"/>
  <c r="U328" i="6"/>
  <c r="U330" i="6"/>
  <c r="U332" i="6"/>
  <c r="U334" i="6"/>
  <c r="U336" i="6"/>
  <c r="U343" i="6"/>
  <c r="U345" i="6"/>
  <c r="U348" i="6"/>
  <c r="U350" i="6"/>
  <c r="U352" i="6"/>
  <c r="U354" i="6"/>
  <c r="U356" i="6"/>
  <c r="U358" i="6"/>
  <c r="U360" i="6"/>
  <c r="U363" i="6"/>
  <c r="U366" i="6"/>
  <c r="U369" i="6"/>
  <c r="U371" i="6"/>
  <c r="U374" i="6"/>
  <c r="U377" i="6"/>
  <c r="U380" i="6"/>
  <c r="U382" i="6"/>
  <c r="U384" i="6"/>
  <c r="U387" i="6"/>
  <c r="U390" i="6"/>
  <c r="U393" i="6"/>
  <c r="U396" i="6"/>
  <c r="U399" i="6"/>
  <c r="U402" i="6"/>
  <c r="U404" i="6"/>
  <c r="U407" i="6"/>
  <c r="U410" i="6"/>
  <c r="U412" i="6"/>
  <c r="U414" i="6"/>
  <c r="U417" i="6"/>
  <c r="U420" i="6"/>
  <c r="U422" i="6"/>
  <c r="U424" i="6"/>
  <c r="U427" i="6"/>
  <c r="U430" i="6"/>
  <c r="U433" i="6"/>
  <c r="U436" i="6"/>
  <c r="U439" i="6"/>
  <c r="U441" i="6"/>
  <c r="T443" i="6"/>
  <c r="U443" i="6" s="1"/>
  <c r="U444" i="6"/>
  <c r="U447" i="6"/>
  <c r="U449" i="6"/>
  <c r="U453" i="6"/>
  <c r="U455" i="6"/>
  <c r="T458" i="6"/>
  <c r="U458" i="6" s="1"/>
  <c r="T459" i="6"/>
  <c r="U459" i="6" s="1"/>
  <c r="T460" i="6"/>
  <c r="U460" i="6" s="1"/>
  <c r="U461" i="6"/>
  <c r="U463" i="6"/>
  <c r="U466" i="6"/>
  <c r="U468" i="6"/>
  <c r="U470" i="6"/>
  <c r="U472" i="6"/>
  <c r="U475" i="6"/>
  <c r="U477" i="6"/>
  <c r="U479" i="6"/>
  <c r="U482" i="6"/>
  <c r="U484" i="6"/>
  <c r="U486" i="6"/>
  <c r="U488" i="6"/>
  <c r="U491" i="6"/>
  <c r="U493" i="6"/>
  <c r="U496" i="6"/>
  <c r="U498" i="6"/>
  <c r="U500" i="6"/>
  <c r="U502" i="6"/>
  <c r="U504" i="6"/>
  <c r="U507" i="6"/>
  <c r="U510" i="6"/>
  <c r="U513" i="6"/>
  <c r="U514" i="6"/>
  <c r="U517" i="6"/>
  <c r="U520" i="6"/>
  <c r="U523" i="6"/>
  <c r="U525" i="6"/>
  <c r="U527" i="6"/>
  <c r="U529" i="6"/>
  <c r="U531" i="6"/>
  <c r="U533" i="6"/>
  <c r="U535" i="6"/>
  <c r="U537" i="6"/>
  <c r="U540" i="6"/>
  <c r="U543" i="6"/>
  <c r="U545" i="6"/>
  <c r="U547" i="6"/>
  <c r="U549" i="6"/>
  <c r="U551" i="6"/>
  <c r="U554" i="6"/>
  <c r="U556" i="6"/>
  <c r="U558" i="6"/>
  <c r="U560" i="6"/>
  <c r="U563" i="6"/>
  <c r="U565" i="6"/>
  <c r="U567" i="6"/>
  <c r="U570" i="6"/>
  <c r="U573" i="6"/>
  <c r="U576" i="6"/>
  <c r="U579" i="6"/>
  <c r="U582" i="6"/>
  <c r="U585" i="6"/>
  <c r="U588" i="6"/>
  <c r="U591" i="6"/>
  <c r="U594" i="6"/>
  <c r="U596" i="6"/>
  <c r="U599" i="6"/>
  <c r="T601" i="6"/>
  <c r="U601" i="6" s="1"/>
  <c r="U602" i="6"/>
  <c r="T605" i="6"/>
  <c r="U605" i="6" s="1"/>
  <c r="T606" i="6"/>
  <c r="U606" i="6" s="1"/>
  <c r="T607" i="6"/>
  <c r="U607" i="6" s="1"/>
  <c r="T608" i="6"/>
  <c r="U608" i="6" s="1"/>
  <c r="T609" i="6"/>
  <c r="U609" i="6" s="1"/>
  <c r="T610" i="6"/>
  <c r="U610" i="6" s="1"/>
  <c r="T611" i="6"/>
  <c r="U611" i="6" s="1"/>
  <c r="T612" i="6"/>
  <c r="U612" i="6" s="1"/>
  <c r="T613" i="6"/>
  <c r="U613" i="6" s="1"/>
  <c r="T614" i="6"/>
  <c r="U614" i="6" s="1"/>
  <c r="T615" i="6"/>
  <c r="U615" i="6" s="1"/>
  <c r="T616" i="6"/>
  <c r="U616" i="6" s="1"/>
  <c r="T617" i="6"/>
  <c r="U617" i="6" s="1"/>
  <c r="T618" i="6"/>
  <c r="U618" i="6" s="1"/>
  <c r="T619" i="6"/>
  <c r="U619" i="6" s="1"/>
  <c r="T620" i="6"/>
  <c r="U620" i="6" s="1"/>
  <c r="T621" i="6"/>
  <c r="U621" i="6" s="1"/>
  <c r="T622" i="6"/>
  <c r="U622" i="6" s="1"/>
  <c r="T623" i="6"/>
  <c r="U623" i="6" s="1"/>
  <c r="T624" i="6"/>
  <c r="U624" i="6" s="1"/>
  <c r="T625" i="6"/>
  <c r="U625" i="6" s="1"/>
  <c r="T626" i="6"/>
  <c r="U626" i="6" s="1"/>
  <c r="T627" i="6"/>
  <c r="U627" i="6" s="1"/>
  <c r="T628" i="6"/>
  <c r="U628" i="6" s="1"/>
  <c r="T629" i="6"/>
  <c r="U629" i="6" s="1"/>
  <c r="T630" i="6"/>
  <c r="U630" i="6" s="1"/>
  <c r="T631" i="6"/>
  <c r="U631" i="6" s="1"/>
  <c r="T632" i="6"/>
  <c r="U632" i="6" s="1"/>
  <c r="T633" i="6"/>
  <c r="U633" i="6" s="1"/>
  <c r="T634" i="6"/>
  <c r="U634" i="6" s="1"/>
  <c r="T635" i="6"/>
  <c r="U635" i="6" s="1"/>
  <c r="T636" i="6"/>
  <c r="U636" i="6" s="1"/>
  <c r="T637" i="6"/>
  <c r="U637" i="6" s="1"/>
  <c r="T638" i="6"/>
  <c r="U638" i="6" s="1"/>
  <c r="T639" i="6"/>
  <c r="U639" i="6" s="1"/>
  <c r="T640" i="6"/>
  <c r="U640" i="6" s="1"/>
  <c r="T641" i="6"/>
  <c r="U641" i="6" s="1"/>
  <c r="T642" i="6"/>
  <c r="U642" i="6" s="1"/>
  <c r="T643" i="6"/>
  <c r="U643" i="6" s="1"/>
  <c r="T644" i="6"/>
  <c r="U644" i="6" s="1"/>
  <c r="T645" i="6"/>
  <c r="U645" i="6" s="1"/>
  <c r="T646" i="6"/>
  <c r="U646" i="6" s="1"/>
  <c r="T647" i="6"/>
  <c r="U647" i="6" s="1"/>
  <c r="T648" i="6"/>
  <c r="U648" i="6" s="1"/>
  <c r="T649" i="6"/>
  <c r="U649" i="6" s="1"/>
  <c r="T650" i="6"/>
  <c r="U650" i="6" s="1"/>
  <c r="T651" i="6"/>
  <c r="U651" i="6" s="1"/>
  <c r="T652" i="6"/>
  <c r="U652" i="6" s="1"/>
  <c r="T653" i="6"/>
  <c r="U653" i="6" s="1"/>
  <c r="T654" i="6"/>
  <c r="U654" i="6" s="1"/>
  <c r="T655" i="6"/>
  <c r="U655" i="6" s="1"/>
  <c r="T656" i="6"/>
  <c r="U656" i="6" s="1"/>
  <c r="T657" i="6"/>
  <c r="U657" i="6" s="1"/>
  <c r="T658" i="6"/>
  <c r="U658" i="6" s="1"/>
  <c r="T659" i="6"/>
  <c r="U659" i="6" s="1"/>
  <c r="T660" i="6"/>
  <c r="U660" i="6" s="1"/>
  <c r="T661" i="6"/>
  <c r="U661" i="6" s="1"/>
  <c r="T662" i="6"/>
  <c r="U662" i="6" s="1"/>
  <c r="T663" i="6"/>
  <c r="U663" i="6" s="1"/>
  <c r="T664" i="6"/>
  <c r="U664" i="6" s="1"/>
  <c r="T665" i="6"/>
  <c r="U665" i="6" s="1"/>
  <c r="T666" i="6"/>
  <c r="U666" i="6" s="1"/>
  <c r="T667" i="6"/>
  <c r="U667" i="6" s="1"/>
  <c r="T668" i="6"/>
  <c r="U668" i="6" s="1"/>
  <c r="T669" i="6"/>
  <c r="U669" i="6" s="1"/>
  <c r="T670" i="6"/>
  <c r="U670" i="6" s="1"/>
  <c r="T671" i="6"/>
  <c r="U671" i="6" s="1"/>
  <c r="T672" i="6"/>
  <c r="U672" i="6" s="1"/>
  <c r="T673" i="6"/>
  <c r="U673" i="6" s="1"/>
  <c r="T674" i="6"/>
  <c r="U674" i="6" s="1"/>
  <c r="T675" i="6"/>
  <c r="U675" i="6" s="1"/>
  <c r="T676" i="6"/>
  <c r="U676" i="6" s="1"/>
  <c r="T677" i="6"/>
  <c r="U677" i="6" s="1"/>
  <c r="T678" i="6"/>
  <c r="U678" i="6" s="1"/>
  <c r="T679" i="6"/>
  <c r="U679" i="6" s="1"/>
  <c r="T680" i="6"/>
  <c r="U680" i="6" s="1"/>
  <c r="T681" i="6"/>
  <c r="U681" i="6" s="1"/>
  <c r="T682" i="6"/>
  <c r="U682" i="6" s="1"/>
  <c r="T683" i="6"/>
  <c r="U683" i="6" s="1"/>
  <c r="T684" i="6"/>
  <c r="U684" i="6" s="1"/>
  <c r="T685" i="6"/>
  <c r="U685" i="6" s="1"/>
  <c r="T686" i="6"/>
  <c r="U686" i="6" s="1"/>
  <c r="T687" i="6"/>
  <c r="U687" i="6" s="1"/>
  <c r="T688" i="6"/>
  <c r="U688" i="6" s="1"/>
  <c r="T689" i="6"/>
  <c r="U689" i="6" s="1"/>
  <c r="T690" i="6"/>
  <c r="U690" i="6" s="1"/>
  <c r="T691" i="6"/>
  <c r="U691" i="6" s="1"/>
  <c r="T692" i="6"/>
  <c r="U692" i="6" s="1"/>
  <c r="T694" i="6"/>
  <c r="U694" i="6" s="1"/>
  <c r="T695" i="6"/>
  <c r="U695" i="6" s="1"/>
  <c r="T696" i="6"/>
  <c r="U696" i="6" s="1"/>
  <c r="T697" i="6"/>
  <c r="U697" i="6" s="1"/>
  <c r="T698" i="6"/>
  <c r="U698" i="6" s="1"/>
  <c r="T699" i="6"/>
  <c r="U699" i="6" s="1"/>
  <c r="T700" i="6"/>
  <c r="U700" i="6" s="1"/>
  <c r="T701" i="6"/>
  <c r="U701" i="6" s="1"/>
  <c r="T702" i="6"/>
  <c r="U702" i="6" s="1"/>
  <c r="T703" i="6"/>
  <c r="U703" i="6" s="1"/>
  <c r="T704" i="6"/>
  <c r="U704" i="6" s="1"/>
  <c r="T705" i="6"/>
  <c r="U705" i="6" s="1"/>
  <c r="T706" i="6"/>
  <c r="U706" i="6" s="1"/>
  <c r="T707" i="6"/>
  <c r="U707" i="6" s="1"/>
  <c r="T709" i="6"/>
  <c r="U709" i="6" s="1"/>
  <c r="T710" i="6"/>
  <c r="U710" i="6" s="1"/>
  <c r="T711" i="6"/>
  <c r="U711" i="6" s="1"/>
  <c r="T712" i="6"/>
  <c r="U712" i="6" s="1"/>
  <c r="T713" i="6"/>
  <c r="U713" i="6" s="1"/>
  <c r="T714" i="6"/>
  <c r="U714" i="6" s="1"/>
  <c r="T715" i="6"/>
  <c r="U715" i="6" s="1"/>
  <c r="T716" i="6"/>
  <c r="U716" i="6" s="1"/>
  <c r="T717" i="6"/>
  <c r="U717" i="6" s="1"/>
  <c r="T718" i="6"/>
  <c r="U718" i="6" s="1"/>
  <c r="T719" i="6"/>
  <c r="U719" i="6" s="1"/>
  <c r="T720" i="6"/>
  <c r="U720" i="6" s="1"/>
  <c r="T721" i="6"/>
  <c r="U721" i="6" s="1"/>
  <c r="T722" i="6"/>
  <c r="U722" i="6" s="1"/>
  <c r="T723" i="6"/>
  <c r="U723" i="6" s="1"/>
  <c r="T724" i="6"/>
  <c r="U724" i="6" s="1"/>
  <c r="T725" i="6"/>
  <c r="U725" i="6" s="1"/>
  <c r="T726" i="6"/>
  <c r="U726" i="6" s="1"/>
  <c r="T727" i="6"/>
  <c r="U727" i="6" s="1"/>
  <c r="T728" i="6"/>
  <c r="U728" i="6" s="1"/>
  <c r="T729" i="6"/>
  <c r="U729" i="6" s="1"/>
  <c r="T730" i="6"/>
  <c r="U730" i="6" s="1"/>
  <c r="T731" i="6"/>
  <c r="U731" i="6" s="1"/>
  <c r="T732" i="6"/>
  <c r="U732" i="6" s="1"/>
  <c r="T733" i="6"/>
  <c r="U733" i="6" s="1"/>
  <c r="T734" i="6"/>
  <c r="U734" i="6" s="1"/>
  <c r="T735" i="6"/>
  <c r="U735" i="6" s="1"/>
  <c r="T736" i="6"/>
  <c r="U736" i="6" s="1"/>
  <c r="T737" i="6"/>
  <c r="U737" i="6" s="1"/>
  <c r="T738" i="6"/>
  <c r="U738" i="6" s="1"/>
  <c r="T739" i="6"/>
  <c r="U739" i="6" s="1"/>
  <c r="T740" i="6"/>
  <c r="U740" i="6" s="1"/>
  <c r="T741" i="6"/>
  <c r="U741" i="6" s="1"/>
  <c r="T742" i="6"/>
  <c r="U742" i="6" s="1"/>
  <c r="T743" i="6"/>
  <c r="U743" i="6" s="1"/>
  <c r="T744" i="6"/>
  <c r="U744" i="6" s="1"/>
  <c r="T745" i="6"/>
  <c r="U745" i="6" s="1"/>
  <c r="T746" i="6"/>
  <c r="U746" i="6" s="1"/>
  <c r="T747" i="6"/>
  <c r="U747" i="6" s="1"/>
  <c r="T748" i="6"/>
  <c r="U748" i="6" s="1"/>
  <c r="T749" i="6"/>
  <c r="U749" i="6" s="1"/>
  <c r="T750" i="6"/>
  <c r="U750" i="6" s="1"/>
  <c r="T751" i="6"/>
  <c r="U751" i="6" s="1"/>
  <c r="T752" i="6"/>
  <c r="U752" i="6" s="1"/>
  <c r="T753" i="6"/>
  <c r="U753" i="6" s="1"/>
  <c r="T754" i="6"/>
  <c r="U754" i="6" s="1"/>
  <c r="T755" i="6"/>
  <c r="U755" i="6" s="1"/>
  <c r="T756" i="6"/>
  <c r="U756" i="6" s="1"/>
  <c r="T757" i="6"/>
  <c r="U757" i="6" s="1"/>
  <c r="T758" i="6"/>
  <c r="U758" i="6" s="1"/>
  <c r="T759" i="6"/>
  <c r="U759" i="6" s="1"/>
  <c r="T760" i="6"/>
  <c r="U760" i="6" s="1"/>
  <c r="T761" i="6"/>
  <c r="U761" i="6" s="1"/>
  <c r="T762" i="6"/>
  <c r="U762" i="6" s="1"/>
  <c r="T763" i="6"/>
  <c r="U763" i="6" s="1"/>
  <c r="T764" i="6"/>
  <c r="U764" i="6" s="1"/>
  <c r="T765" i="6"/>
  <c r="U765" i="6" s="1"/>
  <c r="T766" i="6"/>
  <c r="U766" i="6" s="1"/>
  <c r="T767" i="6"/>
  <c r="U767" i="6" s="1"/>
  <c r="T768" i="6"/>
  <c r="U768" i="6" s="1"/>
  <c r="T769" i="6"/>
  <c r="U769" i="6" s="1"/>
  <c r="T770" i="6"/>
  <c r="U770" i="6" s="1"/>
  <c r="T771" i="6"/>
  <c r="U771" i="6" s="1"/>
  <c r="T772" i="6"/>
  <c r="U772" i="6" s="1"/>
  <c r="T773" i="6"/>
  <c r="U773" i="6" s="1"/>
  <c r="T774" i="6"/>
  <c r="U774" i="6" s="1"/>
  <c r="T775" i="6"/>
  <c r="U775" i="6" s="1"/>
  <c r="T776" i="6"/>
  <c r="U776" i="6" s="1"/>
  <c r="T777" i="6"/>
  <c r="U777" i="6" s="1"/>
  <c r="T778" i="6"/>
  <c r="U778" i="6" s="1"/>
  <c r="T779" i="6"/>
  <c r="U779" i="6" s="1"/>
  <c r="T780" i="6"/>
  <c r="U780" i="6" s="1"/>
  <c r="T781" i="6"/>
  <c r="U781" i="6" s="1"/>
  <c r="T782" i="6"/>
  <c r="U782" i="6" s="1"/>
  <c r="T783" i="6"/>
  <c r="U783" i="6" s="1"/>
  <c r="T784" i="6"/>
  <c r="U784" i="6" s="1"/>
  <c r="T785" i="6"/>
  <c r="U785" i="6" s="1"/>
  <c r="T786" i="6"/>
  <c r="U786" i="6" s="1"/>
  <c r="T787" i="6"/>
  <c r="U787" i="6" s="1"/>
  <c r="T788" i="6"/>
  <c r="U788" i="6" s="1"/>
  <c r="T789" i="6"/>
  <c r="U789" i="6" s="1"/>
  <c r="T790" i="6"/>
  <c r="U790" i="6" s="1"/>
  <c r="T791" i="6"/>
  <c r="U791" i="6" s="1"/>
  <c r="T792" i="6"/>
  <c r="U792" i="6" s="1"/>
  <c r="T793" i="6"/>
  <c r="U793" i="6" s="1"/>
  <c r="T794" i="6"/>
  <c r="U794" i="6" s="1"/>
  <c r="T795" i="6"/>
  <c r="U795" i="6" s="1"/>
  <c r="T796" i="6"/>
  <c r="U796" i="6" s="1"/>
  <c r="T797" i="6"/>
  <c r="U797" i="6" s="1"/>
  <c r="T798" i="6"/>
  <c r="U798" i="6" s="1"/>
  <c r="T799" i="6"/>
  <c r="U799" i="6" s="1"/>
  <c r="T800" i="6"/>
  <c r="U800" i="6" s="1"/>
  <c r="T801" i="6"/>
  <c r="U801" i="6" s="1"/>
  <c r="T802" i="6"/>
  <c r="U802" i="6" s="1"/>
  <c r="T803" i="6"/>
  <c r="U803" i="6" s="1"/>
  <c r="T804" i="6"/>
  <c r="U804" i="6" s="1"/>
  <c r="T805" i="6"/>
  <c r="U805" i="6" s="1"/>
  <c r="T806" i="6"/>
  <c r="U806" i="6" s="1"/>
  <c r="T807" i="6"/>
  <c r="U807" i="6" s="1"/>
  <c r="T808" i="6"/>
  <c r="U808" i="6" s="1"/>
  <c r="T809" i="6"/>
  <c r="U809" i="6" s="1"/>
  <c r="T810" i="6"/>
  <c r="U810" i="6" s="1"/>
  <c r="T811" i="6"/>
  <c r="U811" i="6" s="1"/>
  <c r="T812" i="6"/>
  <c r="U812" i="6" s="1"/>
  <c r="T813" i="6"/>
  <c r="U813" i="6" s="1"/>
  <c r="T814" i="6"/>
  <c r="U814" i="6" s="1"/>
  <c r="T815" i="6"/>
  <c r="U815" i="6" s="1"/>
  <c r="T816" i="6"/>
  <c r="U816" i="6" s="1"/>
  <c r="T817" i="6"/>
  <c r="U817" i="6" s="1"/>
  <c r="T818" i="6"/>
  <c r="U818" i="6" s="1"/>
  <c r="T819" i="6"/>
  <c r="U819" i="6" s="1"/>
  <c r="T820" i="6"/>
  <c r="U820" i="6" s="1"/>
  <c r="U821" i="6"/>
  <c r="U822" i="6"/>
  <c r="U823" i="6"/>
  <c r="U824" i="6"/>
  <c r="U825" i="6"/>
  <c r="U826" i="6"/>
  <c r="U827" i="6"/>
  <c r="U828" i="6"/>
  <c r="U829" i="6"/>
  <c r="U832" i="6"/>
  <c r="U835" i="6"/>
  <c r="U838" i="6"/>
  <c r="U841" i="6"/>
  <c r="U844" i="6"/>
  <c r="U847" i="6"/>
  <c r="U850" i="6"/>
  <c r="U853" i="6"/>
  <c r="U856" i="6"/>
  <c r="U859" i="6"/>
  <c r="U860" i="6"/>
  <c r="U861" i="6"/>
  <c r="U862" i="6"/>
  <c r="U864" i="6"/>
  <c r="U865" i="6"/>
  <c r="U868" i="6"/>
  <c r="U869" i="6"/>
  <c r="U870" i="6"/>
  <c r="U874" i="6"/>
  <c r="U876" i="6"/>
  <c r="U877" i="6"/>
  <c r="U878" i="6"/>
  <c r="U879" i="6"/>
  <c r="U880" i="6"/>
  <c r="U881" i="6"/>
  <c r="U884" i="6"/>
  <c r="R885" i="6"/>
  <c r="U885" i="6" s="1"/>
  <c r="U888" i="6"/>
  <c r="U891" i="6"/>
  <c r="R892" i="6"/>
  <c r="T892" i="6" s="1"/>
  <c r="U892" i="6" s="1"/>
  <c r="R893" i="6"/>
  <c r="T893" i="6" s="1"/>
  <c r="U893" i="6" s="1"/>
  <c r="T894" i="6"/>
  <c r="U894" i="6" s="1"/>
  <c r="T895" i="6"/>
  <c r="U895" i="6" s="1"/>
  <c r="T896" i="6"/>
  <c r="U896" i="6" s="1"/>
  <c r="T897" i="6"/>
  <c r="U897" i="6" s="1"/>
  <c r="T898" i="6"/>
  <c r="U898" i="6" s="1"/>
  <c r="T899" i="6"/>
  <c r="U899" i="6" s="1"/>
  <c r="T900" i="6"/>
  <c r="U900" i="6" s="1"/>
  <c r="T901" i="6"/>
  <c r="U901" i="6" s="1"/>
  <c r="T902" i="6"/>
  <c r="U902" i="6" s="1"/>
  <c r="T903" i="6"/>
  <c r="U903" i="6" s="1"/>
  <c r="T904" i="6"/>
  <c r="U904" i="6" s="1"/>
  <c r="T905" i="6"/>
  <c r="U905" i="6" s="1"/>
  <c r="T906" i="6"/>
  <c r="U906" i="6" s="1"/>
  <c r="T907" i="6"/>
  <c r="U907" i="6" s="1"/>
  <c r="T908" i="6"/>
  <c r="U908" i="6" s="1"/>
  <c r="T909" i="6"/>
  <c r="U909" i="6" s="1"/>
  <c r="T910" i="6"/>
  <c r="U910" i="6" s="1"/>
  <c r="T911" i="6"/>
  <c r="U911" i="6" s="1"/>
  <c r="T912" i="6"/>
  <c r="U912" i="6" s="1"/>
  <c r="T913" i="6"/>
  <c r="U913" i="6" s="1"/>
  <c r="T914" i="6"/>
  <c r="U914" i="6" s="1"/>
  <c r="T915" i="6"/>
  <c r="U915" i="6" s="1"/>
  <c r="T916" i="6"/>
  <c r="U916" i="6" s="1"/>
  <c r="T917" i="6"/>
  <c r="U917" i="6" s="1"/>
  <c r="T918" i="6"/>
  <c r="U918" i="6" s="1"/>
  <c r="R919" i="6"/>
  <c r="T919" i="6" s="1"/>
  <c r="U919" i="6" s="1"/>
  <c r="R920" i="6"/>
  <c r="U920" i="6" s="1"/>
  <c r="R922" i="6"/>
  <c r="T922" i="6" s="1"/>
  <c r="U922" i="6" s="1"/>
  <c r="R923" i="6"/>
  <c r="T923" i="6" s="1"/>
  <c r="U923" i="6" s="1"/>
  <c r="R924" i="6"/>
  <c r="T924" i="6" s="1"/>
  <c r="U924" i="6" s="1"/>
  <c r="R925" i="6"/>
  <c r="T925" i="6" s="1"/>
  <c r="U925" i="6" s="1"/>
  <c r="R926" i="6"/>
  <c r="T926" i="6" s="1"/>
  <c r="U926" i="6" s="1"/>
  <c r="R927" i="6"/>
  <c r="T927" i="6" s="1"/>
  <c r="U927" i="6" s="1"/>
  <c r="R928" i="6"/>
  <c r="U928" i="6" s="1"/>
  <c r="R930" i="6"/>
  <c r="T930" i="6" s="1"/>
  <c r="U930" i="6" s="1"/>
  <c r="U931" i="6"/>
  <c r="T933" i="6"/>
  <c r="U933" i="6" s="1"/>
  <c r="U934" i="6"/>
  <c r="R936" i="6"/>
  <c r="T936" i="6" s="1"/>
  <c r="U936" i="6" s="1"/>
  <c r="R937" i="6"/>
  <c r="U937" i="6" s="1"/>
  <c r="R939" i="6"/>
  <c r="U939" i="6" s="1"/>
  <c r="U941" i="6"/>
  <c r="R943" i="6"/>
  <c r="U943" i="6" s="1"/>
  <c r="T945" i="6"/>
  <c r="U945" i="6" s="1"/>
  <c r="R946" i="6"/>
  <c r="T946" i="6" s="1"/>
  <c r="U946" i="6" s="1"/>
  <c r="T947" i="6"/>
  <c r="U947" i="6" s="1"/>
  <c r="R948" i="6"/>
  <c r="U948" i="6" s="1"/>
  <c r="R950" i="6"/>
  <c r="U950" i="6" s="1"/>
  <c r="R952" i="6"/>
  <c r="U952" i="6" s="1"/>
  <c r="U954" i="6"/>
  <c r="R956" i="6"/>
  <c r="U956" i="6" s="1"/>
  <c r="R958" i="6"/>
  <c r="U958" i="6" s="1"/>
  <c r="R960" i="6"/>
  <c r="U960" i="6" s="1"/>
  <c r="U962" i="6"/>
  <c r="R964" i="6"/>
  <c r="T964" i="6" s="1"/>
  <c r="U964" i="6" s="1"/>
  <c r="T965" i="6"/>
  <c r="U965" i="6" s="1"/>
  <c r="R966" i="6"/>
  <c r="U966" i="6" s="1"/>
  <c r="R968" i="6"/>
  <c r="U968" i="6" s="1"/>
  <c r="R972" i="6"/>
  <c r="T972" i="6" s="1"/>
  <c r="U972" i="6" s="1"/>
  <c r="R973" i="6"/>
  <c r="T973" i="6" s="1"/>
  <c r="U973" i="6" s="1"/>
  <c r="T974" i="6"/>
  <c r="U974" i="6" s="1"/>
  <c r="T975" i="6"/>
  <c r="U975" i="6" s="1"/>
  <c r="R976" i="6"/>
  <c r="T976" i="6" s="1"/>
  <c r="U976" i="6" s="1"/>
  <c r="T977" i="6"/>
  <c r="U977" i="6" s="1"/>
  <c r="T978" i="6"/>
  <c r="U978" i="6" s="1"/>
  <c r="T979" i="6"/>
  <c r="U979" i="6" s="1"/>
  <c r="R980" i="6"/>
  <c r="T980" i="6" s="1"/>
  <c r="U980" i="6" s="1"/>
  <c r="T981" i="6"/>
  <c r="U981" i="6" s="1"/>
  <c r="T982" i="6"/>
  <c r="U982" i="6" s="1"/>
  <c r="T983" i="6"/>
  <c r="U983" i="6" s="1"/>
  <c r="T984" i="6"/>
  <c r="U984" i="6" s="1"/>
  <c r="T985" i="6"/>
  <c r="U985" i="6" s="1"/>
  <c r="T986" i="6"/>
  <c r="U986" i="6" s="1"/>
  <c r="T987" i="6"/>
  <c r="U987" i="6" s="1"/>
  <c r="T988" i="6"/>
  <c r="U988" i="6" s="1"/>
  <c r="T989" i="6"/>
  <c r="U989" i="6" s="1"/>
  <c r="T990" i="6"/>
  <c r="U990" i="6" s="1"/>
  <c r="T991" i="6"/>
  <c r="U991" i="6" s="1"/>
  <c r="T992" i="6"/>
  <c r="U992" i="6" s="1"/>
  <c r="T993" i="6"/>
  <c r="T994" i="6"/>
  <c r="U994" i="6" s="1"/>
  <c r="T995" i="6"/>
  <c r="U995" i="6" s="1"/>
  <c r="T996" i="6"/>
  <c r="U996" i="6" s="1"/>
  <c r="T997" i="6"/>
  <c r="U997" i="6" s="1"/>
  <c r="T998" i="6"/>
  <c r="U998" i="6" s="1"/>
  <c r="T999" i="6"/>
  <c r="U999" i="6" s="1"/>
  <c r="T1000" i="6"/>
  <c r="U1000" i="6" s="1"/>
  <c r="T1001" i="6"/>
  <c r="U1001" i="6" s="1"/>
  <c r="T1002" i="6"/>
  <c r="U1002" i="6" s="1"/>
  <c r="T1003" i="6"/>
  <c r="U1003" i="6" s="1"/>
  <c r="T1004" i="6"/>
  <c r="U1004" i="6" s="1"/>
  <c r="T1005" i="6"/>
  <c r="U1005" i="6" s="1"/>
  <c r="T1006" i="6"/>
  <c r="U1006" i="6" s="1"/>
  <c r="T1007" i="6"/>
  <c r="U1007" i="6" s="1"/>
  <c r="T1008" i="6"/>
  <c r="U1008" i="6" s="1"/>
  <c r="T1009" i="6"/>
  <c r="U1009" i="6" s="1"/>
  <c r="T1010" i="6"/>
  <c r="U1010" i="6" s="1"/>
  <c r="T1011" i="6"/>
  <c r="U1011" i="6" s="1"/>
  <c r="T1012" i="6"/>
  <c r="U1012" i="6" s="1"/>
  <c r="T1013" i="6"/>
  <c r="U1013" i="6" s="1"/>
  <c r="T1014" i="6"/>
  <c r="U1014" i="6" s="1"/>
  <c r="T1015" i="6"/>
  <c r="U1015" i="6" s="1"/>
  <c r="T1016" i="6"/>
  <c r="U1016" i="6" s="1"/>
  <c r="T1017" i="6"/>
  <c r="U1017" i="6" s="1"/>
  <c r="T1018" i="6"/>
  <c r="U1018" i="6" s="1"/>
  <c r="T1019" i="6"/>
  <c r="U1019" i="6" s="1"/>
  <c r="T1020" i="6"/>
  <c r="U1020" i="6" s="1"/>
  <c r="T1021" i="6"/>
  <c r="U1021" i="6" s="1"/>
  <c r="T1022" i="6"/>
  <c r="U1022" i="6" s="1"/>
  <c r="T1023" i="6"/>
  <c r="U1023" i="6" s="1"/>
  <c r="T1024" i="6"/>
  <c r="U1024" i="6" s="1"/>
  <c r="T1025" i="6"/>
  <c r="U1025" i="6" s="1"/>
  <c r="T1026" i="6"/>
  <c r="U1026" i="6" s="1"/>
  <c r="T1027" i="6"/>
  <c r="U1027" i="6" s="1"/>
  <c r="T1028" i="6"/>
  <c r="U1028" i="6" s="1"/>
  <c r="T1029" i="6"/>
  <c r="U1029" i="6" s="1"/>
  <c r="T1030" i="6"/>
  <c r="U1030" i="6" s="1"/>
  <c r="U1031" i="6"/>
  <c r="T1033" i="6"/>
  <c r="U1033" i="6" s="1"/>
  <c r="T1034" i="6"/>
  <c r="U1034" i="6" s="1"/>
  <c r="T1035" i="6"/>
  <c r="U1035" i="6" s="1"/>
  <c r="T1036" i="6"/>
  <c r="U1036" i="6" s="1"/>
  <c r="T1037" i="6"/>
  <c r="U1037" i="6" s="1"/>
  <c r="T1038" i="6"/>
  <c r="U1038" i="6" s="1"/>
  <c r="T1039" i="6"/>
  <c r="U1039" i="6" s="1"/>
  <c r="T1040" i="6"/>
  <c r="U1040" i="6" s="1"/>
  <c r="T1041" i="6"/>
  <c r="U1041" i="6" s="1"/>
  <c r="T1042" i="6"/>
  <c r="U1042" i="6" s="1"/>
  <c r="T1043" i="6"/>
  <c r="U1043" i="6" s="1"/>
  <c r="T1044" i="6"/>
  <c r="U1044" i="6" s="1"/>
  <c r="T1045" i="6"/>
  <c r="U1045" i="6" s="1"/>
  <c r="T1046" i="6"/>
  <c r="U1046" i="6" s="1"/>
  <c r="T1047" i="6"/>
  <c r="U1047" i="6" s="1"/>
  <c r="T1048" i="6"/>
  <c r="U1048" i="6" s="1"/>
  <c r="T1049" i="6"/>
  <c r="U1049" i="6" s="1"/>
  <c r="T1050" i="6"/>
  <c r="U1050" i="6" s="1"/>
  <c r="T1051" i="6"/>
  <c r="U1051" i="6" s="1"/>
  <c r="T1052" i="6"/>
  <c r="U1052" i="6" s="1"/>
  <c r="T1053" i="6"/>
  <c r="U1053" i="6" s="1"/>
  <c r="T1054" i="6"/>
  <c r="U1054" i="6" s="1"/>
  <c r="T1055" i="6"/>
  <c r="U1055" i="6" s="1"/>
  <c r="T1056" i="6"/>
  <c r="U1056" i="6" s="1"/>
  <c r="T1057" i="6"/>
  <c r="U1057" i="6" s="1"/>
  <c r="T1058" i="6"/>
  <c r="U1058" i="6" s="1"/>
  <c r="T1059" i="6"/>
  <c r="U1059" i="6" s="1"/>
  <c r="T1060" i="6"/>
  <c r="U1060" i="6" s="1"/>
  <c r="T1061" i="6"/>
  <c r="U1061" i="6" s="1"/>
  <c r="T1062" i="6"/>
  <c r="U1062" i="6" s="1"/>
  <c r="T1063" i="6"/>
  <c r="U1063" i="6" s="1"/>
  <c r="T1064" i="6"/>
  <c r="U1064" i="6" s="1"/>
  <c r="T1065" i="6"/>
  <c r="U1065" i="6" s="1"/>
  <c r="T1066" i="6"/>
  <c r="U1066" i="6" s="1"/>
  <c r="T1067" i="6"/>
  <c r="U1067" i="6" s="1"/>
  <c r="T1068" i="6"/>
  <c r="U1068" i="6" s="1"/>
  <c r="T1069" i="6"/>
  <c r="U1069" i="6" s="1"/>
  <c r="T1070" i="6"/>
  <c r="U1070" i="6" s="1"/>
  <c r="T1071" i="6"/>
  <c r="U1071" i="6" s="1"/>
  <c r="T1072" i="6"/>
  <c r="U1072" i="6" s="1"/>
  <c r="T1073" i="6"/>
  <c r="U1073" i="6" s="1"/>
  <c r="T1074" i="6"/>
  <c r="U1074" i="6" s="1"/>
  <c r="T1075" i="6"/>
  <c r="U1075" i="6" s="1"/>
  <c r="T1076" i="6"/>
  <c r="U1076" i="6" s="1"/>
  <c r="T1077" i="6"/>
  <c r="U1077" i="6" s="1"/>
  <c r="T1078" i="6"/>
  <c r="U1078" i="6" s="1"/>
  <c r="T1079" i="6"/>
  <c r="U1079" i="6" s="1"/>
  <c r="T1080" i="6"/>
  <c r="U1080" i="6" s="1"/>
  <c r="T1081" i="6"/>
  <c r="U1081" i="6" s="1"/>
  <c r="T1082" i="6"/>
  <c r="U1082" i="6" s="1"/>
  <c r="T1083" i="6"/>
  <c r="U1083" i="6" s="1"/>
  <c r="T1084" i="6"/>
  <c r="U1084" i="6" s="1"/>
  <c r="T1085" i="6"/>
  <c r="U1085" i="6" s="1"/>
  <c r="T1086" i="6"/>
  <c r="U1086" i="6" s="1"/>
  <c r="T1087" i="6"/>
  <c r="U1087" i="6" s="1"/>
  <c r="T1088" i="6"/>
  <c r="U1088" i="6" s="1"/>
  <c r="T1089" i="6"/>
  <c r="U1089" i="6" s="1"/>
  <c r="T1090" i="6"/>
  <c r="U1090" i="6" s="1"/>
  <c r="T1091" i="6"/>
  <c r="U1091" i="6" s="1"/>
  <c r="T1092" i="6"/>
  <c r="U1092" i="6" s="1"/>
  <c r="T1093" i="6"/>
  <c r="U1093" i="6" s="1"/>
  <c r="T1094" i="6"/>
  <c r="U1094" i="6" s="1"/>
  <c r="T1095" i="6"/>
  <c r="U1095" i="6" s="1"/>
  <c r="T1096" i="6"/>
  <c r="U1096" i="6" s="1"/>
  <c r="T1097" i="6"/>
  <c r="U1097" i="6" s="1"/>
  <c r="T1098" i="6"/>
  <c r="U1098" i="6" s="1"/>
  <c r="T1099" i="6"/>
  <c r="U1099" i="6" s="1"/>
  <c r="T1100" i="6"/>
  <c r="T1101" i="6"/>
  <c r="U1101" i="6" s="1"/>
  <c r="T1102" i="6"/>
  <c r="U1102" i="6" s="1"/>
  <c r="T1103" i="6"/>
  <c r="U1103" i="6" s="1"/>
  <c r="T1104" i="6"/>
  <c r="U1104" i="6" s="1"/>
  <c r="T1105" i="6"/>
  <c r="U1105" i="6" s="1"/>
  <c r="T1106" i="6"/>
  <c r="U1106" i="6" s="1"/>
  <c r="T1107" i="6"/>
  <c r="U1107" i="6" s="1"/>
  <c r="T1108" i="6"/>
  <c r="U1108" i="6" s="1"/>
  <c r="T1109" i="6"/>
  <c r="U1109" i="6" s="1"/>
  <c r="T1110" i="6"/>
  <c r="U1110" i="6" s="1"/>
  <c r="T1111" i="6"/>
  <c r="U1111" i="6" s="1"/>
  <c r="T1112" i="6"/>
  <c r="U1112" i="6" s="1"/>
  <c r="T1113" i="6"/>
  <c r="U1113" i="6" s="1"/>
  <c r="T1114" i="6"/>
  <c r="U1114" i="6" s="1"/>
  <c r="T1115" i="6"/>
  <c r="U1115" i="6" s="1"/>
  <c r="T1116" i="6"/>
  <c r="U1116" i="6" s="1"/>
  <c r="T1117" i="6"/>
  <c r="U1117" i="6" s="1"/>
  <c r="T1118" i="6"/>
  <c r="U1118" i="6" s="1"/>
  <c r="T1119" i="6"/>
  <c r="U1119" i="6" s="1"/>
  <c r="T1120" i="6"/>
  <c r="U1120" i="6" s="1"/>
  <c r="T1121" i="6"/>
  <c r="U1121" i="6" s="1"/>
  <c r="T1122" i="6"/>
  <c r="U1122" i="6" s="1"/>
  <c r="T1123" i="6"/>
  <c r="U1123" i="6" s="1"/>
  <c r="T1124" i="6"/>
  <c r="U1124" i="6" s="1"/>
  <c r="T1125" i="6"/>
  <c r="U1125" i="6" s="1"/>
  <c r="T1126" i="6"/>
  <c r="U1126" i="6" s="1"/>
  <c r="T1127" i="6"/>
  <c r="U1127" i="6" s="1"/>
  <c r="T1128" i="6"/>
  <c r="U1128" i="6" s="1"/>
  <c r="T1129" i="6"/>
  <c r="U1129" i="6" s="1"/>
  <c r="T1130" i="6"/>
  <c r="U1130" i="6" s="1"/>
  <c r="T1131" i="6"/>
  <c r="U1131" i="6" s="1"/>
  <c r="T1132" i="6"/>
  <c r="U1132" i="6" s="1"/>
  <c r="T1133" i="6"/>
  <c r="U1133" i="6" s="1"/>
  <c r="T1134" i="6"/>
  <c r="U1134" i="6" s="1"/>
  <c r="T1135" i="6"/>
  <c r="U1135" i="6" s="1"/>
  <c r="T1136" i="6"/>
  <c r="U1136" i="6" s="1"/>
  <c r="T1137" i="6"/>
  <c r="U1137" i="6" s="1"/>
  <c r="T1138" i="6"/>
  <c r="U1138" i="6" s="1"/>
  <c r="U1139" i="6"/>
  <c r="T1141" i="6"/>
  <c r="U1141" i="6" s="1"/>
  <c r="U1142" i="6"/>
  <c r="U1146" i="6"/>
  <c r="U1147" i="6"/>
  <c r="U1151" i="6"/>
  <c r="U1155" i="6"/>
  <c r="U1159" i="6"/>
  <c r="R1163" i="6"/>
  <c r="U1163" i="6" s="1"/>
  <c r="R1167" i="6"/>
  <c r="U1167" i="6" s="1"/>
  <c r="U1171" i="6"/>
  <c r="U1175" i="6"/>
  <c r="U1179" i="6"/>
  <c r="U1182" i="6"/>
  <c r="R1186" i="6"/>
  <c r="U1186" i="6" s="1"/>
  <c r="T1190" i="6"/>
  <c r="U1190" i="6" s="1"/>
  <c r="U1191" i="6"/>
  <c r="U1193" i="6"/>
  <c r="U1195" i="6"/>
  <c r="U1197" i="6"/>
  <c r="U1201" i="6"/>
  <c r="U1205" i="6"/>
  <c r="U1208" i="6"/>
  <c r="U1211" i="6"/>
  <c r="U1213" i="6"/>
  <c r="U1216" i="6"/>
  <c r="U1217" i="6"/>
  <c r="U1218" i="6"/>
  <c r="U1221" i="6"/>
  <c r="U1224" i="6"/>
  <c r="U1226" i="6"/>
  <c r="U1228" i="6"/>
  <c r="U1232" i="6"/>
  <c r="T1236" i="6"/>
  <c r="U1236" i="6" s="1"/>
  <c r="U1237" i="6"/>
  <c r="T1240" i="6"/>
  <c r="U1240" i="6" s="1"/>
  <c r="T1241" i="6"/>
  <c r="U1241" i="6" s="1"/>
  <c r="T1242" i="6"/>
  <c r="U1242" i="6" s="1"/>
  <c r="T1243" i="6"/>
  <c r="U1243" i="6" s="1"/>
  <c r="U1244" i="6"/>
  <c r="U1247" i="6"/>
  <c r="U1250" i="6"/>
  <c r="U1254" i="6"/>
  <c r="U1257" i="6"/>
  <c r="U1260" i="6"/>
  <c r="U1263" i="6"/>
  <c r="U1266" i="6"/>
  <c r="U1269" i="6"/>
  <c r="U1272" i="6"/>
  <c r="U1274" i="6"/>
  <c r="U1279" i="6"/>
  <c r="U1294" i="6"/>
  <c r="T1296" i="6"/>
  <c r="U1296" i="6" s="1"/>
  <c r="U1297" i="6"/>
  <c r="U1301" i="6"/>
  <c r="T1306" i="6"/>
  <c r="U1306" i="6" s="1"/>
  <c r="T1307" i="6"/>
  <c r="U1307" i="6" s="1"/>
  <c r="T1308" i="6"/>
  <c r="U1308" i="6" s="1"/>
  <c r="T1309" i="6"/>
  <c r="U1309" i="6" s="1"/>
  <c r="T1310" i="6"/>
  <c r="U1310" i="6" s="1"/>
  <c r="T1311" i="6"/>
  <c r="U1311" i="6" s="1"/>
  <c r="T1312" i="6"/>
  <c r="U1312" i="6" s="1"/>
  <c r="T1313" i="6"/>
  <c r="U1313" i="6" s="1"/>
  <c r="T1314" i="6"/>
  <c r="U1314" i="6" s="1"/>
  <c r="T1315" i="6"/>
  <c r="U1315" i="6" s="1"/>
  <c r="T1316" i="6"/>
  <c r="U1316" i="6" s="1"/>
  <c r="T1317" i="6"/>
  <c r="U1317" i="6" s="1"/>
  <c r="T1318" i="6"/>
  <c r="U1318" i="6" s="1"/>
  <c r="T1319" i="6"/>
  <c r="U1319" i="6" s="1"/>
  <c r="T1320" i="6"/>
  <c r="U1320" i="6" s="1"/>
  <c r="T1321" i="6"/>
  <c r="U1321" i="6" s="1"/>
  <c r="U1322" i="6"/>
  <c r="U1325" i="6"/>
  <c r="U1327" i="6"/>
  <c r="U1330" i="6"/>
  <c r="U1336" i="6"/>
  <c r="U1339" i="6"/>
  <c r="U1342" i="6"/>
  <c r="U1345" i="6"/>
  <c r="U1348" i="6"/>
  <c r="U1351" i="6"/>
  <c r="U1354" i="6"/>
  <c r="U1357" i="6"/>
  <c r="U1360" i="6"/>
  <c r="U1363" i="6"/>
  <c r="U1366" i="6"/>
  <c r="U1368" i="6"/>
  <c r="U1371" i="6"/>
  <c r="U1374" i="6"/>
  <c r="U1377" i="6"/>
  <c r="U1380" i="6"/>
  <c r="U1383" i="6"/>
  <c r="U1386" i="6"/>
  <c r="U1388" i="6"/>
  <c r="U1391" i="6"/>
  <c r="U1394" i="6"/>
  <c r="U1397" i="6"/>
  <c r="U1399" i="6"/>
  <c r="U1402" i="6"/>
  <c r="U1405" i="6"/>
  <c r="U1416" i="6"/>
  <c r="U1419" i="6"/>
  <c r="U1422" i="6"/>
  <c r="U1425" i="6"/>
  <c r="U1428" i="6"/>
  <c r="U1431" i="6"/>
  <c r="U1434" i="6"/>
  <c r="U1437" i="6"/>
  <c r="U1440" i="6"/>
  <c r="U1443" i="6"/>
  <c r="U1446" i="6"/>
  <c r="U1449" i="6"/>
  <c r="U1452" i="6"/>
  <c r="U1459" i="6"/>
  <c r="U1462" i="6"/>
  <c r="U1464" i="6"/>
  <c r="U1467" i="6"/>
  <c r="U1470" i="6"/>
  <c r="U1472" i="6"/>
  <c r="U1475" i="6"/>
  <c r="U1478" i="6"/>
  <c r="U1481" i="6"/>
  <c r="U1484" i="6"/>
  <c r="U1487" i="6"/>
  <c r="U1490" i="6"/>
  <c r="U1493" i="6"/>
  <c r="U1496" i="6"/>
  <c r="U1499" i="6"/>
  <c r="U1502" i="6"/>
  <c r="U1505" i="6"/>
  <c r="U1508" i="6"/>
  <c r="U1511" i="6"/>
  <c r="U1513" i="6"/>
  <c r="U1516" i="6"/>
  <c r="U1519" i="6"/>
  <c r="U1522" i="6"/>
  <c r="U1525" i="6"/>
  <c r="U1528" i="6"/>
  <c r="U1531" i="6"/>
  <c r="U1408" i="6"/>
  <c r="U1534" i="6"/>
  <c r="U1537" i="6"/>
  <c r="U1540" i="6"/>
  <c r="U1543" i="6"/>
  <c r="U1546" i="6"/>
  <c r="U1549" i="6"/>
  <c r="U1555" i="6"/>
  <c r="U1558" i="6"/>
  <c r="U1561" i="6"/>
  <c r="U1564" i="6"/>
  <c r="U1567" i="6"/>
  <c r="U1570" i="6"/>
  <c r="U1573" i="6"/>
  <c r="U1576" i="6"/>
  <c r="U1578" i="6"/>
  <c r="U1580" i="6"/>
  <c r="U1582" i="6"/>
  <c r="U1584" i="6"/>
  <c r="U1586" i="6"/>
  <c r="U1588" i="6"/>
  <c r="U1590" i="6"/>
  <c r="U1592" i="6"/>
  <c r="U1594" i="6"/>
  <c r="U1596" i="6"/>
  <c r="U1598" i="6"/>
  <c r="U1600" i="6"/>
  <c r="U1602" i="6"/>
  <c r="U1604" i="6"/>
  <c r="U1606" i="6"/>
  <c r="T1608" i="6"/>
  <c r="U1608" i="6" s="1"/>
  <c r="T1611" i="6"/>
  <c r="U1611" i="6" s="1"/>
  <c r="T1612" i="6"/>
  <c r="U1612" i="6" s="1"/>
  <c r="T1613" i="6"/>
  <c r="U1613" i="6" s="1"/>
  <c r="T1614" i="6"/>
  <c r="U1614" i="6" s="1"/>
  <c r="S1615" i="6"/>
  <c r="T1615" i="6" s="1"/>
  <c r="U1615" i="6" s="1"/>
  <c r="S1616" i="6"/>
  <c r="T1616" i="6" s="1"/>
  <c r="U1616" i="6" s="1"/>
  <c r="S1621" i="6"/>
  <c r="T1621" i="6" s="1"/>
  <c r="U1621" i="6" s="1"/>
  <c r="S1622" i="6"/>
  <c r="T1622" i="6" s="1"/>
  <c r="U1622" i="6" s="1"/>
  <c r="S1623" i="6"/>
  <c r="T1623" i="6" s="1"/>
  <c r="U1623" i="6" s="1"/>
  <c r="S1624" i="6"/>
  <c r="T1624" i="6" s="1"/>
  <c r="U1624" i="6" s="1"/>
  <c r="S1625" i="6"/>
  <c r="T1625" i="6" s="1"/>
  <c r="U1625" i="6" s="1"/>
  <c r="S1626" i="6"/>
  <c r="T1626" i="6" s="1"/>
  <c r="U1626" i="6" s="1"/>
  <c r="S1627" i="6"/>
  <c r="T1627" i="6" s="1"/>
  <c r="U1627" i="6" s="1"/>
  <c r="S1628" i="6"/>
  <c r="T1628" i="6" s="1"/>
  <c r="U1628" i="6" s="1"/>
  <c r="T1629" i="6"/>
  <c r="U1629" i="6" s="1"/>
  <c r="S1630" i="6"/>
  <c r="T1630" i="6" s="1"/>
  <c r="U1630" i="6" s="1"/>
  <c r="S1631" i="6"/>
  <c r="T1631" i="6" s="1"/>
  <c r="U1631" i="6" s="1"/>
  <c r="S1632" i="6"/>
  <c r="T1632" i="6" s="1"/>
  <c r="U1632" i="6" s="1"/>
  <c r="S1633" i="6"/>
  <c r="R1633" i="6"/>
  <c r="S1634" i="6"/>
  <c r="R1634" i="6"/>
  <c r="S1635" i="6"/>
  <c r="T1635" i="6" s="1"/>
  <c r="U1635" i="6" s="1"/>
  <c r="S1636" i="6"/>
  <c r="T1636" i="6" s="1"/>
  <c r="U1636" i="6" s="1"/>
  <c r="S1637" i="6"/>
  <c r="T1637" i="6" s="1"/>
  <c r="U1637" i="6" s="1"/>
  <c r="S1638" i="6"/>
  <c r="T1638" i="6" s="1"/>
  <c r="U1638" i="6" s="1"/>
  <c r="S1639" i="6"/>
  <c r="T1639" i="6" s="1"/>
  <c r="U1639" i="6" s="1"/>
  <c r="S1640" i="6"/>
  <c r="T1640" i="6" s="1"/>
  <c r="U1640" i="6" s="1"/>
  <c r="S1641" i="6"/>
  <c r="T1641" i="6" s="1"/>
  <c r="U1641" i="6" s="1"/>
  <c r="S1642" i="6"/>
  <c r="T1642" i="6" s="1"/>
  <c r="U1642" i="6" s="1"/>
  <c r="S1643" i="6"/>
  <c r="R1643" i="6"/>
  <c r="S1644" i="6"/>
  <c r="T1644" i="6" s="1"/>
  <c r="U1644" i="6" s="1"/>
  <c r="S1645" i="6"/>
  <c r="T1645" i="6" s="1"/>
  <c r="U1645" i="6" s="1"/>
  <c r="S1646" i="6"/>
  <c r="T1646" i="6" s="1"/>
  <c r="U1646" i="6" s="1"/>
  <c r="S1647" i="6"/>
  <c r="T1647" i="6" s="1"/>
  <c r="U1647" i="6" s="1"/>
  <c r="S1648" i="6"/>
  <c r="T1648" i="6" s="1"/>
  <c r="U1648" i="6" s="1"/>
  <c r="S1649" i="6"/>
  <c r="T1649" i="6" s="1"/>
  <c r="U1649" i="6" s="1"/>
  <c r="S1650" i="6"/>
  <c r="T1650" i="6" s="1"/>
  <c r="U1650" i="6" s="1"/>
  <c r="S1651" i="6"/>
  <c r="T1651" i="6" s="1"/>
  <c r="U1651" i="6" s="1"/>
  <c r="S1652" i="6"/>
  <c r="T1652" i="6" s="1"/>
  <c r="U1652" i="6" s="1"/>
  <c r="S1653" i="6"/>
  <c r="T1653" i="6" s="1"/>
  <c r="U1653" i="6" s="1"/>
  <c r="S1654" i="6"/>
  <c r="T1654" i="6" s="1"/>
  <c r="U1654" i="6" s="1"/>
  <c r="S1655" i="6"/>
  <c r="T1655" i="6" s="1"/>
  <c r="U1655" i="6" s="1"/>
  <c r="S1656" i="6"/>
  <c r="T1656" i="6" s="1"/>
  <c r="U1656" i="6" s="1"/>
  <c r="S1657" i="6"/>
  <c r="T1657" i="6" s="1"/>
  <c r="U1657" i="6" s="1"/>
  <c r="S1658" i="6"/>
  <c r="T1658" i="6" s="1"/>
  <c r="U1658" i="6" s="1"/>
  <c r="S1659" i="6"/>
  <c r="T1659" i="6" s="1"/>
  <c r="U1659" i="6" s="1"/>
  <c r="S1660" i="6"/>
  <c r="T1660" i="6" s="1"/>
  <c r="U1660" i="6" s="1"/>
  <c r="S1661" i="6"/>
  <c r="T1661" i="6" s="1"/>
  <c r="U1661" i="6" s="1"/>
  <c r="S1662" i="6"/>
  <c r="T1662" i="6" s="1"/>
  <c r="U1662" i="6" s="1"/>
  <c r="S1663" i="6"/>
  <c r="T1663" i="6" s="1"/>
  <c r="U1663" i="6" s="1"/>
  <c r="S1664" i="6"/>
  <c r="T1664" i="6" s="1"/>
  <c r="U1664" i="6" s="1"/>
  <c r="S1665" i="6"/>
  <c r="T1665" i="6" s="1"/>
  <c r="U1665" i="6" s="1"/>
  <c r="S1666" i="6"/>
  <c r="T1666" i="6" s="1"/>
  <c r="U1666" i="6" s="1"/>
  <c r="S1667" i="6"/>
  <c r="T1667" i="6" s="1"/>
  <c r="U1667" i="6" s="1"/>
  <c r="S1668" i="6"/>
  <c r="T1668" i="6" s="1"/>
  <c r="U1668" i="6" s="1"/>
  <c r="S1669" i="6"/>
  <c r="T1669" i="6" s="1"/>
  <c r="U1669" i="6" s="1"/>
  <c r="S1670" i="6"/>
  <c r="R1670" i="6"/>
  <c r="S1671" i="6"/>
  <c r="R1671" i="6"/>
  <c r="S1672" i="6"/>
  <c r="R1672" i="6"/>
  <c r="S1673" i="6"/>
  <c r="T1673" i="6" s="1"/>
  <c r="U1673" i="6" s="1"/>
  <c r="S1674" i="6"/>
  <c r="R1674" i="6"/>
  <c r="S1675" i="6"/>
  <c r="T1675" i="6" s="1"/>
  <c r="U1675" i="6" s="1"/>
  <c r="S1676" i="6"/>
  <c r="T1676" i="6" s="1"/>
  <c r="U1676" i="6" s="1"/>
  <c r="S1677" i="6"/>
  <c r="R1677" i="6"/>
  <c r="S1678" i="6"/>
  <c r="T1678" i="6" s="1"/>
  <c r="U1678" i="6" s="1"/>
  <c r="T1679" i="6"/>
  <c r="U1679" i="6" s="1"/>
  <c r="S1680" i="6"/>
  <c r="T1680" i="6" s="1"/>
  <c r="U1680" i="6" s="1"/>
  <c r="T1681" i="6"/>
  <c r="U1681" i="6" s="1"/>
  <c r="T1682" i="6"/>
  <c r="U1682" i="6" s="1"/>
  <c r="T1683" i="6"/>
  <c r="U1683" i="6" s="1"/>
  <c r="T1684" i="6"/>
  <c r="U1684" i="6" s="1"/>
  <c r="T1685" i="6"/>
  <c r="U1685" i="6" s="1"/>
  <c r="T1686" i="6"/>
  <c r="U1686" i="6" s="1"/>
  <c r="T1697" i="6"/>
  <c r="U1697" i="6" s="1"/>
  <c r="T1700" i="6"/>
  <c r="U1700" i="6" s="1"/>
  <c r="T1701" i="6"/>
  <c r="U1701" i="6" s="1"/>
  <c r="T1702" i="6"/>
  <c r="U1702" i="6" s="1"/>
  <c r="T1703" i="6"/>
  <c r="U1703" i="6" s="1"/>
  <c r="T1704" i="6"/>
  <c r="U1704" i="6" s="1"/>
  <c r="T1705" i="6"/>
  <c r="U1705" i="6" s="1"/>
  <c r="T1706" i="6"/>
  <c r="U1706" i="6" s="1"/>
  <c r="T1707" i="6"/>
  <c r="U1707" i="6" s="1"/>
  <c r="T1708" i="6"/>
  <c r="U1708" i="6" s="1"/>
  <c r="T1709" i="6"/>
  <c r="U1709" i="6" s="1"/>
  <c r="T1710" i="6"/>
  <c r="U1710" i="6" s="1"/>
  <c r="T1711" i="6"/>
  <c r="U1711" i="6" s="1"/>
  <c r="T1712" i="6"/>
  <c r="U1712" i="6" s="1"/>
  <c r="T1717" i="6"/>
  <c r="U1717" i="6" s="1"/>
  <c r="T1718" i="6"/>
  <c r="U1718" i="6" s="1"/>
  <c r="T1723" i="6"/>
  <c r="U1723" i="6" s="1"/>
  <c r="T1724" i="6"/>
  <c r="U1724" i="6" s="1"/>
  <c r="T1725" i="6"/>
  <c r="U1725" i="6" s="1"/>
  <c r="T1726" i="6"/>
  <c r="U1726" i="6" s="1"/>
  <c r="T1727" i="6"/>
  <c r="U1727" i="6" s="1"/>
  <c r="T1728" i="6"/>
  <c r="U1728" i="6" s="1"/>
  <c r="T1729" i="6"/>
  <c r="U1729" i="6" s="1"/>
  <c r="T1730" i="6"/>
  <c r="U1730" i="6" s="1"/>
  <c r="T1731" i="6"/>
  <c r="U1731" i="6" s="1"/>
  <c r="T1732" i="6"/>
  <c r="U1732" i="6" s="1"/>
  <c r="T1733" i="6"/>
  <c r="U1733" i="6" s="1"/>
  <c r="T1734" i="6"/>
  <c r="U1734" i="6" s="1"/>
  <c r="T1735" i="6"/>
  <c r="U1735" i="6" s="1"/>
  <c r="T1736" i="6"/>
  <c r="U1736" i="6" s="1"/>
  <c r="T1737" i="6"/>
  <c r="U1737" i="6" s="1"/>
  <c r="T1738" i="6"/>
  <c r="U1738" i="6" s="1"/>
  <c r="T1739" i="6"/>
  <c r="U1739" i="6" s="1"/>
  <c r="T1740" i="6"/>
  <c r="U1740" i="6" s="1"/>
  <c r="R1741" i="6"/>
  <c r="T1741" i="6" s="1"/>
  <c r="U1741" i="6" s="1"/>
  <c r="R1742" i="6"/>
  <c r="T1742" i="6" s="1"/>
  <c r="U1742" i="6" s="1"/>
  <c r="R1743" i="6"/>
  <c r="T1743" i="6" s="1"/>
  <c r="U1743" i="6" s="1"/>
  <c r="R1744" i="6"/>
  <c r="T1744" i="6" s="1"/>
  <c r="U1744" i="6" s="1"/>
  <c r="R1745" i="6"/>
  <c r="T1745" i="6" s="1"/>
  <c r="U1745" i="6" s="1"/>
  <c r="T1746" i="6"/>
  <c r="U1746" i="6" s="1"/>
  <c r="T1747" i="6"/>
  <c r="U1747" i="6" s="1"/>
  <c r="T1748" i="6"/>
  <c r="U1748" i="6" s="1"/>
  <c r="T1749" i="6"/>
  <c r="U1749" i="6" s="1"/>
  <c r="T1750" i="6"/>
  <c r="U1750" i="6" s="1"/>
  <c r="T1751" i="6"/>
  <c r="U1751" i="6" s="1"/>
  <c r="T1752" i="6"/>
  <c r="U1752" i="6" s="1"/>
  <c r="T1757" i="6"/>
  <c r="U1757" i="6" s="1"/>
  <c r="T1760" i="6"/>
  <c r="U1760" i="6" s="1"/>
  <c r="T1761" i="6"/>
  <c r="U1761" i="6" s="1"/>
  <c r="T1762" i="6"/>
  <c r="U1762" i="6" s="1"/>
  <c r="T1763" i="6"/>
  <c r="U1763" i="6" s="1"/>
  <c r="T1764" i="6"/>
  <c r="U1764" i="6" s="1"/>
  <c r="T1771" i="6"/>
  <c r="U1771" i="6" s="1"/>
  <c r="T1772" i="6"/>
  <c r="U1772" i="6" s="1"/>
  <c r="T1773" i="6"/>
  <c r="U1773" i="6" s="1"/>
  <c r="T1774" i="6"/>
  <c r="U1774" i="6" s="1"/>
  <c r="T1775" i="6"/>
  <c r="U1775" i="6" s="1"/>
  <c r="T1776" i="6"/>
  <c r="U1776" i="6" s="1"/>
  <c r="T1777" i="6"/>
  <c r="U1777" i="6" s="1"/>
  <c r="T1784" i="6"/>
  <c r="U1784" i="6" s="1"/>
  <c r="T1785" i="6"/>
  <c r="U1785" i="6" s="1"/>
  <c r="T1786" i="6"/>
  <c r="U1786" i="6" s="1"/>
  <c r="T1787" i="6"/>
  <c r="U1787" i="6" s="1"/>
  <c r="T1790" i="6"/>
  <c r="U1790" i="6" s="1"/>
  <c r="T1795" i="6"/>
  <c r="U1795" i="6" s="1"/>
  <c r="T1796" i="6"/>
  <c r="U1796" i="6" s="1"/>
  <c r="T1797" i="6"/>
  <c r="U1797" i="6" s="1"/>
  <c r="U1798" i="6"/>
  <c r="U1800" i="6"/>
  <c r="U1802" i="6"/>
  <c r="U1804" i="6"/>
  <c r="U1806" i="6"/>
  <c r="U1808" i="6"/>
  <c r="U1810" i="6"/>
  <c r="U1812" i="6"/>
  <c r="U1814" i="6"/>
  <c r="U1816" i="6"/>
  <c r="U1818" i="6"/>
  <c r="U1820" i="6"/>
  <c r="U1822" i="6"/>
  <c r="U1824" i="6"/>
  <c r="U1826" i="6"/>
  <c r="U1828" i="6"/>
  <c r="U1830" i="6"/>
  <c r="U1832" i="6"/>
  <c r="U1834" i="6"/>
  <c r="U1836" i="6"/>
  <c r="U1838" i="6"/>
  <c r="U1840" i="6"/>
  <c r="U1842" i="6"/>
  <c r="U1844" i="6"/>
  <c r="U1846" i="6"/>
  <c r="U1848" i="6"/>
  <c r="U1850" i="6"/>
  <c r="U1852" i="6"/>
  <c r="U1854" i="6"/>
  <c r="U1856" i="6"/>
  <c r="U1858" i="6"/>
  <c r="U1860" i="6"/>
  <c r="T1862" i="6"/>
  <c r="U1862" i="6" s="1"/>
  <c r="U1864" i="6"/>
  <c r="U1866" i="6"/>
  <c r="U1868" i="6"/>
  <c r="U1870" i="6"/>
  <c r="U1872" i="6"/>
  <c r="U1874" i="6"/>
  <c r="U1876" i="6"/>
  <c r="U1878" i="6"/>
  <c r="U1880" i="6"/>
  <c r="U1882" i="6"/>
  <c r="U1884" i="6"/>
  <c r="U1886" i="6"/>
  <c r="U1888" i="6"/>
  <c r="U1890" i="6"/>
  <c r="U1892" i="6"/>
  <c r="U1894" i="6"/>
  <c r="U1896" i="6"/>
  <c r="U1898" i="6"/>
  <c r="U1900" i="6"/>
  <c r="T1902" i="6"/>
  <c r="U1902" i="6" s="1"/>
  <c r="T1903" i="6"/>
  <c r="U1903" i="6" s="1"/>
  <c r="T1904" i="6"/>
  <c r="U1904" i="6" s="1"/>
  <c r="T1905" i="6"/>
  <c r="U1905" i="6" s="1"/>
  <c r="T1906" i="6"/>
  <c r="U1906" i="6" s="1"/>
  <c r="T1907" i="6"/>
  <c r="U1907" i="6" s="1"/>
  <c r="T1908" i="6"/>
  <c r="U1908" i="6" s="1"/>
  <c r="T1909" i="6"/>
  <c r="U1909" i="6" s="1"/>
  <c r="T1910" i="6"/>
  <c r="U1910" i="6" s="1"/>
  <c r="T1911" i="6"/>
  <c r="U1911" i="6" s="1"/>
  <c r="T1912" i="6"/>
  <c r="U1912" i="6" s="1"/>
  <c r="T1913" i="6"/>
  <c r="U1913" i="6" s="1"/>
  <c r="T1914" i="6"/>
  <c r="U1914" i="6" s="1"/>
  <c r="T1915" i="6"/>
  <c r="U1915" i="6" s="1"/>
  <c r="T1916" i="6"/>
  <c r="U1916" i="6" s="1"/>
  <c r="T1917" i="6"/>
  <c r="U1917" i="6" s="1"/>
  <c r="T1918" i="6"/>
  <c r="U1918" i="6" s="1"/>
  <c r="T1919" i="6"/>
  <c r="U1919" i="6" s="1"/>
  <c r="T1920" i="6"/>
  <c r="U1920" i="6" s="1"/>
  <c r="T1921" i="6"/>
  <c r="U1921" i="6" s="1"/>
  <c r="T1922" i="6"/>
  <c r="U1922" i="6" s="1"/>
  <c r="T1923" i="6"/>
  <c r="U1923" i="6" s="1"/>
  <c r="T1924" i="6"/>
  <c r="U1924" i="6" s="1"/>
  <c r="T1925" i="6"/>
  <c r="U1925" i="6" s="1"/>
  <c r="T1926" i="6"/>
  <c r="U1926" i="6" s="1"/>
  <c r="T1927" i="6"/>
  <c r="U1927" i="6" s="1"/>
  <c r="T1928" i="6"/>
  <c r="U1928" i="6" s="1"/>
  <c r="T1929" i="6"/>
  <c r="U1929" i="6" s="1"/>
  <c r="T1930" i="6"/>
  <c r="U1930" i="6" s="1"/>
  <c r="T1931" i="6"/>
  <c r="U1931" i="6" s="1"/>
  <c r="T1932" i="6"/>
  <c r="U1932" i="6" s="1"/>
  <c r="T1933" i="6"/>
  <c r="U1933" i="6" s="1"/>
  <c r="T1934" i="6"/>
  <c r="U1934" i="6" s="1"/>
  <c r="T1935" i="6"/>
  <c r="U1935" i="6" s="1"/>
  <c r="T1936" i="6"/>
  <c r="U1936" i="6" s="1"/>
  <c r="T1937" i="6"/>
  <c r="U1937" i="6" s="1"/>
  <c r="T1938" i="6"/>
  <c r="U1938" i="6" s="1"/>
  <c r="T1939" i="6"/>
  <c r="U1939" i="6" s="1"/>
  <c r="T1940" i="6"/>
  <c r="U1940" i="6" s="1"/>
  <c r="T1941" i="6"/>
  <c r="U1941" i="6" s="1"/>
  <c r="T1942" i="6"/>
  <c r="U1942" i="6" s="1"/>
  <c r="T1943" i="6"/>
  <c r="U1943" i="6" s="1"/>
  <c r="T1944" i="6"/>
  <c r="U1944" i="6" s="1"/>
  <c r="T1945" i="6"/>
  <c r="U1945" i="6" s="1"/>
  <c r="T1946" i="6"/>
  <c r="U1946" i="6" s="1"/>
  <c r="T1947" i="6"/>
  <c r="U1947" i="6" s="1"/>
  <c r="T1948" i="6"/>
  <c r="U1948" i="6" s="1"/>
  <c r="U1949" i="6"/>
  <c r="T1951" i="6"/>
  <c r="U1951" i="6" s="1"/>
  <c r="T1952" i="6"/>
  <c r="U1952" i="6" s="1"/>
  <c r="T1953" i="6"/>
  <c r="U1953" i="6" s="1"/>
  <c r="T1954" i="6"/>
  <c r="U1954" i="6" s="1"/>
  <c r="T1955" i="6"/>
  <c r="U1955" i="6" s="1"/>
  <c r="T1956" i="6"/>
  <c r="U1956" i="6" s="1"/>
  <c r="T1957" i="6"/>
  <c r="U1957" i="6" s="1"/>
  <c r="T1958" i="6"/>
  <c r="U1958" i="6" s="1"/>
  <c r="T1959" i="6"/>
  <c r="U1959" i="6" s="1"/>
  <c r="T1960" i="6"/>
  <c r="U1960" i="6" s="1"/>
  <c r="T1961" i="6"/>
  <c r="U1961" i="6" s="1"/>
  <c r="T1962" i="6"/>
  <c r="U1962" i="6" s="1"/>
  <c r="T1963" i="6"/>
  <c r="U1963" i="6" s="1"/>
  <c r="T1964" i="6"/>
  <c r="U1964" i="6" s="1"/>
  <c r="T1965" i="6"/>
  <c r="U1965" i="6" s="1"/>
  <c r="T1966" i="6"/>
  <c r="U1966" i="6" s="1"/>
  <c r="T1967" i="6"/>
  <c r="U1967" i="6" s="1"/>
  <c r="T1968" i="6"/>
  <c r="U1968" i="6" s="1"/>
  <c r="T1969" i="6"/>
  <c r="U1969" i="6" s="1"/>
  <c r="T1970" i="6"/>
  <c r="U1970" i="6" s="1"/>
  <c r="T1971" i="6"/>
  <c r="U1971" i="6" s="1"/>
  <c r="T1972" i="6"/>
  <c r="U1972" i="6" s="1"/>
  <c r="T1973" i="6"/>
  <c r="U1973" i="6" s="1"/>
  <c r="T1974" i="6"/>
  <c r="U1974" i="6" s="1"/>
  <c r="T1975" i="6"/>
  <c r="U1975" i="6" s="1"/>
  <c r="T1976" i="6"/>
  <c r="U1976" i="6" s="1"/>
  <c r="T1977" i="6"/>
  <c r="U1977" i="6" s="1"/>
  <c r="T1978" i="6"/>
  <c r="U1978" i="6" s="1"/>
  <c r="T1979" i="6"/>
  <c r="U1979" i="6" s="1"/>
  <c r="T1980" i="6"/>
  <c r="U1980" i="6" s="1"/>
  <c r="T1981" i="6"/>
  <c r="T1982" i="6"/>
  <c r="U1982" i="6" s="1"/>
  <c r="T1983" i="6"/>
  <c r="U1983" i="6" s="1"/>
  <c r="T1984" i="6"/>
  <c r="U1984" i="6" s="1"/>
  <c r="T1985" i="6"/>
  <c r="U1985" i="6" s="1"/>
  <c r="T1986" i="6"/>
  <c r="U1986" i="6" s="1"/>
  <c r="T1987" i="6"/>
  <c r="U1987" i="6" s="1"/>
  <c r="T1988" i="6"/>
  <c r="U1988" i="6" s="1"/>
  <c r="T1989" i="6"/>
  <c r="U1989" i="6" s="1"/>
  <c r="T1990" i="6"/>
  <c r="U1990" i="6" s="1"/>
  <c r="T1991" i="6"/>
  <c r="U1991" i="6" s="1"/>
  <c r="U1994" i="6"/>
  <c r="U1997" i="6"/>
  <c r="R2001" i="6"/>
  <c r="U2001" i="6" s="1"/>
  <c r="R2003" i="6"/>
  <c r="U2003" i="6" s="1"/>
  <c r="R2005" i="6"/>
  <c r="U2005" i="6" s="1"/>
  <c r="R2007" i="6"/>
  <c r="U2007" i="6" s="1"/>
  <c r="R2009" i="6"/>
  <c r="U2009" i="6" s="1"/>
  <c r="R2011" i="6"/>
  <c r="U2011" i="6" s="1"/>
  <c r="R2013" i="6"/>
  <c r="U2013" i="6" s="1"/>
  <c r="U2015" i="6"/>
  <c r="T2023" i="6"/>
  <c r="U2023" i="6" s="1"/>
  <c r="R2024" i="6"/>
  <c r="U2024" i="6" s="1"/>
  <c r="U2026" i="6"/>
  <c r="R2028" i="6"/>
  <c r="U2028" i="6" s="1"/>
  <c r="R2030" i="6"/>
  <c r="U2030" i="6" s="1"/>
  <c r="R2032" i="6"/>
  <c r="U2032" i="6" s="1"/>
  <c r="R2035" i="6"/>
  <c r="U2035" i="6" s="1"/>
  <c r="U2037" i="6"/>
  <c r="U2039" i="6"/>
  <c r="U2041" i="6"/>
  <c r="R2044" i="6"/>
  <c r="U2044" i="6" s="1"/>
  <c r="R2046" i="6"/>
  <c r="U2046" i="6" s="1"/>
  <c r="U2048" i="6"/>
  <c r="U2050" i="6"/>
  <c r="U2053" i="6"/>
  <c r="T2055" i="6"/>
  <c r="U2055" i="6" s="1"/>
  <c r="U2057" i="6"/>
  <c r="U2059" i="6"/>
  <c r="U2063" i="6"/>
  <c r="U2065" i="6"/>
  <c r="U2067" i="6"/>
  <c r="U2068" i="6"/>
  <c r="R2069" i="6"/>
  <c r="U2069" i="6" s="1"/>
  <c r="U2074" i="6"/>
  <c r="R2077" i="6"/>
  <c r="U2077" i="6" s="1"/>
  <c r="U2088" i="6"/>
  <c r="U2090" i="6"/>
  <c r="R2092" i="6"/>
  <c r="U2092" i="6" s="1"/>
  <c r="R2094" i="6"/>
  <c r="U2094" i="6" s="1"/>
  <c r="R2096" i="6"/>
  <c r="U2096" i="6" s="1"/>
  <c r="R2098" i="6"/>
  <c r="U2098" i="6" s="1"/>
  <c r="R2100" i="6"/>
  <c r="U2100" i="6" s="1"/>
  <c r="R2102" i="6"/>
  <c r="U2102" i="6" s="1"/>
  <c r="R2104" i="6"/>
  <c r="U2104" i="6" s="1"/>
  <c r="R2106" i="6"/>
  <c r="U2106" i="6" s="1"/>
  <c r="R2108" i="6"/>
  <c r="U2108" i="6" s="1"/>
  <c r="U2110" i="6"/>
  <c r="U2113" i="6"/>
  <c r="T2115" i="6"/>
  <c r="U2115" i="6" s="1"/>
  <c r="U2117" i="6"/>
  <c r="T2119" i="6"/>
  <c r="U2119" i="6" s="1"/>
  <c r="T2120" i="6"/>
  <c r="U2120" i="6" s="1"/>
  <c r="T2121" i="6"/>
  <c r="U2121" i="6" s="1"/>
  <c r="T2122" i="6"/>
  <c r="U2122" i="6" s="1"/>
  <c r="T2123" i="6"/>
  <c r="U2123" i="6" s="1"/>
  <c r="T2124" i="6"/>
  <c r="U2124" i="6" s="1"/>
  <c r="T2125" i="6"/>
  <c r="U2125" i="6" s="1"/>
  <c r="U2126" i="6"/>
  <c r="U2128" i="6"/>
  <c r="T2130" i="6"/>
  <c r="U2130" i="6" s="1"/>
  <c r="U2131" i="6"/>
  <c r="T2132" i="6"/>
  <c r="U2132" i="6" s="1"/>
  <c r="T2133" i="6"/>
  <c r="U2133" i="6" s="1"/>
  <c r="T2134" i="6"/>
  <c r="U2134" i="6" s="1"/>
  <c r="T2135" i="6"/>
  <c r="U2135" i="6" s="1"/>
  <c r="U2136" i="6"/>
  <c r="R2141" i="6"/>
  <c r="U2141" i="6" s="1"/>
  <c r="U2143" i="6"/>
  <c r="U2145" i="6"/>
  <c r="U2147" i="6"/>
  <c r="U2149" i="6"/>
  <c r="U2151" i="6"/>
  <c r="U2153" i="6"/>
  <c r="U2155" i="6"/>
  <c r="U2157" i="6"/>
  <c r="U2159" i="6"/>
  <c r="U2161" i="6"/>
  <c r="U2163" i="6"/>
  <c r="U2166" i="6"/>
  <c r="U2169" i="6"/>
  <c r="U2172" i="6"/>
  <c r="R2174" i="6"/>
  <c r="U2174" i="6" s="1"/>
  <c r="R2180" i="6"/>
  <c r="U2180" i="6" s="1"/>
  <c r="U2182" i="6"/>
  <c r="U2184" i="6"/>
  <c r="R2186" i="6"/>
  <c r="U2186" i="6" s="1"/>
  <c r="U2188" i="6"/>
  <c r="R2190" i="6"/>
  <c r="U2190" i="6" s="1"/>
  <c r="T2192" i="6"/>
  <c r="U2192" i="6" s="1"/>
  <c r="U2195" i="6"/>
  <c r="U2197" i="6"/>
  <c r="R2202" i="6"/>
  <c r="T2202" i="6" s="1"/>
  <c r="U2202" i="6" s="1"/>
  <c r="U2205" i="6"/>
  <c r="R2212" i="6"/>
  <c r="U2212" i="6" s="1"/>
  <c r="R2214" i="6"/>
  <c r="U2214" i="6" s="1"/>
  <c r="U2220" i="6"/>
  <c r="R2223" i="6"/>
  <c r="U2223" i="6" s="1"/>
  <c r="U2225" i="6"/>
  <c r="U2227" i="6"/>
  <c r="R2232" i="6"/>
  <c r="T2232" i="6" s="1"/>
  <c r="U2232" i="6" s="1"/>
  <c r="R2239" i="6"/>
  <c r="U2239" i="6" s="1"/>
  <c r="U2241" i="6"/>
  <c r="R2243" i="6"/>
  <c r="U2243" i="6" s="1"/>
  <c r="R2245" i="6"/>
  <c r="U2245" i="6" s="1"/>
  <c r="R2247" i="6"/>
  <c r="U2247" i="6" s="1"/>
  <c r="U2249" i="6"/>
  <c r="U2251" i="6"/>
  <c r="U2253" i="6"/>
  <c r="R2258" i="6"/>
  <c r="U2258" i="6" s="1"/>
  <c r="T2260" i="6"/>
  <c r="U2260" i="6" s="1"/>
  <c r="T2261" i="6"/>
  <c r="U2261" i="6" s="1"/>
  <c r="U2262" i="6"/>
  <c r="U2264" i="6"/>
  <c r="U2266" i="6"/>
  <c r="U2268" i="6"/>
  <c r="U2273" i="6"/>
  <c r="U2275" i="6"/>
  <c r="U2277" i="6"/>
  <c r="T2279" i="6"/>
  <c r="U2279" i="6" s="1"/>
  <c r="U2280" i="6"/>
  <c r="U2282" i="6"/>
  <c r="T2284" i="6"/>
  <c r="U2284" i="6" s="1"/>
  <c r="U2285" i="6"/>
  <c r="U2287" i="6"/>
  <c r="U2293" i="6"/>
  <c r="U2295" i="6"/>
  <c r="U2297" i="6"/>
  <c r="R2299" i="6"/>
  <c r="U2299" i="6" s="1"/>
  <c r="R2301" i="6"/>
  <c r="T2301" i="6" s="1"/>
  <c r="U2301" i="6" s="1"/>
  <c r="R2302" i="6"/>
  <c r="U2302" i="6" s="1"/>
  <c r="T2305" i="6"/>
  <c r="U2305" i="6" s="1"/>
  <c r="U2307" i="6"/>
  <c r="U2309" i="6"/>
  <c r="U2311" i="6"/>
  <c r="U2313" i="6"/>
  <c r="U2315" i="6"/>
  <c r="U2317" i="6"/>
  <c r="U2319" i="6"/>
  <c r="U2321" i="6"/>
  <c r="U2323" i="6"/>
  <c r="U2325" i="6"/>
  <c r="U2327" i="6"/>
  <c r="U2329" i="6"/>
  <c r="U2331" i="6"/>
  <c r="R2334" i="6"/>
  <c r="U2334" i="6" s="1"/>
  <c r="R2337" i="6"/>
  <c r="U2337" i="6" s="1"/>
  <c r="U2339" i="6"/>
  <c r="U2341" i="6"/>
  <c r="U2345" i="6"/>
  <c r="U2347" i="6"/>
  <c r="U2350" i="6"/>
  <c r="U2352" i="6"/>
  <c r="U2355" i="6"/>
  <c r="U2357" i="6"/>
  <c r="U2362" i="6"/>
  <c r="R2367" i="6"/>
  <c r="U2367" i="6" s="1"/>
  <c r="R2377" i="6"/>
  <c r="U2377" i="6" s="1"/>
  <c r="U2383" i="6"/>
  <c r="R2386" i="6"/>
  <c r="U2386" i="6" s="1"/>
  <c r="U2389" i="6"/>
  <c r="R2394" i="6"/>
  <c r="U2394" i="6" s="1"/>
  <c r="R2396" i="6"/>
  <c r="U2396" i="6" s="1"/>
  <c r="U2398" i="6"/>
  <c r="U2401" i="6"/>
  <c r="R2406" i="6"/>
  <c r="U2406" i="6" s="1"/>
  <c r="U2408" i="6"/>
  <c r="R2410" i="6"/>
  <c r="U2410" i="6" s="1"/>
  <c r="R2412" i="6"/>
  <c r="U2412" i="6" s="1"/>
  <c r="U2414" i="6"/>
  <c r="R2416" i="6"/>
  <c r="U2416" i="6" s="1"/>
  <c r="R2418" i="6"/>
  <c r="U2418" i="6" s="1"/>
  <c r="U2421" i="6"/>
  <c r="R2424" i="6"/>
  <c r="U2424" i="6" s="1"/>
  <c r="R2427" i="6"/>
  <c r="U2427" i="6" s="1"/>
  <c r="U2429" i="6"/>
  <c r="R2434" i="6"/>
  <c r="U2434" i="6" s="1"/>
  <c r="R2440" i="6"/>
  <c r="U2440" i="6" s="1"/>
  <c r="R2442" i="6"/>
  <c r="U2442" i="6" s="1"/>
  <c r="R2446" i="6"/>
  <c r="U2446" i="6" s="1"/>
  <c r="U2454" i="6"/>
  <c r="U2459" i="6"/>
  <c r="R2468" i="6"/>
  <c r="U2468" i="6" s="1"/>
  <c r="R2471" i="6"/>
  <c r="U2471" i="6" s="1"/>
  <c r="R2476" i="6"/>
  <c r="U2476" i="6" s="1"/>
  <c r="U2478" i="6"/>
  <c r="U2487" i="6"/>
  <c r="U2489" i="6"/>
  <c r="U2491" i="6"/>
  <c r="R2493" i="6"/>
  <c r="U2493" i="6" s="1"/>
  <c r="R2496" i="6"/>
  <c r="U2496" i="6" s="1"/>
  <c r="U2500" i="6"/>
  <c r="R2503" i="6"/>
  <c r="U2503" i="6" s="1"/>
  <c r="U2506" i="6"/>
  <c r="U2508" i="6"/>
  <c r="U2510" i="6"/>
  <c r="U2512" i="6"/>
  <c r="U2514" i="6"/>
  <c r="U2516" i="6"/>
  <c r="R2518" i="6"/>
  <c r="U2518" i="6" s="1"/>
  <c r="R2524" i="6"/>
  <c r="U2524" i="6" s="1"/>
  <c r="U2529" i="6"/>
  <c r="U2531" i="6"/>
  <c r="U2540" i="6"/>
  <c r="U2545" i="6"/>
  <c r="U2547" i="6"/>
  <c r="U2549" i="6"/>
  <c r="U2551" i="6"/>
  <c r="U2553" i="6"/>
  <c r="T2555" i="6"/>
  <c r="U2555" i="6" s="1"/>
  <c r="T2556" i="6"/>
  <c r="U2556" i="6" s="1"/>
  <c r="U2557" i="6"/>
  <c r="U2559" i="6"/>
  <c r="U2561" i="6"/>
  <c r="U2563" i="6"/>
  <c r="U2565" i="6"/>
  <c r="T2567" i="6"/>
  <c r="U2567" i="6" s="1"/>
  <c r="R2568" i="6"/>
  <c r="U2568" i="6" s="1"/>
  <c r="R2575" i="6"/>
  <c r="U2575" i="6" s="1"/>
  <c r="R2578" i="6"/>
  <c r="U2578" i="6" s="1"/>
  <c r="U2581" i="6"/>
  <c r="R2586" i="6"/>
  <c r="U2586" i="6" s="1"/>
  <c r="U2594" i="6"/>
  <c r="U2596" i="6"/>
  <c r="R2601" i="6"/>
  <c r="U2601" i="6" s="1"/>
  <c r="R2624" i="6"/>
  <c r="U2624" i="6" s="1"/>
  <c r="R2626" i="6"/>
  <c r="U2626" i="6" s="1"/>
  <c r="R2631" i="6"/>
  <c r="U2631" i="6" s="1"/>
  <c r="R2636" i="6"/>
  <c r="U2636" i="6" s="1"/>
  <c r="U2665" i="6"/>
  <c r="U2688" i="6"/>
  <c r="R2690" i="6"/>
  <c r="U2690" i="6" s="1"/>
  <c r="U2692" i="6"/>
  <c r="U2694" i="6"/>
  <c r="R2696" i="6"/>
  <c r="U2696" i="6" s="1"/>
  <c r="U2701" i="6"/>
  <c r="U2704" i="6"/>
  <c r="U2706" i="6"/>
  <c r="U2714" i="6"/>
  <c r="U2716" i="6"/>
  <c r="U2718" i="6"/>
  <c r="U2720" i="6"/>
  <c r="U2722" i="6"/>
  <c r="T2730" i="6"/>
  <c r="U2730" i="6" s="1"/>
  <c r="T2731" i="6"/>
  <c r="U2731" i="6" s="1"/>
  <c r="T2732" i="6"/>
  <c r="U2732" i="6" s="1"/>
  <c r="U2736" i="6"/>
  <c r="U2738" i="6"/>
  <c r="U2740" i="6"/>
  <c r="U2742" i="6"/>
  <c r="U2744" i="6"/>
  <c r="U2746" i="6"/>
  <c r="U2748" i="6"/>
  <c r="U2750" i="6"/>
  <c r="U2752" i="6"/>
  <c r="U2754" i="6"/>
  <c r="U2757" i="6"/>
  <c r="U2759" i="6"/>
  <c r="U2761" i="6"/>
  <c r="U2764" i="6"/>
  <c r="U2766" i="6"/>
  <c r="U2768" i="6"/>
  <c r="U2770" i="6"/>
  <c r="U2772" i="6"/>
  <c r="U2774" i="6"/>
  <c r="U2776" i="6"/>
  <c r="U2778" i="6"/>
  <c r="U2780" i="6"/>
  <c r="U2782" i="6"/>
  <c r="U2784" i="6"/>
  <c r="U2786" i="6"/>
  <c r="U2788" i="6"/>
  <c r="U2790" i="6"/>
  <c r="U2810" i="6"/>
  <c r="U2812" i="6"/>
  <c r="U2814" i="6"/>
  <c r="R2837" i="6"/>
  <c r="U2837" i="6" s="1"/>
  <c r="U2839" i="6"/>
  <c r="R2853" i="6"/>
  <c r="T2853" i="6" s="1"/>
  <c r="U2853" i="6" s="1"/>
  <c r="U2855" i="6"/>
  <c r="U2860" i="6"/>
  <c r="R2871" i="6"/>
  <c r="U2871" i="6" s="1"/>
  <c r="U2879" i="6"/>
  <c r="R2896" i="6"/>
  <c r="U2896" i="6" s="1"/>
  <c r="U2907" i="6"/>
  <c r="U2918" i="6"/>
  <c r="U2920" i="6"/>
  <c r="U2922" i="6"/>
  <c r="R2924" i="6"/>
  <c r="U2924" i="6" s="1"/>
  <c r="R2929" i="6"/>
  <c r="T2929" i="6" s="1"/>
  <c r="U2929" i="6" s="1"/>
  <c r="R2937" i="6"/>
  <c r="U2937" i="6" s="1"/>
  <c r="R2939" i="6"/>
  <c r="U2939" i="6" s="1"/>
  <c r="U2960" i="6"/>
  <c r="U2965" i="6"/>
  <c r="U2973" i="6"/>
  <c r="U2975" i="6"/>
  <c r="U2977" i="6"/>
  <c r="U2979" i="6"/>
  <c r="U2981" i="6"/>
  <c r="U2983" i="6"/>
  <c r="U2985" i="6"/>
  <c r="U2987" i="6"/>
  <c r="U2991" i="6"/>
  <c r="U2993" i="6"/>
  <c r="U2995" i="6"/>
  <c r="U2997" i="6"/>
  <c r="U2999" i="6"/>
  <c r="U3001" i="6"/>
  <c r="U3003" i="6"/>
  <c r="U3006" i="6"/>
  <c r="U3008" i="6"/>
  <c r="U3012" i="6"/>
  <c r="U3015" i="6"/>
  <c r="U3018" i="6"/>
  <c r="U3022" i="6"/>
  <c r="U3026" i="6"/>
  <c r="U3028" i="6"/>
  <c r="U3031" i="6"/>
  <c r="U3034" i="6"/>
  <c r="U3036" i="6"/>
  <c r="U3040" i="6"/>
  <c r="U3042" i="6"/>
  <c r="U3044" i="6"/>
  <c r="U3047" i="6"/>
  <c r="U3049" i="6"/>
  <c r="U3051" i="6"/>
  <c r="U3053" i="6"/>
  <c r="U3055" i="6"/>
  <c r="U3057" i="6"/>
  <c r="U3059" i="6"/>
  <c r="U3061" i="6"/>
  <c r="U3066" i="6"/>
  <c r="U3068" i="6"/>
  <c r="U3070" i="6"/>
  <c r="U3072" i="6"/>
  <c r="U3074" i="6"/>
  <c r="U3077" i="6"/>
  <c r="U3082" i="6"/>
  <c r="U3084" i="6"/>
  <c r="U3086" i="6"/>
  <c r="U3088" i="6"/>
  <c r="U3090" i="6"/>
  <c r="U3092" i="6"/>
  <c r="U3094" i="6"/>
  <c r="U3096" i="6"/>
  <c r="T3098" i="6"/>
  <c r="U3098" i="6" s="1"/>
  <c r="U3100" i="6"/>
  <c r="U3102" i="6"/>
  <c r="U3104" i="6"/>
  <c r="U3106" i="6"/>
  <c r="U3108" i="6"/>
  <c r="U3110" i="6"/>
  <c r="U3112" i="6"/>
  <c r="U3114" i="6"/>
  <c r="R3116" i="6"/>
  <c r="R3117" i="6"/>
  <c r="U3117" i="6" s="1"/>
  <c r="U3119" i="6"/>
  <c r="U3121" i="6"/>
  <c r="U3123" i="6"/>
  <c r="U3125" i="6"/>
  <c r="T3127" i="6"/>
  <c r="U3127" i="6" s="1"/>
  <c r="T3128" i="6"/>
  <c r="U3128" i="6" s="1"/>
  <c r="T3129" i="6"/>
  <c r="U3129" i="6" s="1"/>
  <c r="T3130" i="6"/>
  <c r="U3130" i="6" s="1"/>
  <c r="T3131" i="6"/>
  <c r="U3131" i="6" s="1"/>
  <c r="U3132" i="6"/>
  <c r="T3135" i="6"/>
  <c r="U3135" i="6" s="1"/>
  <c r="T3136" i="6"/>
  <c r="U3136" i="6" s="1"/>
  <c r="T3137" i="6"/>
  <c r="U3137" i="6" s="1"/>
  <c r="T3138" i="6"/>
  <c r="U3138" i="6" s="1"/>
  <c r="T3139" i="6"/>
  <c r="U3139" i="6" s="1"/>
  <c r="T3140" i="6"/>
  <c r="U3140" i="6" s="1"/>
  <c r="U3141" i="6"/>
  <c r="U3144" i="6"/>
  <c r="T3146" i="6"/>
  <c r="U3146" i="6" s="1"/>
  <c r="T3152" i="6"/>
  <c r="U3152" i="6" s="1"/>
  <c r="T3153" i="6"/>
  <c r="T3154" i="6"/>
  <c r="U3154" i="6" s="1"/>
  <c r="U3155" i="6"/>
  <c r="U3157" i="6"/>
  <c r="U3162" i="6"/>
  <c r="R3164" i="6"/>
  <c r="U3164" i="6" s="1"/>
  <c r="R3166" i="6"/>
  <c r="U3166" i="6" s="1"/>
  <c r="U3168" i="6"/>
  <c r="U3173" i="6"/>
  <c r="T3189" i="6"/>
  <c r="U3189" i="6" s="1"/>
  <c r="T3190" i="6"/>
  <c r="U3190" i="6" s="1"/>
  <c r="T3191" i="6"/>
  <c r="U3191" i="6" s="1"/>
  <c r="T3192" i="6"/>
  <c r="U3192" i="6" s="1"/>
  <c r="T3193" i="6"/>
  <c r="U3193" i="6" s="1"/>
  <c r="T3194" i="6"/>
  <c r="U3194" i="6" s="1"/>
  <c r="T3195" i="6"/>
  <c r="U3195" i="6" s="1"/>
  <c r="T3196" i="6"/>
  <c r="U3196" i="6" s="1"/>
  <c r="T3197" i="6"/>
  <c r="U3197" i="6" s="1"/>
  <c r="T3198" i="6"/>
  <c r="U3198" i="6" s="1"/>
  <c r="T3199" i="6"/>
  <c r="U3199" i="6" s="1"/>
  <c r="T3200" i="6"/>
  <c r="U3200" i="6" s="1"/>
  <c r="T3201" i="6"/>
  <c r="U3201" i="6" s="1"/>
  <c r="T3202" i="6"/>
  <c r="U3202" i="6" s="1"/>
  <c r="U3203" i="6"/>
  <c r="U3205" i="6"/>
  <c r="U3207" i="6"/>
  <c r="U3209" i="6"/>
  <c r="U3211" i="6"/>
  <c r="U3213" i="6"/>
  <c r="U3215" i="6"/>
  <c r="U3217" i="6"/>
  <c r="U3219" i="6"/>
  <c r="U3221" i="6"/>
  <c r="U3223" i="6"/>
  <c r="U3225" i="6"/>
  <c r="U3227" i="6"/>
  <c r="U3229" i="6"/>
  <c r="U3231" i="6"/>
  <c r="U3233" i="6"/>
  <c r="U3235" i="6"/>
  <c r="U3237" i="6"/>
  <c r="U3239" i="6"/>
  <c r="T3241" i="6"/>
  <c r="U3241" i="6" s="1"/>
  <c r="T3242" i="6"/>
  <c r="U3242" i="6" s="1"/>
  <c r="T3243" i="6"/>
  <c r="U3243" i="6" s="1"/>
  <c r="T3244" i="6"/>
  <c r="U3244" i="6" s="1"/>
  <c r="T3245" i="6"/>
  <c r="U3245" i="6" s="1"/>
  <c r="T3246" i="6"/>
  <c r="U3246" i="6" s="1"/>
  <c r="T3247" i="6"/>
  <c r="U3247" i="6" s="1"/>
  <c r="T3248" i="6"/>
  <c r="U3248" i="6" s="1"/>
  <c r="R3249" i="6"/>
  <c r="U3249" i="6" s="1"/>
  <c r="U3251" i="6"/>
  <c r="T3253" i="6"/>
  <c r="U3253" i="6" s="1"/>
  <c r="T3254" i="6"/>
  <c r="U3254" i="6" s="1"/>
  <c r="T3255" i="6"/>
  <c r="U3255" i="6" s="1"/>
  <c r="T3256" i="6"/>
  <c r="U3256" i="6" s="1"/>
  <c r="T3257" i="6"/>
  <c r="U3257" i="6" s="1"/>
  <c r="T3258" i="6"/>
  <c r="U3258" i="6" s="1"/>
  <c r="T3259" i="6"/>
  <c r="U3259" i="6" s="1"/>
  <c r="T4083" i="6"/>
  <c r="T4107" i="6"/>
  <c r="U4107" i="6" s="1"/>
  <c r="T4138" i="6"/>
  <c r="U4138" i="6" s="1"/>
  <c r="T4140" i="6"/>
  <c r="U4140" i="6" s="1"/>
  <c r="T4158" i="6"/>
  <c r="U4173" i="6"/>
  <c r="U3885" i="6"/>
  <c r="U3886" i="6"/>
  <c r="U3887" i="6"/>
  <c r="U3889" i="6"/>
  <c r="U3890" i="6"/>
  <c r="U3891" i="6"/>
  <c r="U3892" i="6"/>
  <c r="U3893" i="6"/>
  <c r="U3894" i="6"/>
  <c r="U3897" i="6"/>
  <c r="U3903" i="6"/>
  <c r="U3906" i="6"/>
  <c r="U3909" i="6"/>
  <c r="U3910" i="6"/>
  <c r="U3914" i="6"/>
  <c r="U3916" i="6"/>
  <c r="T3917" i="6"/>
  <c r="U3918" i="6"/>
  <c r="U3919" i="6"/>
  <c r="U3922" i="6"/>
  <c r="U3924" i="6"/>
  <c r="U3925" i="6"/>
  <c r="U3926" i="6"/>
  <c r="U3927" i="6"/>
  <c r="U3929" i="6"/>
  <c r="U3931" i="6"/>
  <c r="U3932" i="6"/>
  <c r="U3933" i="6"/>
  <c r="U3934" i="6"/>
  <c r="U3935" i="6"/>
  <c r="U3936" i="6"/>
  <c r="U3937" i="6"/>
  <c r="U3938" i="6"/>
  <c r="U3940" i="6"/>
  <c r="U3942" i="6"/>
  <c r="U4211" i="6"/>
  <c r="U4210" i="6"/>
  <c r="U4209" i="6"/>
  <c r="U4208" i="6"/>
  <c r="U4207" i="6"/>
  <c r="U4205" i="6"/>
  <c r="U4202" i="6"/>
  <c r="U4201" i="6"/>
  <c r="U4199" i="6"/>
  <c r="U4198" i="6"/>
  <c r="U4197" i="6"/>
  <c r="U4195" i="6"/>
  <c r="U4193" i="6"/>
  <c r="U4192" i="6"/>
  <c r="U4191" i="6"/>
  <c r="U4190" i="6"/>
  <c r="U4187" i="6"/>
  <c r="U4186" i="6"/>
  <c r="U4185" i="6"/>
  <c r="U4184" i="6"/>
  <c r="U4183" i="6"/>
  <c r="U4181" i="6"/>
  <c r="U4180" i="6"/>
  <c r="U4179" i="6"/>
  <c r="U4176" i="6"/>
  <c r="U4175" i="6"/>
  <c r="U4171" i="6"/>
  <c r="U4170" i="6"/>
  <c r="U4169" i="6"/>
  <c r="U4166" i="6"/>
  <c r="U4165" i="6"/>
  <c r="U4164" i="6"/>
  <c r="U4163" i="6"/>
  <c r="U4162" i="6"/>
  <c r="U4161" i="6"/>
  <c r="U4160" i="6"/>
  <c r="U4159" i="6"/>
  <c r="U4157" i="6"/>
  <c r="U4155" i="6"/>
  <c r="U4153" i="6"/>
  <c r="U4151" i="6"/>
  <c r="U4150" i="6"/>
  <c r="U4148" i="6"/>
  <c r="U4147" i="6"/>
  <c r="U4146" i="6"/>
  <c r="U4145" i="6"/>
  <c r="U4144" i="6"/>
  <c r="U4143" i="6"/>
  <c r="U4141" i="6"/>
  <c r="U4139" i="6"/>
  <c r="U4136" i="6"/>
  <c r="U4134" i="6"/>
  <c r="U4133" i="6"/>
  <c r="U4131" i="6"/>
  <c r="U4130" i="6"/>
  <c r="U4126" i="6"/>
  <c r="U4125" i="6"/>
  <c r="U4124" i="6"/>
  <c r="U4123" i="6"/>
  <c r="U4122" i="6"/>
  <c r="U4121" i="6"/>
  <c r="U4120" i="6"/>
  <c r="U4119" i="6"/>
  <c r="U4118" i="6"/>
  <c r="U4116" i="6"/>
  <c r="U4115" i="6"/>
  <c r="U4114" i="6"/>
  <c r="U4113" i="6"/>
  <c r="U4112" i="6"/>
  <c r="U4111" i="6"/>
  <c r="U4110" i="6"/>
  <c r="U4109" i="6"/>
  <c r="U4108" i="6"/>
  <c r="U4106" i="6"/>
  <c r="U4105" i="6"/>
  <c r="U4104" i="6"/>
  <c r="U4103" i="6"/>
  <c r="U4102" i="6"/>
  <c r="U4101" i="6"/>
  <c r="U4100" i="6"/>
  <c r="U4099" i="6"/>
  <c r="U4097" i="6"/>
  <c r="U4095" i="6"/>
  <c r="U4093" i="6"/>
  <c r="U4092" i="6"/>
  <c r="U4090" i="6"/>
  <c r="U4089" i="6"/>
  <c r="U4088" i="6"/>
  <c r="U4087" i="6"/>
  <c r="U4086" i="6"/>
  <c r="U4085" i="6"/>
  <c r="U4084" i="6"/>
  <c r="U4082" i="6"/>
  <c r="U4080" i="6"/>
  <c r="U4079" i="6"/>
  <c r="U4075" i="6"/>
  <c r="U4074" i="6"/>
  <c r="U4073" i="6"/>
  <c r="U4071" i="6"/>
  <c r="U4070" i="6"/>
  <c r="U4069" i="6"/>
  <c r="U4068" i="6"/>
  <c r="U4067" i="6"/>
  <c r="U4066" i="6"/>
  <c r="U4065" i="6"/>
  <c r="U4064" i="6"/>
  <c r="U4063" i="6"/>
  <c r="U4062" i="6"/>
  <c r="U4061" i="6"/>
  <c r="U4060" i="6"/>
  <c r="U4058" i="6"/>
  <c r="U4056" i="6"/>
  <c r="U4054" i="6"/>
  <c r="U4053" i="6"/>
  <c r="U4052" i="6"/>
  <c r="U4051" i="6"/>
  <c r="U4049" i="6"/>
  <c r="U4046" i="6"/>
  <c r="U4045" i="6"/>
  <c r="U4044" i="6"/>
  <c r="U4043" i="6"/>
  <c r="U4042" i="6"/>
  <c r="U4041" i="6"/>
  <c r="U4040" i="6"/>
  <c r="U4039" i="6"/>
  <c r="U4038" i="6"/>
  <c r="U4036" i="6"/>
  <c r="U4035" i="6"/>
  <c r="U4034" i="6"/>
  <c r="U4033" i="6"/>
  <c r="U4032" i="6"/>
  <c r="U4031" i="6"/>
  <c r="U4030" i="6"/>
  <c r="U4028" i="6"/>
  <c r="U4027" i="6"/>
  <c r="U4026" i="6"/>
  <c r="U4025" i="6"/>
  <c r="U4021" i="6"/>
  <c r="U4020" i="6"/>
  <c r="U4018" i="6"/>
  <c r="U4015" i="6"/>
  <c r="U4013" i="6"/>
  <c r="U4011" i="6"/>
  <c r="U4010" i="6"/>
  <c r="U4008" i="6"/>
  <c r="U4006" i="6"/>
  <c r="U4004" i="6"/>
  <c r="U4003" i="6"/>
  <c r="U4002" i="6"/>
  <c r="U4001" i="6"/>
  <c r="U4000" i="6"/>
  <c r="U3999" i="6"/>
  <c r="U3997" i="6"/>
  <c r="U3995" i="6"/>
  <c r="U3991" i="6"/>
  <c r="U3884" i="6"/>
  <c r="U51" i="6"/>
  <c r="U50" i="6"/>
  <c r="R50" i="6"/>
  <c r="U48" i="6"/>
  <c r="R48" i="6"/>
  <c r="U46" i="6"/>
  <c r="U1981" i="6" l="1"/>
  <c r="U4158" i="6"/>
  <c r="U3153" i="6"/>
  <c r="U4083" i="6"/>
  <c r="U1100" i="6"/>
  <c r="T3116" i="6"/>
  <c r="U3116" i="6" s="1"/>
  <c r="U4076" i="6"/>
  <c r="U3917" i="6"/>
  <c r="U54" i="6"/>
  <c r="U993" i="6"/>
  <c r="T118" i="6"/>
  <c r="U118" i="6" s="1"/>
  <c r="T1672" i="6"/>
  <c r="U1672" i="6" s="1"/>
  <c r="U3993" i="6"/>
  <c r="U49" i="6"/>
  <c r="U3882" i="6" s="1"/>
  <c r="T1670" i="6"/>
  <c r="U1670" i="6" s="1"/>
  <c r="T1677" i="6"/>
  <c r="U1677" i="6" s="1"/>
  <c r="T1674" i="6"/>
  <c r="U1674" i="6" s="1"/>
  <c r="T1634" i="6"/>
  <c r="U1634" i="6" s="1"/>
  <c r="T1643" i="6"/>
  <c r="U1643" i="6" s="1"/>
  <c r="T1671" i="6"/>
  <c r="U1671" i="6" s="1"/>
  <c r="T1633" i="6"/>
  <c r="U1633" i="6" s="1"/>
  <c r="T3882" i="6" l="1"/>
  <c r="R58" i="6"/>
  <c r="T4264" i="6" l="1"/>
  <c r="U4264" i="6"/>
</calcChain>
</file>

<file path=xl/sharedStrings.xml><?xml version="1.0" encoding="utf-8"?>
<sst xmlns="http://schemas.openxmlformats.org/spreadsheetml/2006/main" count="58524" uniqueCount="10259">
  <si>
    <t>25.94.11.00.00.30.10.10.1</t>
  </si>
  <si>
    <t>стальная длинная, диаметр 20 мм</t>
  </si>
  <si>
    <t>25.94.11.00.00.30.10.20.1</t>
  </si>
  <si>
    <t>стальная длинная, диаметр 25 мм</t>
  </si>
  <si>
    <t>25.94.11.00.00.30.10.30.1</t>
  </si>
  <si>
    <t>Отвод полипропиленовый с углом поворота 90 градусов диаметр 25 мм</t>
  </si>
  <si>
    <t>22.21.29.00.00.23.13.12.1</t>
  </si>
  <si>
    <t>Отвод из полиэтилена с углом поворота 90 градусов диаметр 16 мм</t>
  </si>
  <si>
    <t>22.21.29.00.00.23.33.10.1</t>
  </si>
  <si>
    <t>Отвод из полиэтилена с углом поворота 90 градусов диаметр 32 мм</t>
  </si>
  <si>
    <t>22.21.29.00.00.23.33.13.1</t>
  </si>
  <si>
    <t>Отвод из полиэтилена с углом поворота 90 градусов диаметр 50 мм</t>
  </si>
  <si>
    <t>22.21.29.00.00.23.33.15.1</t>
  </si>
  <si>
    <t>Отвод из полиэтилена с углом поворота 90 градусов диаметр 110 мм</t>
  </si>
  <si>
    <t>22.21.29.00.00.23.33.19.1</t>
  </si>
  <si>
    <t>муфт соединительные диам 40 метал</t>
  </si>
  <si>
    <t>муфт соединительные диам 40</t>
  </si>
  <si>
    <t>муфт соединительные диам 32</t>
  </si>
  <si>
    <t>муфт соединительные диам 20</t>
  </si>
  <si>
    <t>муфт соединительные диам 50</t>
  </si>
  <si>
    <t>Реле сухого ходадавления воды</t>
  </si>
  <si>
    <t>давления</t>
  </si>
  <si>
    <t>27.12.24.20.11.11.11.10.1</t>
  </si>
  <si>
    <t>диаметр 25-32</t>
  </si>
  <si>
    <t>Клапан обратный стальной, условное давление P -16 Мпа, тип присоединения к трубопроводу - муфтовое ГОСТ 27477-87</t>
  </si>
  <si>
    <t xml:space="preserve">Переходник из поливинилхлорида с наружней/внутренней резьбой </t>
  </si>
  <si>
    <t xml:space="preserve">Переходник </t>
  </si>
  <si>
    <t>22.21.29.00.00.24.20.11.1</t>
  </si>
  <si>
    <t>Фумлента</t>
  </si>
  <si>
    <t>22.29.21.20.00.00.10.10.1</t>
  </si>
  <si>
    <t>диаметр  корпуса 60 мм, класс  точности 1,5, диапазон показаний от 0 до 60</t>
  </si>
  <si>
    <t>26.51.52.14.11.11.10.18.1</t>
  </si>
  <si>
    <t>ППР</t>
  </si>
  <si>
    <t>ГОСТ 28343-89,  кран шаровой стальной фланцевый, условный проход 50 мм</t>
  </si>
  <si>
    <t>Шаровой кран,общепромышленного назначения, номинальный диаметр 32 мм ГОСТ 21345-2005</t>
  </si>
  <si>
    <t>28.14.13.22.00.00.00.70.1</t>
  </si>
  <si>
    <t>металл, ф 40</t>
  </si>
  <si>
    <t>металл, ф 32</t>
  </si>
  <si>
    <t>металл, ф 25</t>
  </si>
  <si>
    <t xml:space="preserve">металл, ф 20 </t>
  </si>
  <si>
    <t xml:space="preserve">металл, ф 15 </t>
  </si>
  <si>
    <t>ф50</t>
  </si>
  <si>
    <t>Задвижки чугунные  фланцевые  Т от -15°С до 300°С, PN 4, DN 50 мм</t>
  </si>
  <si>
    <t>Задвижки чугунные фланцевые</t>
  </si>
  <si>
    <t>28.14.13.21.10.12.00.02.1</t>
  </si>
  <si>
    <t>Задвижки чугунные  фланцевые  Т от -15°С до 300°С, PN 4, DN 100 мм</t>
  </si>
  <si>
    <t>28.14.13.21.10.12.00.05.1</t>
  </si>
  <si>
    <t>28.14.13.15.00.00.00.03.1</t>
  </si>
  <si>
    <t>Клапан запорный с электромагнитным приводом из стали</t>
  </si>
  <si>
    <t>Клапан запорный с электрическим приводом</t>
  </si>
  <si>
    <t>28.14.13.13.00.00.00.04.1</t>
  </si>
  <si>
    <t>Погружной дренажный насос Гном 10-10 , 220/380В</t>
  </si>
  <si>
    <t>Насос</t>
  </si>
  <si>
    <t>28.13.14.10.07.07.00.03.1</t>
  </si>
  <si>
    <t>унитаз фарфоровый козырьковый с косым выпуском без цельноотлитой полочки с бачком. ГОСТ 30493-96</t>
  </si>
  <si>
    <t>Унитаз</t>
  </si>
  <si>
    <t>23.42.10.12.00.00.12.40.1</t>
  </si>
  <si>
    <t>ф32 металл</t>
  </si>
  <si>
    <t>ф89</t>
  </si>
  <si>
    <t>Стальной, накидной, ГОСТ 12820-80</t>
  </si>
  <si>
    <t>24.20.40.00.11.11.10.11.1</t>
  </si>
  <si>
    <t>пластиковый из полипропилена, переходной размеры 32 x 25 x 32</t>
  </si>
  <si>
    <t>22.21.29.00.00.12.10.12.1</t>
  </si>
  <si>
    <t>фитинг соединительный, с гайкой. Материал: сталь.</t>
  </si>
  <si>
    <t>Фитинг</t>
  </si>
  <si>
    <t>24.44.26.00.00.11.20.11.1</t>
  </si>
  <si>
    <t>ф25</t>
  </si>
  <si>
    <t>19.20.31.00.00.00.00.10.1</t>
  </si>
  <si>
    <t>технический, первый сорт (99,7%), ГОСТ 5583-78</t>
  </si>
  <si>
    <t>20.11.11.00.00.80.00.10.2</t>
  </si>
  <si>
    <t>затвор дисковый ф89</t>
  </si>
  <si>
    <t>приворной ф 80</t>
  </si>
  <si>
    <t>Шаровой кран из поливинилхлорида термопластик Т 80°С, промышленного применения  муфты гладкий, Ру 2 МПа, Ду 80 мм</t>
  </si>
  <si>
    <t>Кран шаровой</t>
  </si>
  <si>
    <t>22.21.29.00.00.35.12.28.1</t>
  </si>
  <si>
    <t>вентиль терморегулирующий для радиаторов центрального отопления</t>
  </si>
  <si>
    <t>28.14.12.11.00.00.00.01.1</t>
  </si>
  <si>
    <t>из полипропилена с накидной гайкой</t>
  </si>
  <si>
    <t>22.21.29.00.00.17.10.12.1</t>
  </si>
  <si>
    <t>из полипропилена с  внутренней резьбой</t>
  </si>
  <si>
    <t>22.21.29.00.00.17.10.10.1</t>
  </si>
  <si>
    <t>ф25*3/4</t>
  </si>
  <si>
    <t>труба из поливинилхлорида для наружной канализации диаметр/толщина в мм 110/1000</t>
  </si>
  <si>
    <t>22.21.21.00.00.40.11.10.2</t>
  </si>
  <si>
    <t>22.21.21.00.00.40.23.20.2</t>
  </si>
  <si>
    <t>Труба полипропиленовая PN16 для водоснабжения  диаметр в мм/толщина в мм  63*8,7</t>
  </si>
  <si>
    <t>Труба полипропиленовая PN16 для водоснабжения  диаметр в мм/толщина в мм  50*6,9</t>
  </si>
  <si>
    <t>Труба полипропиленовая PN16 для водоснабжения  диаметр в мм/толщина в мм  40*5,6</t>
  </si>
  <si>
    <t>Труба полипропиленовая PN16 для водоснабжения  диаметр в мм/толщина в мм  32*4,5</t>
  </si>
  <si>
    <t>Труба полипропиленовая PN16 для водоснабжения  диаметр в мм/толщина в мм  25*3,5</t>
  </si>
  <si>
    <t>Труба полипропиленовая PN16 для водоснабжения  диаметр в мм/толщина в мм  20*2,8</t>
  </si>
  <si>
    <t>металлопластиковая, d 50 мм</t>
  </si>
  <si>
    <t>22.21.21.00.00.40.01.09.1</t>
  </si>
  <si>
    <t>металлопластиковая, d 25 мм</t>
  </si>
  <si>
    <t>22.21.21.00.00.40.01.06.1</t>
  </si>
  <si>
    <t>Шланги маслостойкие высокого давления на подачу дизтопл.</t>
  </si>
  <si>
    <t>Топливный резиновый шланг для подачи жидкостей: бензина авиационного, бензина автомобильного, топлива. ГОСТ 10362-76. Размер 100 х 114 - 10</t>
  </si>
  <si>
    <t>22.19.34.00.00.00.20.29.1</t>
  </si>
  <si>
    <t>Рукав поливочный усиленный , d 20 мм.</t>
  </si>
  <si>
    <t>22.19.34.00.00.25.10.30.2</t>
  </si>
  <si>
    <t>стальной, червячный, ленточный</t>
  </si>
  <si>
    <t>25.94.11.09.10.10.01.01.1</t>
  </si>
  <si>
    <t>сальниковая, асбестовая, марка - АС - плетеная сухая. ГОСТ 5152-84</t>
  </si>
  <si>
    <t>23.99.11.06.01.00.00.01.1</t>
  </si>
  <si>
    <t>Электронный блок поджига котла EN267</t>
  </si>
  <si>
    <t>Части печных горелок для жидкого топлива, измельченного твердого или газообразного топлива; механических топок, механических колосниковых решеток, механических золоудалителей и аналогичных устройств</t>
  </si>
  <si>
    <t>Части печных топок, печей и камер</t>
  </si>
  <si>
    <t>28.21.14.00.00.00.10.10.1</t>
  </si>
  <si>
    <t>Электромагнитный клапан R.B.L. 230v 50Hz cod 223</t>
  </si>
  <si>
    <t>Электромагнитный клапан</t>
  </si>
  <si>
    <t>25.99.29.00.01.15.12.10.1</t>
  </si>
  <si>
    <t>ф3 мм</t>
  </si>
  <si>
    <t>Изделие используемое для сварки с покрытием</t>
  </si>
  <si>
    <t>25.93.15.00.00.13.10.10.2</t>
  </si>
  <si>
    <t>RL-38</t>
  </si>
  <si>
    <t>Марка - ЭГСП, используется на сверхмощных электродуговых печах и установках печь-ковш, номинальный диаметр - 75 мм.</t>
  </si>
  <si>
    <t>27.90.13.00.00.02.03.01.1</t>
  </si>
  <si>
    <t>RL-28</t>
  </si>
  <si>
    <t xml:space="preserve">Форсунки  для RL-28 </t>
  </si>
  <si>
    <t xml:space="preserve">Форсунки  для RL-38 </t>
  </si>
  <si>
    <t>сварочный</t>
  </si>
  <si>
    <t>Флюс</t>
  </si>
  <si>
    <t>24.45.30.01.20.10.10.11.1</t>
  </si>
  <si>
    <t>Топливный насос котла RSA - 60</t>
  </si>
  <si>
    <t>насос для горюче-смазочных материалов, имеющий расходомеры или предусматривающие их установку, используемые на заправочных станциях и в гаражах, ГОСТ 15060-95</t>
  </si>
  <si>
    <t>28.13.11.00.00.00.10.10.1</t>
  </si>
  <si>
    <t>Сопло на горелку котла</t>
  </si>
  <si>
    <t>для плазменной горелки (плазмотрона)</t>
  </si>
  <si>
    <t>Сопло</t>
  </si>
  <si>
    <t>28.29.60.00.00.10.12.10.1</t>
  </si>
  <si>
    <t>насос мн. ступ. Горизонтальный Pump CPm158</t>
  </si>
  <si>
    <t>обеспечивает принудительную циркуляцию жидкости в системе охлаждения</t>
  </si>
  <si>
    <t>28.30.93.00.00.00.12.14.1</t>
  </si>
  <si>
    <t>Насос для горелки RL-38 cod    3474120</t>
  </si>
  <si>
    <t>насос безбашеннй подъем воды 80 м САМ 100/25НL</t>
  </si>
  <si>
    <t>для электростанции</t>
  </si>
  <si>
    <t>фильтр масляный, центробежный</t>
  </si>
  <si>
    <t>28.29.13.00.00.00.10.17.1</t>
  </si>
  <si>
    <t>горелка-резак для автогена</t>
  </si>
  <si>
    <t>горелка пропановая ГЗУ-4</t>
  </si>
  <si>
    <t>Горелка сварочная</t>
  </si>
  <si>
    <t>27.90.31.00.01.02.05.10.1</t>
  </si>
  <si>
    <t>горелка для газосварки</t>
  </si>
  <si>
    <t>ацетиленовая сварочная горелка Г2-06</t>
  </si>
  <si>
    <t>27.90.31.00.01.02.06.10.1</t>
  </si>
  <si>
    <t>Датчик со штоком RBL 230V 50Hz  C</t>
  </si>
  <si>
    <t>топлива</t>
  </si>
  <si>
    <t>Датчик давления</t>
  </si>
  <si>
    <t>26.51.51.15.11.11.11.30.1</t>
  </si>
  <si>
    <t>Датчик RBO S22 Тип OP3</t>
  </si>
  <si>
    <t>Горелка EN 267 EKO 4/34 L-ZI-TI</t>
  </si>
  <si>
    <t>горелка дизельная двухступенчатая с мощностью 240-360 кВт</t>
  </si>
  <si>
    <t>горелка дизельная двухступенчатая</t>
  </si>
  <si>
    <t>28.21.11.00.00.00.14.16.1</t>
  </si>
  <si>
    <t>асбестовый, общего назначения (ШАОН), диаметр - 12,0 мм. ГОСТ 1779-83</t>
  </si>
  <si>
    <t>23.99.11.04.01.00.00.12.1</t>
  </si>
  <si>
    <t>Лист асбестоцементный плоский</t>
  </si>
  <si>
    <t>23.65.12.00.20.10.00.04.1</t>
  </si>
  <si>
    <t>Средство для чистки сопел</t>
  </si>
  <si>
    <t>Составы, используемые для поддержания чистоты карбюратора, систем впуска и выпуска цилиндров</t>
  </si>
  <si>
    <t>Детергент</t>
  </si>
  <si>
    <t>20.59.42.00.00.20.40.10.4</t>
  </si>
  <si>
    <t>Электродвигатель фанкойла</t>
  </si>
  <si>
    <t>Электродвигатель переменного тока синхронный однофазный с номинальной частотой сети на 50 Гц, с синхронной частотой вращения 500 мин, номинальная мощность 0,12 кВт</t>
  </si>
  <si>
    <t>Электродвигатель переменного тока синхронный однофазный с номинальной частотой сети на 50 Гц</t>
  </si>
  <si>
    <t>27.11.21.10.10.10.10.12.1</t>
  </si>
  <si>
    <t>регулятор уровня воды</t>
  </si>
  <si>
    <t>Поплавок</t>
  </si>
  <si>
    <t>22.21.29.00.00.10.20.10.1</t>
  </si>
  <si>
    <t>Катушка условная</t>
  </si>
  <si>
    <t>для токарного станка</t>
  </si>
  <si>
    <t>И-8А, масло  дистиллятное, из малосернистых и сернистых нефтей селективной очистки без содержания присадок, плотность 880 кг/м3 при 20° С.Вязкость кинематическая не менее 9-11 мм2/с (сСт) при 50 °С</t>
  </si>
  <si>
    <t>Масло индустриальное</t>
  </si>
  <si>
    <t>19.20.29.00.00.00.13.20.3</t>
  </si>
  <si>
    <t>Ерш для чиски котла, металлический</t>
  </si>
  <si>
    <t>СП-2К. Диапазон измерения от 0 до 200 С°.</t>
  </si>
  <si>
    <t>26.51.51.11.13.11.11.11.1</t>
  </si>
  <si>
    <t>20 м</t>
  </si>
  <si>
    <t>25.93.12.00.00.11.16.10.1</t>
  </si>
  <si>
    <t>Этиленгликоль (этандиол)</t>
  </si>
  <si>
    <t>20.14.23.00.00.10.10.50.2</t>
  </si>
  <si>
    <t>сплав медно-фосфористый</t>
  </si>
  <si>
    <t>24.45.30.01.19.10.10.11.1</t>
  </si>
  <si>
    <t>Тетрафторэтан (Фреон R134A)</t>
  </si>
  <si>
    <t>20.14.19.00.00.20.55.10.1</t>
  </si>
  <si>
    <t>Привод клапана вентиляционных заслонок</t>
  </si>
  <si>
    <t>Вентиль запорный с электроприводом фланцевый стальной</t>
  </si>
  <si>
    <t>Вентиль с электромагнитным приводом</t>
  </si>
  <si>
    <t>28.14.13.41.00.00.00.03.1</t>
  </si>
  <si>
    <t>вентиляционные</t>
  </si>
  <si>
    <t>Медные, переходные</t>
  </si>
  <si>
    <t>Фитинги</t>
  </si>
  <si>
    <t>24.44.26.00.00.11.11.11.1</t>
  </si>
  <si>
    <t>протока</t>
  </si>
  <si>
    <t>Реле</t>
  </si>
  <si>
    <t xml:space="preserve">комнатная </t>
  </si>
  <si>
    <t>реле давления 12 bar</t>
  </si>
  <si>
    <t>22.19.42.00.00.10.30.27.1</t>
  </si>
  <si>
    <t>вязальная</t>
  </si>
  <si>
    <t>Проволока</t>
  </si>
  <si>
    <t>24.34.13.00.00.20.16.11.1</t>
  </si>
  <si>
    <t>толщина 0,7мм</t>
  </si>
  <si>
    <t>холоднокатаная сталь, оцинкованная горячим способом в агрегатах непрерывного цинкования, ГОСТ 14918-80</t>
  </si>
  <si>
    <t>24.10.43.00.00.10.20.10.4</t>
  </si>
  <si>
    <t>воздуховод гофрированный по 3 м</t>
  </si>
  <si>
    <t>из алюминиевой фольги</t>
  </si>
  <si>
    <t>Воздуховод</t>
  </si>
  <si>
    <t>25.11.23.00.00.12.12.10.2</t>
  </si>
  <si>
    <t>22.19.34.00.00.10.30.11.2</t>
  </si>
  <si>
    <t>6мм</t>
  </si>
  <si>
    <t>22.19.24.00.00.00.11.14.1</t>
  </si>
  <si>
    <t>3мм</t>
  </si>
  <si>
    <t>для  удаления известкового налета</t>
  </si>
  <si>
    <t>Реагент</t>
  </si>
  <si>
    <t>20.59.59.00.01.14.10.10.1</t>
  </si>
  <si>
    <t>секционный</t>
  </si>
  <si>
    <t>25.21.11.00.00.10.10.01.2</t>
  </si>
  <si>
    <t>резиновая</t>
  </si>
  <si>
    <t>паронитовая</t>
  </si>
  <si>
    <t>28.25.11.00.00.00.17.11.1</t>
  </si>
  <si>
    <t>подшипник качения шариковый</t>
  </si>
  <si>
    <t>прочая</t>
  </si>
  <si>
    <t>Шайба</t>
  </si>
  <si>
    <t>29.32.30.00.15.00.08.09.1</t>
  </si>
  <si>
    <t>Шестигранник</t>
  </si>
  <si>
    <t>24.10.71.00.00.14.10.11.1</t>
  </si>
  <si>
    <t>Латунный, тянутый, шестигранного сечения, ГОСТ 2060-2006 (взамен ГОСТ 2060-90)</t>
  </si>
  <si>
    <t>24.45.30.01.15.11.12.11.2</t>
  </si>
  <si>
    <t>Клапан регулирующий односедельный</t>
  </si>
  <si>
    <t>28.14.11.10.00.00.00.12.1</t>
  </si>
  <si>
    <t>25.94.11.00.00.13.10.10.1</t>
  </si>
  <si>
    <t>держатель (клипса) пластиковый</t>
  </si>
  <si>
    <t>Облегченный, ГОСТ 17679-80</t>
  </si>
  <si>
    <t>24.20.40.00.21.10.10.11.1</t>
  </si>
  <si>
    <t>Хомут - стяжка пластиковая крепежная, длина 80 мм, ширина 3 мм</t>
  </si>
  <si>
    <t>22.21.29.00.00.26.10.10.1</t>
  </si>
  <si>
    <t>Для чиллера, части оборудования холодильного небытового, включая испарители и конденсаторы</t>
  </si>
  <si>
    <t>для удаления влаги из хладагента, к холодильному оборудованию</t>
  </si>
  <si>
    <t>Фильтр осушитель</t>
  </si>
  <si>
    <t>28.25.30.10.10.10.01.03.1</t>
  </si>
  <si>
    <t>Коврик диэлектрический</t>
  </si>
  <si>
    <t>22.19.72.00.00.10.10.20.1</t>
  </si>
  <si>
    <t>коврик зигзаг для входной гуруппы</t>
  </si>
  <si>
    <t>Грязезащитное резиновое покрытие - обеспечивают  очищение обуви от грязи, снега и влаги, предотвращая ее дальнейшее распространение.</t>
  </si>
  <si>
    <t>Коврик</t>
  </si>
  <si>
    <t>22.19.72.00.00.00.20.10.3</t>
  </si>
  <si>
    <t>для входной группы</t>
  </si>
  <si>
    <t>22.19.72.00.00.00.20.10.2</t>
  </si>
  <si>
    <t>липкая (клейкая), на основе алюминиевой фольги</t>
  </si>
  <si>
    <t>24.42.24.00.00.14.10.11.2</t>
  </si>
  <si>
    <t>мебельный</t>
  </si>
  <si>
    <t>из оцинкованной стали с покрытием Полиэстер</t>
  </si>
  <si>
    <t>24.33.11.00.10.13.10.10.1</t>
  </si>
  <si>
    <t>Равнополочный, номер уголка3,5  ,ширина полки 35 мм, ГОСТ 8509-93</t>
  </si>
  <si>
    <t>24.33.11.00.10.10.10.16.2</t>
  </si>
  <si>
    <t xml:space="preserve">Стекло листовое литое и прокатное неармированное узорчатое бесцветное. Толщина 6,0 мм. Длина от 1000 мм  до  2500 мм, ширина от 800 мм до 1600 мм. </t>
  </si>
  <si>
    <t>Двукамерный шумозащитный  Стеклопакет   по ГОСТ 24866-99</t>
  </si>
  <si>
    <t>23.12.13.00.11.16.20.10.1</t>
  </si>
  <si>
    <t>негашеная комовая, магнезиальная и доломитовая, 1 сорт, быстрогасящаяся, ГОСТ 9179-77</t>
  </si>
  <si>
    <t>23.52.10.00.00.10.10.25.2</t>
  </si>
  <si>
    <t>бумажная (бумага наждачная)</t>
  </si>
  <si>
    <t>Шкурка шлифовальная</t>
  </si>
  <si>
    <t>23.91.11.00.00.00.40.05.4</t>
  </si>
  <si>
    <t>пластиковый с кабель-каналом</t>
  </si>
  <si>
    <t>22.23.14.00.00.70.10.10.1</t>
  </si>
  <si>
    <t>Керамическая для внутренней облицовки стен глазурованная прямоугольная без завала 200*300 мм.</t>
  </si>
  <si>
    <t>23.31.10.01.02.01.21.50.1</t>
  </si>
  <si>
    <t>Керамическая для полов основная квадратная 300*300 мм.</t>
  </si>
  <si>
    <t>23.31.10.01.01.01.01.10.1</t>
  </si>
  <si>
    <t>из керамического грамита, фасадная, размер 600х600 мм</t>
  </si>
  <si>
    <t>Плитка (керамогранит)</t>
  </si>
  <si>
    <t>23.31.10.01.03.02.01.15.1</t>
  </si>
  <si>
    <t>Потолочная плитка акустическая, размеры 500x500x15 мм</t>
  </si>
  <si>
    <t>Потолочная плитка акустическая, размеры 600x600x17 мм</t>
  </si>
  <si>
    <t>22.23.11.00.00.30.30.10.1</t>
  </si>
  <si>
    <t>Потолочная плитка акустическая, размеры 500x700x15 мм</t>
  </si>
  <si>
    <t>из керамического грамита, напольная, размер 330*330 мм</t>
  </si>
  <si>
    <t>23.31.10.01.03.01.01.22.1</t>
  </si>
  <si>
    <t>Потолочная плитка акустическая, размеры 1200x600x15 мм</t>
  </si>
  <si>
    <t>22.23.11.00.00.30.30.24.1</t>
  </si>
  <si>
    <t>Профиль стальной</t>
  </si>
  <si>
    <t>25.93.13.00.00.10.21.12.1</t>
  </si>
  <si>
    <t>без минеральных добавок, марки ПЦ 400-Д0 (М 400-Д0), ГОСТ 10178-85</t>
  </si>
  <si>
    <t>23.51.12.00.00.10.10.10.2</t>
  </si>
  <si>
    <t>Лента поливинилхлоридная</t>
  </si>
  <si>
    <t xml:space="preserve">Супер хват, Фасовка: 100 мл. </t>
  </si>
  <si>
    <t>объем: 400 гр</t>
  </si>
  <si>
    <t>жидкие гвозди</t>
  </si>
  <si>
    <t>20.52.10.00.00.00.20.10.1</t>
  </si>
  <si>
    <t>объем: 700 мл</t>
  </si>
  <si>
    <t>20.59.59.00.16.00.00.12.2</t>
  </si>
  <si>
    <t>объем: 400гр</t>
  </si>
  <si>
    <t>2,7 кг</t>
  </si>
  <si>
    <t>20.30.21.00.21.02.12.18.2</t>
  </si>
  <si>
    <t>ПФ-133 синий, массовая доля нелетучих веществ, %, не менее 55-61, ГОСТ 926-82</t>
  </si>
  <si>
    <t>20.30.21.00.21.06.11.10.1</t>
  </si>
  <si>
    <t>готовая фасадная краска акрил марка: с53</t>
  </si>
  <si>
    <t>алкидно-акриловая</t>
  </si>
  <si>
    <t>20.30.21.00.21.11.05.00.1</t>
  </si>
  <si>
    <t>ПФ-133 темно-серый, массовая доля нелетучих веществ, %, не менее 57-65, ГОСТ 926-82</t>
  </si>
  <si>
    <t>20.30.21.00.21.06.11.11.2</t>
  </si>
  <si>
    <t>соль таблетированная</t>
  </si>
  <si>
    <t>Лента оградительная сигнальная</t>
  </si>
  <si>
    <t>32.99.59.00.00.00.21.00.1</t>
  </si>
  <si>
    <t>жидкий, для водоэмульсии, разноцветный, в тюбиках 20 мл.</t>
  </si>
  <si>
    <t>жидкий, для водоэмульсии</t>
  </si>
  <si>
    <t>Клей для мрамора и гранита</t>
  </si>
  <si>
    <t>в упаковке в мешках по 20 кг.</t>
  </si>
  <si>
    <t xml:space="preserve">Шпаклевка-ветонит, 1 мешок по 25 кг. </t>
  </si>
  <si>
    <t xml:space="preserve">для затирки кафельных швов, разных цветов. </t>
  </si>
  <si>
    <t>Полиэтиленовая</t>
  </si>
  <si>
    <t>22.21.30.00.00.10.05.10.1</t>
  </si>
  <si>
    <t>ПФ-283 пентафталевые, ГОСТ 5470-75</t>
  </si>
  <si>
    <t>Лак</t>
  </si>
  <si>
    <t>20.30.12.00.00.00.23.10.1</t>
  </si>
  <si>
    <t>Линолеум бытовой из поливинилхлорида</t>
  </si>
  <si>
    <t>22.23.15.00.00.10.10.10.1</t>
  </si>
  <si>
    <t>Ковролин 8,5мм Ворсистый,  резиновая основа Цвет -  коричневый,  Ширина - 400см. Без запаха.</t>
  </si>
  <si>
    <t xml:space="preserve">Ковролан </t>
  </si>
  <si>
    <t xml:space="preserve"> для ковролана</t>
  </si>
  <si>
    <t>Порожек</t>
  </si>
  <si>
    <t>из вспененного полиэтилена толщина 3 мм ширина листа 100 см</t>
  </si>
  <si>
    <t>22.23.14.00.00.76.10.30.1</t>
  </si>
  <si>
    <t>толщиной 8мм, цвет-орех</t>
  </si>
  <si>
    <t>Класс 31: Нагрузка - легкая (конференц-зал)</t>
  </si>
  <si>
    <t>16.21.14.00.10.00.00.04.1</t>
  </si>
  <si>
    <t>дверь в комплекте (дверь короб, наличники, доска)</t>
  </si>
  <si>
    <t>Дверь деревянная внутренняя,  ГОСТ 6629-88</t>
  </si>
  <si>
    <t>Дверь</t>
  </si>
  <si>
    <t>16.23.11.00.00.00.00.85.2</t>
  </si>
  <si>
    <t>гладкие, марки М-1 - устойчивые к мытью (моющиеся), ГОСТ 6810-2002</t>
  </si>
  <si>
    <t>17.24.11.30.00.00.00.20.1</t>
  </si>
  <si>
    <t>размер: 3,5мм.</t>
  </si>
  <si>
    <t>Шурупы с квадратной головкой из черных металлов</t>
  </si>
  <si>
    <t>25.94.11.00.00.11.10.10.3</t>
  </si>
  <si>
    <t>ГОСТ 4029-63, 3,0х40 мм</t>
  </si>
  <si>
    <t>25.93.14.00.00.10.16.14.1</t>
  </si>
  <si>
    <t>по гипсокартону</t>
  </si>
  <si>
    <t>Дюбель-гвоздь с резьбой</t>
  </si>
  <si>
    <t>Дюбель-гвоздь</t>
  </si>
  <si>
    <t>25.94.12.00.00.12.12.10.2</t>
  </si>
  <si>
    <t>Пластмассовый (из полипропилена, полиэтилена или нейлона [полиамида])</t>
  </si>
  <si>
    <t>25.94.12.00.00.12.10.10.2</t>
  </si>
  <si>
    <t>Металлический, анкерный</t>
  </si>
  <si>
    <t>25.94.12.00.00.12.10.50.1</t>
  </si>
  <si>
    <t>1,5-70мм</t>
  </si>
  <si>
    <t>5мм, длина 1 см.</t>
  </si>
  <si>
    <t>3,5*13</t>
  </si>
  <si>
    <t>Саморез с цилиндрической головкой</t>
  </si>
  <si>
    <t>25.94.12.00.00.11.10.14.3</t>
  </si>
  <si>
    <t>3,5*41</t>
  </si>
  <si>
    <t>Саморез с головкой с полукруглой с пресс-шайбой  </t>
  </si>
  <si>
    <t>25.94.12.00.00.11.10.12.3</t>
  </si>
  <si>
    <t>3,5*16</t>
  </si>
  <si>
    <t>Саморез с полупотайной головкой</t>
  </si>
  <si>
    <t>25.94.12.00.00.11.10.11.3</t>
  </si>
  <si>
    <t>3,5*51</t>
  </si>
  <si>
    <t>4,0*35</t>
  </si>
  <si>
    <t>6*80</t>
  </si>
  <si>
    <t>усиленный с болтом</t>
  </si>
  <si>
    <t>Анкер</t>
  </si>
  <si>
    <t>25.94.11.00.00.10.37.01.1</t>
  </si>
  <si>
    <t>6*40</t>
  </si>
  <si>
    <t>с деревянным кузовом</t>
  </si>
  <si>
    <t>Носилки</t>
  </si>
  <si>
    <t>32.99.87.00.00.00.00.32.1</t>
  </si>
  <si>
    <t>ЛМ-1 с кожанными ремнями</t>
  </si>
  <si>
    <t>Лазы</t>
  </si>
  <si>
    <t>25.99.29.00.02.13.23.03.1</t>
  </si>
  <si>
    <t>по бетону, диаметр 230 мм, содержание алмаза 35%</t>
  </si>
  <si>
    <t>Диск алмазный</t>
  </si>
  <si>
    <t>23.91.11.00.00.10.02.01.1</t>
  </si>
  <si>
    <t>диск на электропилу по дереву</t>
  </si>
  <si>
    <t>циркуляционной пилы внешний диаметр 360мм</t>
  </si>
  <si>
    <t>Диск</t>
  </si>
  <si>
    <t>25.73.20.00.00.11.10.11.1</t>
  </si>
  <si>
    <t>сверло по дереву d3-12мм</t>
  </si>
  <si>
    <t>Сверла в наборе</t>
  </si>
  <si>
    <t>Сверло</t>
  </si>
  <si>
    <t>25.73.30.00.00.18.10.18.1</t>
  </si>
  <si>
    <t>комплект стамесок с размерами 13 мм;16 мм;19 мм</t>
  </si>
  <si>
    <t>Комплект стамесок</t>
  </si>
  <si>
    <t>25.73.30.00.00.22.12.12.1</t>
  </si>
  <si>
    <t>набор насадок на перфоратор 2Н (по10шт)</t>
  </si>
  <si>
    <t>для бурового долота</t>
  </si>
  <si>
    <t>28.92.61.22.05.01.01.01.2</t>
  </si>
  <si>
    <t>алюминиевое</t>
  </si>
  <si>
    <t>Правило штукатурное</t>
  </si>
  <si>
    <t>25.73.30.00.00.30.12.01.1</t>
  </si>
  <si>
    <t>для профиля</t>
  </si>
  <si>
    <t>дырокол с дыропробивными кольцами в комплекте, для листового металла</t>
  </si>
  <si>
    <t>25.73.30.00.00.14.17.60.1</t>
  </si>
  <si>
    <t>столярный</t>
  </si>
  <si>
    <t>по кафелю</t>
  </si>
  <si>
    <t>25.73.30.00.00.14.13.11.1</t>
  </si>
  <si>
    <t>слесарный</t>
  </si>
  <si>
    <t>металлический № 1.2.3</t>
  </si>
  <si>
    <t>25.73.30.00.00.10.16.13.1</t>
  </si>
  <si>
    <t>Слесарные</t>
  </si>
  <si>
    <t>Тиски</t>
  </si>
  <si>
    <t>25.73.30.00.00.25.10.10.1</t>
  </si>
  <si>
    <t>пульверизатор объем -7л.</t>
  </si>
  <si>
    <t>для обработки сельскохозяйственных культур, возделываемых в теплицах, путем поверхностного опрыскивания</t>
  </si>
  <si>
    <t>Опрыскиватель для теплиц</t>
  </si>
  <si>
    <t>28.30.60.00.00.00.40.15.1</t>
  </si>
  <si>
    <t>Ножницы садовые</t>
  </si>
  <si>
    <t>25.71.11.00.00.20.15.10.1</t>
  </si>
  <si>
    <t>125*2,5*22,23</t>
  </si>
  <si>
    <t>для шлифования и пломбирования пломбы, в наборе</t>
  </si>
  <si>
    <t>21.20.23.00.00.00.34.40.1</t>
  </si>
  <si>
    <t>алмазный по керамике, диаметр 230 мм.</t>
  </si>
  <si>
    <t>23.91.11.00.00.10.01.01.1</t>
  </si>
  <si>
    <t>диск на электропилу по пластику</t>
  </si>
  <si>
    <t>Лезвие для ножей</t>
  </si>
  <si>
    <t>25.71.11.00.00.31.11.10.1</t>
  </si>
  <si>
    <t>ножовочное</t>
  </si>
  <si>
    <t>25.73.20.00.00.10.22.10.1</t>
  </si>
  <si>
    <t>Плотницкий топор</t>
  </si>
  <si>
    <t>25.73.10.00.00.20.11.10.1</t>
  </si>
  <si>
    <t>25.73.20.00.00.10.20.10.1</t>
  </si>
  <si>
    <t>по пластику</t>
  </si>
  <si>
    <t>для лобзика, в наборе</t>
  </si>
  <si>
    <t>Пилка</t>
  </si>
  <si>
    <t>25.73.40.00.00.12.10.01.2</t>
  </si>
  <si>
    <t>для резки металла</t>
  </si>
  <si>
    <t>25.71.11.00.00.30.25.10.1</t>
  </si>
  <si>
    <t>в наборе 9 шестигранных угловых торцевых ключей, размером от 1,5 до 10 мм</t>
  </si>
  <si>
    <t>Набор шестигранных угловых торцевых ключей</t>
  </si>
  <si>
    <t>25.73.30.00.00.16.29.10.1</t>
  </si>
  <si>
    <t>металлический скелетный корпус с механизмом для выдавливания герметика</t>
  </si>
  <si>
    <t>Пистолет для герметика</t>
  </si>
  <si>
    <t>25.73.30.00.00.32.47.10.1</t>
  </si>
  <si>
    <t>Инструмент для плотника</t>
  </si>
  <si>
    <t>Инструменты для плотника</t>
  </si>
  <si>
    <t>25.94.13.00.00.10.30.10.1</t>
  </si>
  <si>
    <t>Рожково-накидные ключи с трещеткой</t>
  </si>
  <si>
    <t>25.73.30.00.00.16.21.03.1</t>
  </si>
  <si>
    <t>Сменные насадки для шуруповерта</t>
  </si>
  <si>
    <t>Набор насадок</t>
  </si>
  <si>
    <t>25.94.13.00.00.10.35.20.1</t>
  </si>
  <si>
    <t>510х260х270 мм</t>
  </si>
  <si>
    <t>для хранения инструментов</t>
  </si>
  <si>
    <t>Ящик</t>
  </si>
  <si>
    <t>25.99.29.00.10.10.00.09.1</t>
  </si>
  <si>
    <t>по бетону диаметр 3,4,5,6,7,8,9,10 мм</t>
  </si>
  <si>
    <t>25.73.30.00.00.19.11.11.1</t>
  </si>
  <si>
    <t>Набор сверл по дереву диаметр 12,16,18,20,25 мм</t>
  </si>
  <si>
    <t>Плоское (перовое)</t>
  </si>
  <si>
    <t>25.73.30.00.00.18.06.10.1</t>
  </si>
  <si>
    <t>по дереву диаметр 3,4,5,6,7,8,9,10 мм</t>
  </si>
  <si>
    <t>Набор сверл</t>
  </si>
  <si>
    <t>25.94.13.00.00.10.41.10.3</t>
  </si>
  <si>
    <t>по металу диаметр 3,4,5,6,7,8,9,10 мм</t>
  </si>
  <si>
    <t>по дереву бетону</t>
  </si>
  <si>
    <t>отвертки в наборе 6шт</t>
  </si>
  <si>
    <t>25.73.30.00.00.23.25.10.2</t>
  </si>
  <si>
    <t>2 м</t>
  </si>
  <si>
    <t>алюминиевый</t>
  </si>
  <si>
    <t>Уровень</t>
  </si>
  <si>
    <t>25.73.30.00.00.14.20.19.1</t>
  </si>
  <si>
    <t>1 м</t>
  </si>
  <si>
    <t>объем 30 л</t>
  </si>
  <si>
    <t>контейнер пластиковый для мусора 25л с крышкой</t>
  </si>
  <si>
    <t>2м</t>
  </si>
  <si>
    <t>Лестница-стремянка  алюминиевая</t>
  </si>
  <si>
    <t>Лестница-стремянка</t>
  </si>
  <si>
    <t>25.99.29.00.02.13.17.10.1</t>
  </si>
  <si>
    <t>уличные урны</t>
  </si>
  <si>
    <t>Урна педальная хромированная</t>
  </si>
  <si>
    <t>Урна</t>
  </si>
  <si>
    <t>25.99.29.00.10.02.00.11.1</t>
  </si>
  <si>
    <t>для полива участка относительно правильной круглой формы и достаточно большого размера.</t>
  </si>
  <si>
    <t>Вращательная поливальная установка</t>
  </si>
  <si>
    <t>28.30.60.00.00.00.10.13.1</t>
  </si>
  <si>
    <t>для малых и средних сельскохозяйственных предприятий</t>
  </si>
  <si>
    <t>Опрыскиватель полуприцепной штанговый</t>
  </si>
  <si>
    <t>28.30.60.00.00.00.40.11.1</t>
  </si>
  <si>
    <t>объем 8 л</t>
  </si>
  <si>
    <t>Лейка для цветов</t>
  </si>
  <si>
    <t>Лейка</t>
  </si>
  <si>
    <t>22.29.23.50.40.10.11.10.1</t>
  </si>
  <si>
    <t>пластиковые, с системой контроля полива, цвет коричневый, диаметр - 30см., объем 10 литров</t>
  </si>
  <si>
    <t>Горшки для цветов</t>
  </si>
  <si>
    <t>Горшок</t>
  </si>
  <si>
    <t>23.49.11.00.00.00.00.32.1</t>
  </si>
  <si>
    <t>пластиковые, с системой контроля полива, цвет коричневый, диаметр - 20см., объем 5 литров</t>
  </si>
  <si>
    <t>пластиковые, с системой контроля полива, цвет коричневый, диаметр - 60см., объем 40 литров</t>
  </si>
  <si>
    <t>пластиковые, с системой контроля полива, цвет коричневый, диаметр - 45см., объем 28,8 литров</t>
  </si>
  <si>
    <t>пластиковые,  с системой контроля полива, цвет коричневый, диаметр - 35 см., объем 13 литров</t>
  </si>
  <si>
    <t>4м</t>
  </si>
  <si>
    <t>мусорный, пластиковый</t>
  </si>
  <si>
    <t>Контейнер</t>
  </si>
  <si>
    <t>22.22.13.45.01.01.10.00.1</t>
  </si>
  <si>
    <t>объем 120л с крышкой</t>
  </si>
  <si>
    <t>объем 200л с крышкой</t>
  </si>
  <si>
    <t>объем 240л с крышкой</t>
  </si>
  <si>
    <t>Урна-пепельница, нержавеющая  высота: 60 см,  объём: 20 л</t>
  </si>
  <si>
    <t>металлическая, для мусора</t>
  </si>
  <si>
    <t>25.99.29.00.10.02.00.10.1</t>
  </si>
  <si>
    <t>садовая</t>
  </si>
  <si>
    <t>Тележка</t>
  </si>
  <si>
    <t>30.99.10.00.00.00.20.10.1</t>
  </si>
  <si>
    <t>Конструктивные особенности- металлический настил; Грузоподъемность, кг: 500; Размер платформы, мм: 500х1000; Диаметр колес, мм: 200</t>
  </si>
  <si>
    <t>ручная, грузоподъемность до 800 кг</t>
  </si>
  <si>
    <t>Тележка гидравлическая</t>
  </si>
  <si>
    <t>28.22.18.00.00.10.10.02.1</t>
  </si>
  <si>
    <t>Черенок для лопаты деревянный</t>
  </si>
  <si>
    <t>Черенок</t>
  </si>
  <si>
    <t>16.29.11.00.00.00.00.30.1</t>
  </si>
  <si>
    <t>для сгребания провяленной травы из прокосов в валки, ворошения её в прокосах и оборачивания валков</t>
  </si>
  <si>
    <t>грабли боковые</t>
  </si>
  <si>
    <t>28.30.52.00.00.00.10.30.1</t>
  </si>
  <si>
    <t>щетка-совок</t>
  </si>
  <si>
    <t>типа ВМП - валик с меховым покрытием, для лакокрасочных работ, ГОСТ 10831-87</t>
  </si>
  <si>
    <t>32.91.19.00.00.00.20.05.1</t>
  </si>
  <si>
    <t>металлический</t>
  </si>
  <si>
    <t>Специализированные: форма лома и заточки приспособлена под конкретные условия работы.</t>
  </si>
  <si>
    <t>Лом</t>
  </si>
  <si>
    <t>25.73.30.00.00.21.13.12.1</t>
  </si>
  <si>
    <t>200мм</t>
  </si>
  <si>
    <t>240мм</t>
  </si>
  <si>
    <t>50мм</t>
  </si>
  <si>
    <t>100мм</t>
  </si>
  <si>
    <t>150мм</t>
  </si>
  <si>
    <t>Доводчик до 100кг</t>
  </si>
  <si>
    <t>60 мм</t>
  </si>
  <si>
    <t>для мебели</t>
  </si>
  <si>
    <t>31.00.20.00.00.00.02.01.1</t>
  </si>
  <si>
    <t>Замок навесной</t>
  </si>
  <si>
    <t>25.72.11.00.00.10.12.10.1</t>
  </si>
  <si>
    <t>для меллопастиковых дверей</t>
  </si>
  <si>
    <t>шпингалеты дверные закрытого типа</t>
  </si>
  <si>
    <t>Шпингалет</t>
  </si>
  <si>
    <t>25.72.13.00.00.10.11.10.1</t>
  </si>
  <si>
    <t>из прочих текстильных материалов</t>
  </si>
  <si>
    <t>Навес</t>
  </si>
  <si>
    <t>13.92.22.00.00.00.10.15.1</t>
  </si>
  <si>
    <t>для меллопастиковые окна</t>
  </si>
  <si>
    <t>оконные</t>
  </si>
  <si>
    <t>25.12.10.00.00.17.13.10.1</t>
  </si>
  <si>
    <t>магнитный держатель дверей</t>
  </si>
  <si>
    <t>дверной металлический</t>
  </si>
  <si>
    <t>Фиксатор</t>
  </si>
  <si>
    <t>25.72.14.00.00.62.15.10.1</t>
  </si>
  <si>
    <t>для пластиковых дверей, из поливинилхлорида</t>
  </si>
  <si>
    <t>дверная</t>
  </si>
  <si>
    <t>25.12.10.00.00.16.30.10.1</t>
  </si>
  <si>
    <t>пластиковый для окон, из поливинилхлорида</t>
  </si>
  <si>
    <t>25.12.10.00.00.23.10.10.1</t>
  </si>
  <si>
    <t>25.72.14.00.00.60.52.10.1</t>
  </si>
  <si>
    <t>с модулем для ручки аварийного выхода</t>
  </si>
  <si>
    <t>с ручкой и сердцевиной для деревянных дверей</t>
  </si>
  <si>
    <t>для противопожарных дверей</t>
  </si>
  <si>
    <t>25.72.12.00.00.12.10.10.1</t>
  </si>
  <si>
    <t>июль-август</t>
  </si>
  <si>
    <t>Устройство наружных сетей системы видеонаблюдения на объекте, расположенном по адресу: г.Астана, Административное здание "Изумрудный квартал", Блок Б</t>
  </si>
  <si>
    <t>152 У</t>
  </si>
  <si>
    <t>153 У</t>
  </si>
  <si>
    <t>154 У</t>
  </si>
  <si>
    <t>155 У</t>
  </si>
  <si>
    <t>156 У</t>
  </si>
  <si>
    <t>157 У</t>
  </si>
  <si>
    <t>158 У</t>
  </si>
  <si>
    <t>159 У</t>
  </si>
  <si>
    <t>160 У</t>
  </si>
  <si>
    <t>161 У</t>
  </si>
  <si>
    <t>162 У</t>
  </si>
  <si>
    <t>163 У</t>
  </si>
  <si>
    <t>164 У</t>
  </si>
  <si>
    <t>165 У</t>
  </si>
  <si>
    <t>166 У</t>
  </si>
  <si>
    <t>167 У</t>
  </si>
  <si>
    <t>168 У</t>
  </si>
  <si>
    <t>169 У</t>
  </si>
  <si>
    <t>Обслуживание и сопровождение программы электронного документооборота</t>
  </si>
  <si>
    <t>Энергетическая экспертиза технического состояния котельных установок</t>
  </si>
  <si>
    <t xml:space="preserve">Сервисное обслуживание кабины для курения </t>
  </si>
  <si>
    <t>23 Р</t>
  </si>
  <si>
    <t>24 Р</t>
  </si>
  <si>
    <t>25 Р</t>
  </si>
  <si>
    <t>26 Р</t>
  </si>
  <si>
    <t>27 Р</t>
  </si>
  <si>
    <t>28 Р</t>
  </si>
  <si>
    <t>29 Р</t>
  </si>
  <si>
    <t>30 Р</t>
  </si>
  <si>
    <t>31 Р</t>
  </si>
  <si>
    <t>32 Р</t>
  </si>
  <si>
    <t>33 Р</t>
  </si>
  <si>
    <t>34 Р</t>
  </si>
  <si>
    <t>35 Р</t>
  </si>
  <si>
    <t>36 Р</t>
  </si>
  <si>
    <t>37 Р</t>
  </si>
  <si>
    <t>38 Р</t>
  </si>
  <si>
    <t>39 Р</t>
  </si>
  <si>
    <t>для защиты от химических факторов. ГОСТ 12.4.064-84.</t>
  </si>
  <si>
    <t>14.12.30.00.00.80.15.50.1</t>
  </si>
  <si>
    <t>утепленные, двухпалые</t>
  </si>
  <si>
    <t>20.53.10.00.00.10.40.10.2</t>
  </si>
  <si>
    <t>Пихтовые, эвкалиптовые</t>
  </si>
  <si>
    <t>Сетка</t>
  </si>
  <si>
    <t>для футбольных ворот</t>
  </si>
  <si>
    <t>Шарик</t>
  </si>
  <si>
    <t>шарик для настольного тенниса</t>
  </si>
  <si>
    <t>диаметром 19мм</t>
  </si>
  <si>
    <t>27.51.23.00.00.02.01.10.1</t>
  </si>
  <si>
    <t>Фен</t>
  </si>
  <si>
    <t>из синтетических тканей</t>
  </si>
  <si>
    <t>26.51.51.11.14.26.30.10.1</t>
  </si>
  <si>
    <t>для измерения температуры воды</t>
  </si>
  <si>
    <t>14.19.31.00.00.00.10.30.1</t>
  </si>
  <si>
    <t>Пояс</t>
  </si>
  <si>
    <t>кожаный</t>
  </si>
  <si>
    <t>для штангиста</t>
  </si>
  <si>
    <t>15.20.11.00.00.00.73.12.1</t>
  </si>
  <si>
    <t xml:space="preserve"> Тапочки (сланцы)</t>
  </si>
  <si>
    <t>казарменные, СТ РК 1592-2006</t>
  </si>
  <si>
    <t>28.13.22.00.00.00.13.11.1</t>
  </si>
  <si>
    <t>насос</t>
  </si>
  <si>
    <t>ручной, для накачивания мячей и игрушек, с иглой</t>
  </si>
  <si>
    <t>32.50.42.00.00.00.13.30.1</t>
  </si>
  <si>
    <t>Очки защитные (кроме солнцезащитных) и аналогичные оптические приборы из прочих материалов</t>
  </si>
  <si>
    <t>для плавания</t>
  </si>
  <si>
    <t>14.19.22.00.00.00.29.01.1</t>
  </si>
  <si>
    <t xml:space="preserve"> Шорты</t>
  </si>
  <si>
    <t>Спортивные . Материал -  состав полиэстер 100%, мягкая и легкая влаговыводящая ткань.</t>
  </si>
  <si>
    <t>14.31.10.00.00.00.10.10.1</t>
  </si>
  <si>
    <t>Носки</t>
  </si>
  <si>
    <t>Носки мужские из хлопчатобумажной и смешанной пряжи</t>
  </si>
  <si>
    <t>14.19.22.00.00.00.26.20.1</t>
  </si>
  <si>
    <t>спортивная, мужская из хлопчатобумажных тканей</t>
  </si>
  <si>
    <t>32.30.14.00.00.00.11.60.1</t>
  </si>
  <si>
    <t>Обруч гимнастический</t>
  </si>
  <si>
    <t>17.23.12.70.00.00.00.10.1</t>
  </si>
  <si>
    <t>Грамоты</t>
  </si>
  <si>
    <t>Бумага каллатекс 250гр/м2, А4, фольгирование</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</si>
  <si>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</si>
  <si>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</si>
  <si>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</si>
  <si>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</si>
  <si>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</si>
  <si>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</si>
  <si>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</si>
  <si>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</si>
  <si>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</si>
  <si>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</si>
  <si>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</si>
  <si>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</si>
  <si>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</si>
  <si>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</si>
  <si>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</si>
  <si>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</si>
  <si>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</si>
  <si>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</si>
  <si>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</si>
  <si>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</si>
  <si>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</si>
  <si>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</si>
  <si>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</si>
  <si>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</si>
  <si>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Ф.И.О. и должность ответственного лица, заполнившего данную форму и контактный телефон. Есенбаев Акылбек Есимханович  - заместитель директора департамента организации закупок и мониторинга местного содержания. +7 (7172) 97-98-32</t>
  </si>
  <si>
    <t xml:space="preserve">Посещение "Музея природы" в п.Бурабай, Акмолинская область </t>
  </si>
  <si>
    <t>13.92.12.00.00.44.23.00.1</t>
  </si>
  <si>
    <t>Постельное белье из прочих тканей</t>
  </si>
  <si>
    <t>Двуспальный комплект постельного  белья из прочих тканей высокой плотности плетения (85-120 нитей/см2) . Состоит обычно из одного пододеяльника, одной простыни и двух или четырех наволочек , ГОСТ 31307-2005</t>
  </si>
  <si>
    <t>Размеры: пододеяльник—210*200 см простыни—240*200 см; наволочки 2 штуки— 70*70 см.</t>
  </si>
  <si>
    <t>ОИН</t>
  </si>
  <si>
    <t>13.92.12.00.00.44.52.00.1</t>
  </si>
  <si>
    <t>Полуторный комплект постельного белья из прочих тканей плотности плетения ниже среднего (35-40 нитей/см2) . Состоит обычно из одного пододеяльника, одной простыни и одной или двух наволочек , ГОСТ 31307-2005</t>
  </si>
  <si>
    <t>Размеры: пододеяльник—210*150 см простыни—210*150 см; наволочки 1 штука— 70*70 см.</t>
  </si>
  <si>
    <t>Белье туалетное из махровых тканей</t>
  </si>
  <si>
    <t>Наборы полотенец из махровых тканей. Могут включать от двух полотенец, одного или разных размеров</t>
  </si>
  <si>
    <t>100% хлопок, плотность 550 гр/м2, цвет белый, в наборе три полотенца: под ноги 50х70 см, для лица 50х100 см, банное 70х140 см</t>
  </si>
  <si>
    <t>13.92.16.00.00.10.51.12.1</t>
  </si>
  <si>
    <t>Покрывало</t>
  </si>
  <si>
    <t>Покрывало спальное из прочих тканей, в том числе, смешанных детское, прочих размеров</t>
  </si>
  <si>
    <t>Покрывало хлопчатобумажное стеганное . Размер: 200*140 см</t>
  </si>
  <si>
    <t>Одеяло</t>
  </si>
  <si>
    <t>махровый, белый, размеры от 52 до 60</t>
  </si>
  <si>
    <t>13.92.12.00.00.44.77.01.1</t>
  </si>
  <si>
    <t>Простыня</t>
  </si>
  <si>
    <t>Простыня для бани, хлопок 70%, 30% лен</t>
  </si>
  <si>
    <t>размер: 90х150 см</t>
  </si>
  <si>
    <t>22.19.72.00.00.00.30.10.3</t>
  </si>
  <si>
    <t>Коврик гелевый для душевных комнат</t>
  </si>
  <si>
    <t>коврики для душевых комнат с ворсом</t>
  </si>
  <si>
    <t>15.20.11.00.00.00.72.10.1</t>
  </si>
  <si>
    <t>Тапочки для душа мужские</t>
  </si>
  <si>
    <t>верх и подошва из полимерных материалов</t>
  </si>
  <si>
    <t>сланцы ортопедической формы, толстая подошва</t>
  </si>
  <si>
    <t>сланцы резиновые</t>
  </si>
  <si>
    <t>закрытые, типа чувяков, верх из кожи, на подошве из резины, кожи или полимерных материалов, ГОСТ 1135-2005</t>
  </si>
  <si>
    <t>закрытого типа, верх из кожи</t>
  </si>
  <si>
    <t>22.23.12.00.00.12.18.15.1</t>
  </si>
  <si>
    <t>шторки для душевых кабин</t>
  </si>
  <si>
    <t xml:space="preserve">Ведро для мусора с педалью </t>
  </si>
  <si>
    <t>20.20.14.00.00.00.30.10.3</t>
  </si>
  <si>
    <t>Быстродействующее средство для шоковой дезинфекции воды в бассейне. Подходит для всех типов песочных и навесных фильтров. Препарат эффективен при уровне рН 7,0 - 7,4. Не пенится. Растворяется мгновенно и без остатка. Эффективен в воде любой жесткости.</t>
  </si>
  <si>
    <t>средство для  дезинфекции воды в бассейне. Подходит для всех типов песочных и навесных фильтров. Зеленовато-желтого цвета.</t>
  </si>
  <si>
    <t>20.59.59.00.01.10.00.22.2</t>
  </si>
  <si>
    <t>Коагулянт</t>
  </si>
  <si>
    <t>для очистки воды</t>
  </si>
  <si>
    <t>Щетка для навесного оборудования на МКСМ 800, дисковые полипропиленовые для коммунальной уборочной техники.</t>
  </si>
  <si>
    <t>Щетка для навесного оборудования на МТЗ 80, предназначена для очистки и подметания дворов, дорог, проходных дорожек и других площадей с твердым покрытием.</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</si>
  <si>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</si>
  <si>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</si>
  <si>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</si>
  <si>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</si>
  <si>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</si>
  <si>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</si>
  <si>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</si>
  <si>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</si>
  <si>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</si>
  <si>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</si>
  <si>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</si>
  <si>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</si>
  <si>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</si>
  <si>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</si>
  <si>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</si>
  <si>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</si>
  <si>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</si>
  <si>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</si>
  <si>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</si>
  <si>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</si>
  <si>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</si>
  <si>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</si>
  <si>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Энергетическая экспертиза технического состояния электроустановок</t>
  </si>
  <si>
    <t>61.20.50.10.00.00.00</t>
  </si>
  <si>
    <t>Услуги по распространению программ по сетям беспроводным</t>
  </si>
  <si>
    <t>Услуги по распространению программ</t>
  </si>
  <si>
    <t>Услуги по распространению программ через спутниковую связь</t>
  </si>
  <si>
    <t>Услуга по общей наружной чистки зданий</t>
  </si>
  <si>
    <t>мойка фасада, купола административного здания</t>
  </si>
  <si>
    <t>ежемесячная мойка окон общей площадью 690 м2.</t>
  </si>
  <si>
    <t>Рассаживание, обработка и обслуживание: растительности для промышленных и коммерческих зданий (сады на крышах домов, растительность на фасадах зданий и внутри)</t>
  </si>
  <si>
    <t>84.25.11.14.00.00.00</t>
  </si>
  <si>
    <t>Услуги по обработке огнезащитным составом деревянных поверхностей</t>
  </si>
  <si>
    <t>обработка огнезащитным составом деревянных поверхностей</t>
  </si>
  <si>
    <t>Услуги по предоставлению лицензий на право использования антивирусного программного обеспечения</t>
  </si>
  <si>
    <t>62.02.30.30.00.00.00</t>
  </si>
  <si>
    <t>Услуги по обновлению программного обеспечения</t>
  </si>
  <si>
    <t>Услуги по обновлению существующего  программного обеспечения</t>
  </si>
  <si>
    <t>95.11.10.22.10.10.00</t>
  </si>
  <si>
    <t>Услуги по техническому обслуживанию системы аудиоконференцсвязи</t>
  </si>
  <si>
    <t>84.25.19.20.10.01.00</t>
  </si>
  <si>
    <t>Услуги по обслуживанию пожарного инвентаря</t>
  </si>
  <si>
    <t>43.21.10.10.40.10.00</t>
  </si>
  <si>
    <t>Услуги по техническому обслуживанию кабельных сетей</t>
  </si>
  <si>
    <t>Услуги экспресс почты</t>
  </si>
  <si>
    <t>49.41.19.20.10.00.00</t>
  </si>
  <si>
    <t>Услуги автомобильного транспорта по перевозкам прочих потребительских товаров</t>
  </si>
  <si>
    <t>86.90.19.19.15.00.00</t>
  </si>
  <si>
    <t>Услуги по периодическому медицинскому осмотру персонала</t>
  </si>
  <si>
    <t>ежегодный плановый медицинский осмотр работников филиала Товарищества в г.Павлодар</t>
  </si>
  <si>
    <t>84.24.19.22.10.00.00</t>
  </si>
  <si>
    <t>Услуги по организации и обеспечению контрольно-пропускного режима</t>
  </si>
  <si>
    <t>Услуги по организации въезда автотранспорта на первую линию аэропорта для высадки/посадки пассажиров</t>
  </si>
  <si>
    <t>май-июнь</t>
  </si>
  <si>
    <t>Услуги по страхованию объектов, расположенных по адресу: Акмолинская область, пос. Зеренда (ОК Сункар и ДО Малиновый Мыс)</t>
  </si>
  <si>
    <t>Услуги по страхованию бизнес-центра в г. Ташкент, Республики Узбекистан</t>
  </si>
  <si>
    <t>65.12.50.40.00.00.03</t>
  </si>
  <si>
    <t>Услуги по страхованию ответственности турагентов и туроператоров</t>
  </si>
  <si>
    <t>39.00.23.11.00.00.00</t>
  </si>
  <si>
    <t>Услуги контроля за выбросом вредных веществ</t>
  </si>
  <si>
    <t>Замер выброса вредных веществ в атмосферный воздух или вредного физического воздействия на него с применением специализированного оборудования</t>
  </si>
  <si>
    <t>38.22.29.30.10.15.00</t>
  </si>
  <si>
    <t>Услуги по утилизации компьютеров и оргтехники</t>
  </si>
  <si>
    <t>Услуги обезвреживания ртутьсодержащих ламп с  извлечением содержащейся в них ртути и/или ее соединений</t>
  </si>
  <si>
    <t xml:space="preserve">Услуги по фотографированию событий с использованием цветных фотографий 
</t>
  </si>
  <si>
    <t>73.11.11.10.10.00.00</t>
  </si>
  <si>
    <t>Услуги по созданию и размещению рекламы на радио, телевидении и наружной рекламы</t>
  </si>
  <si>
    <t>Грузия</t>
  </si>
  <si>
    <t>Услуги по оценке Музея истории Казахстана в г.Астана для передачи в Министерство культуры и спорта РК</t>
  </si>
  <si>
    <t>г.Ташкент, Республика Узбекистан</t>
  </si>
  <si>
    <t>Услуги по оценке активов/объектов, передаваемых в коммунальную собственность</t>
  </si>
  <si>
    <t>74.90.12.20.13.10.00</t>
  </si>
  <si>
    <t>Услуги по оценке автотранспортных средств</t>
  </si>
  <si>
    <t>Услуги по проведению ревизий финансовых</t>
  </si>
  <si>
    <t>70.22.30.15.00.00.00</t>
  </si>
  <si>
    <t>Услуги наблюдательного аудита</t>
  </si>
  <si>
    <t>70.22.30.17.00.00.00</t>
  </si>
  <si>
    <t>Наблюдательный аудит системы менеджмента на соответствие требованиям национальных (государственных) стандартов</t>
  </si>
  <si>
    <t>70.22.30.30.10.00.00</t>
  </si>
  <si>
    <t>Услуги по сертификации систем менеджемента</t>
  </si>
  <si>
    <t>на соответствие международным стандартам (ИСО 50001-2011)</t>
  </si>
  <si>
    <t>71.20.19.18.00.00.00</t>
  </si>
  <si>
    <t>Услуги по сертификации</t>
  </si>
  <si>
    <t>Услуги сертификации в соответствии с  обязательной сертификацией товаров, работ, услуг</t>
  </si>
  <si>
    <t>Услуги туристические экскурсионные</t>
  </si>
  <si>
    <t>85.59.19.20.05.01.00</t>
  </si>
  <si>
    <t>Услуги педагогического отряда</t>
  </si>
  <si>
    <t>Оказание педагогической поддержки и организации отдыха, досуга и занятости детей и подростков</t>
  </si>
  <si>
    <t>62.09.20.20.80.10.00</t>
  </si>
  <si>
    <t>Услуги по пользованию информационной системой электронных закупок</t>
  </si>
  <si>
    <t>58.12.20.15.00.00.00</t>
  </si>
  <si>
    <t>Услуги по актуализации Единого номенклатурного справочника товаров, работ и услуг</t>
  </si>
  <si>
    <t>Услуги по техническому сопровождению карты мониторинга местного содержания</t>
  </si>
  <si>
    <t>Услуги, оказываемые в соответствии с Концепцией развития Карты мониторинга местного содержания</t>
  </si>
  <si>
    <t>43.21.10.10.30.11.00</t>
  </si>
  <si>
    <t>Услуги по устройству системы видеонаблюдения</t>
  </si>
  <si>
    <t>Услуги, связанные с устройством системы видеонаблюдения на объекте</t>
  </si>
  <si>
    <t>Подготовка, переподготовка и повышение квалификации работников,включая организацию обучающих тренингов и семинаров</t>
  </si>
  <si>
    <t>20.15.59.00.00.00.00.10.1</t>
  </si>
  <si>
    <t>Гумат калия</t>
  </si>
  <si>
    <t>комплексное концентрированное органоминеральное удобрение, стимулятор роста и развития растений</t>
  </si>
  <si>
    <t>Для цветов и комнаиных растений, упаковка (флакон) объем 125 мл</t>
  </si>
  <si>
    <t>20.15.59.20.20.20.10.00.1</t>
  </si>
  <si>
    <t>Удобрение</t>
  </si>
  <si>
    <t>с содержанием калия</t>
  </si>
  <si>
    <t>Стимулятор корнеобразования, объем 10 гр, упаковка (флакон)</t>
  </si>
  <si>
    <t>32.99.84.10.00.00.00.12.1</t>
  </si>
  <si>
    <t>Дренаж</t>
  </si>
  <si>
    <t>для посадки комнатных растений</t>
  </si>
  <si>
    <t>дренаж в упаковке объемом 2 л.</t>
  </si>
  <si>
    <t>08.92.10.00.00.00.00.30.1</t>
  </si>
  <si>
    <t xml:space="preserve">Торф </t>
  </si>
  <si>
    <t>Торф для сельского хозяйства фрезерный</t>
  </si>
  <si>
    <t>Земля "Универсал", Особенностью грунтов являются: повышенная влагоемкость, аэрируемость (пористость или воздухопроницаемость), высокая степень измельчения, сухость и легкость субстрата, однородность (отсутствие посторонних вкраплений и мусора), отсутствие вредителей, полный набор макро− и микроэлементов, кислотность (рН) – слабокислая или близкая к нейтральной, в мешке 50л (1л=2,5кг)</t>
  </si>
  <si>
    <t>20.15.79.00.00.00.30.10.2</t>
  </si>
  <si>
    <t>для хвойных растений</t>
  </si>
  <si>
    <t>Удобрение для хвойных растений,  флакон объемом 250 мл</t>
  </si>
  <si>
    <t>20.59.59.00.15.00.00.96.1</t>
  </si>
  <si>
    <t>Ядохимикат</t>
  </si>
  <si>
    <t>для цветов</t>
  </si>
  <si>
    <t>Для цветов от грибковых заболеваний (Био-фунгицид),  упаковка объемом 4 мл.</t>
  </si>
  <si>
    <t>20.15.71.00.00.00.20.10.2</t>
  </si>
  <si>
    <t>Удобрения содержащие три питательных элемента: азот, фосфор и калий, не более 10% азота</t>
  </si>
  <si>
    <t>Высококонцентрированные удобрения, которое содержит азот, фосфор и калий в хорошо усвояемой растениями, преимущественно водорастворимой форме</t>
  </si>
  <si>
    <t>универсальное удобрение для цветов и растений. Упавковка 5 кг</t>
  </si>
  <si>
    <t>Универсальное удобрение для хвои. Упаковка объемом 1 кг</t>
  </si>
  <si>
    <t>тип цоколя Е40 мощность 250вт</t>
  </si>
  <si>
    <t>Галогенная лампа накаливания</t>
  </si>
  <si>
    <t>Лампы люминесцентные</t>
  </si>
  <si>
    <t>s10</t>
  </si>
  <si>
    <t>s2</t>
  </si>
  <si>
    <t>T5</t>
  </si>
  <si>
    <t>T9</t>
  </si>
  <si>
    <t>27.40.15.00.00.12.10.32.1</t>
  </si>
  <si>
    <t>Лампа люминесцентная</t>
  </si>
  <si>
    <t>энергосберегающая, тип цоколя Е-27, мощность 32 Ватт</t>
  </si>
  <si>
    <t>27.40.15.00.00.13.01.00.1</t>
  </si>
  <si>
    <t>компактная (энергосберегающая)</t>
  </si>
  <si>
    <t>R63</t>
  </si>
  <si>
    <t>27.40.15.00.00.12.10.25.1</t>
  </si>
  <si>
    <t>энергосберегающая, тип цоколя Е-27, мощность 25 Ватт</t>
  </si>
  <si>
    <t>27.40.15.00.00.12.10.20.1</t>
  </si>
  <si>
    <t>энергосберегающая, тип цоколя Е-27, мощность 20 Ватт</t>
  </si>
  <si>
    <t>36 Вт</t>
  </si>
  <si>
    <t>18 Вт</t>
  </si>
  <si>
    <t>27.40.21.00.00.10.25.10.1</t>
  </si>
  <si>
    <t>светодиодный</t>
  </si>
  <si>
    <t>СС110 402-1-Н-036-В-КИ, 21W, 5500K</t>
  </si>
  <si>
    <t>27.40.39.10.10.10.10.00.1</t>
  </si>
  <si>
    <t>Лампа</t>
  </si>
  <si>
    <t>светодиодная</t>
  </si>
  <si>
    <t>Выходить здесь</t>
  </si>
  <si>
    <t>IP50</t>
  </si>
  <si>
    <t>ГОСТ 17677-82, источник света (лампа) С - лампы-светильники (зеркальные и диффузные)</t>
  </si>
  <si>
    <t>SPOT 1х50Вт</t>
  </si>
  <si>
    <t>С лампой накаливания до 100Вт, IP20, типа НПО</t>
  </si>
  <si>
    <t>С лампой накаливания до 100Вт, IP54, типа НББ</t>
  </si>
  <si>
    <t>С2а -  двухполюсная, с боковыми заземляющими контактами, расчитана на силу тока не более 10/16 А, напряжение - 250 В. ГОСТ 7396.1-89</t>
  </si>
  <si>
    <t>27.32.13.00.02.01.37.40.2</t>
  </si>
  <si>
    <t xml:space="preserve">ВВГнгLS  3х1,5 мм2
</t>
  </si>
  <si>
    <t>27.32.13.00.02.01.27.37.1</t>
  </si>
  <si>
    <t>АВВГ 4*6</t>
  </si>
  <si>
    <t>27.12.22.11.14.12.11.30.1</t>
  </si>
  <si>
    <t>Выключатель автоматический</t>
  </si>
  <si>
    <t>трехполюсный, с магнитным размыкателем (расцепитель), типа С, для размыкания осветительных цепей и установок с умеренными пусковыми токами (двигатели и трансформаторы).</t>
  </si>
  <si>
    <t>27.12.22.11.11.11.11.30.1</t>
  </si>
  <si>
    <t>РА-930-85</t>
  </si>
  <si>
    <t xml:space="preserve">РА-930-80 </t>
  </si>
  <si>
    <t>AME15 QM, 24V</t>
  </si>
  <si>
    <t xml:space="preserve">220 VAC, 4P, R4-2014-23-5230-WT </t>
  </si>
  <si>
    <t xml:space="preserve">24 VAC, 2P,  RXM2AB1B7 </t>
  </si>
  <si>
    <t xml:space="preserve">24 VDC, 2P,  RT424024 </t>
  </si>
  <si>
    <t>28.30.93.00.00.00.12.15.1</t>
  </si>
  <si>
    <t>28.29.86.15.00.00.13.10.1</t>
  </si>
  <si>
    <t>Электроклапан</t>
  </si>
  <si>
    <t>для портальной машины плазменной резки</t>
  </si>
  <si>
    <t xml:space="preserve">220V-1PH-5W, VLV26 </t>
  </si>
  <si>
    <t xml:space="preserve">IEK КМИ10910 </t>
  </si>
  <si>
    <t xml:space="preserve">Элмарк LY4 </t>
  </si>
  <si>
    <t xml:space="preserve">IEK рэк77/4 </t>
  </si>
  <si>
    <t>25.73.30.00.00.16.09.09.1</t>
  </si>
  <si>
    <t>Ключи гаечные</t>
  </si>
  <si>
    <t>25.73.30.00.00.16.08.40.1</t>
  </si>
  <si>
    <t>Набор ключей</t>
  </si>
  <si>
    <t>для винтов с внутренним шестигранником, ГОСТ 11737-93</t>
  </si>
  <si>
    <t>28.13.24.00.00.00.10.10.1</t>
  </si>
  <si>
    <t>компрессор воздушный</t>
  </si>
  <si>
    <t>компрессор воздушный на колесных шасси буксируемые производительностью 2 м3/мин, давлением до 7атм., мощностью до 18 кВт</t>
  </si>
  <si>
    <t>25.94.13.00.00.10.32.10.1</t>
  </si>
  <si>
    <t>Инструменты для электрика</t>
  </si>
  <si>
    <t>Инструмент для электрика</t>
  </si>
  <si>
    <t>26.51.51.16.15.13.11.13.1</t>
  </si>
  <si>
    <t>Ареометр</t>
  </si>
  <si>
    <t>АЭ-3. Диапазон измерения плотности 1200-1280 кг/м.куб.</t>
  </si>
  <si>
    <t>26.51.66.25.00.00.13.10.1</t>
  </si>
  <si>
    <t>Люксметр</t>
  </si>
  <si>
    <t>прибор для определения светового потока, диапазон измерения 0-100000 Люкс, рабочая температура 0-+50 °C, температура хранения -20-+70 °C, батарейка 9 В</t>
  </si>
  <si>
    <t>26.51.43.11.11.15.33.02.1</t>
  </si>
  <si>
    <t>Мегаомметр</t>
  </si>
  <si>
    <t>диапазон измерений 0-5, 0-50, 50-10000 МОм</t>
  </si>
  <si>
    <t>25.73.30.00.00.14.17.13.1</t>
  </si>
  <si>
    <t>Клещи</t>
  </si>
  <si>
    <t>Электроизмерительные клещи. Прибор для измерения силы тока и электрического напряжения в сильноточных и высоковольтных линиях без электрического контакта с токонесущими проводами</t>
  </si>
  <si>
    <t>до 100апер</t>
  </si>
  <si>
    <t>25.73.30.00.00.14.17.50.1</t>
  </si>
  <si>
    <t>Кусачки (бокорез)</t>
  </si>
  <si>
    <t>инструмент для резки (перекусывания)</t>
  </si>
  <si>
    <t>до 1000 вольт</t>
  </si>
  <si>
    <t xml:space="preserve">свыше 1000 вольт </t>
  </si>
  <si>
    <t>26.51.45.00.00.00.04.40.1</t>
  </si>
  <si>
    <t>Указатель напряжения</t>
  </si>
  <si>
    <t>однополюсный, свыше 1000 В</t>
  </si>
  <si>
    <t>свыше 1000 вольт</t>
  </si>
  <si>
    <t>22.19.72.00.00.10.20.20.2</t>
  </si>
  <si>
    <t>Ковер диэлектрический</t>
  </si>
  <si>
    <t>Ковер  диэлектрический резиновый второй группы длиной от 1000мм до 8000мм, шириной от 500мм до 1200мм.  ГОСТ 4997-75</t>
  </si>
  <si>
    <t xml:space="preserve">Лампа R50 40W E14 </t>
  </si>
  <si>
    <t xml:space="preserve">Лампа R50 60W E14 </t>
  </si>
  <si>
    <t xml:space="preserve">Лампа R63 60W E27 </t>
  </si>
  <si>
    <t xml:space="preserve">Лампа R80 100W E27 </t>
  </si>
  <si>
    <t xml:space="preserve">Лампа Metal Halide MH-T 70W G12 </t>
  </si>
  <si>
    <t>27.40.12.00.00.20.60.55.1</t>
  </si>
  <si>
    <t>Галогенная лампа накаливания, тип цоколя E27, мощность 400 Вт</t>
  </si>
  <si>
    <t xml:space="preserve">Лампа Mеttal Halide BT 400W E40 </t>
  </si>
  <si>
    <t>27.40.15.00.00.10.50.37.1</t>
  </si>
  <si>
    <t>Лампа люминесцентная, тип цоколя G13, мощность 58 Ватт</t>
  </si>
  <si>
    <t>Лампа люминесцентная Т8/F58W/DL (SURELITE)</t>
  </si>
  <si>
    <t>27.40.15.00.00.10.50.18.1</t>
  </si>
  <si>
    <t>Лампа люминесцентная, тип цоколя G13, мощность 13 Ватт</t>
  </si>
  <si>
    <t>Лампа люминесцентная Т8/F36W</t>
  </si>
  <si>
    <t xml:space="preserve">Лампа люминесцентная Т8/F18W </t>
  </si>
  <si>
    <t xml:space="preserve">Лампа PLC 13W 840 (2PIN)  </t>
  </si>
  <si>
    <t>Лампа PLC 18W 840 (2PIN)</t>
  </si>
  <si>
    <t xml:space="preserve">Лампа KAPSUL JCD 220V 50W GU6, 35 (SURELITE) </t>
  </si>
  <si>
    <t>Двухцокольная галогеновая лампа 150Вт Rx7s</t>
  </si>
  <si>
    <t>Лампы накаливания Е27 220В, мощ. 59 Вт</t>
  </si>
  <si>
    <t>27.40.15.00.00.12.10.15.1</t>
  </si>
  <si>
    <t>энергосберегающая, тип цоколя Е-27, мощность 15 Ватт</t>
  </si>
  <si>
    <t>Лампа SPIRAL 15W E27 827 8000h NEW (TECHN)</t>
  </si>
  <si>
    <t>Лампа SPIRAL 22W E27 827 8000h NEW (TECHN)</t>
  </si>
  <si>
    <t>27.40.15.00.00.10.60.10.1</t>
  </si>
  <si>
    <t>Лампа люминесцентная, тип цоколя Е14, мощность 60 Ватт</t>
  </si>
  <si>
    <t>Лампа Saving R50 8W 827K E14</t>
  </si>
  <si>
    <t>27.40.15.00.00.13.05.11.1</t>
  </si>
  <si>
    <t>Лампа люминесцентная, цоколь Е14, мощность 10 Ватт</t>
  </si>
  <si>
    <t>Лампа Saving R63 11W 827K E27</t>
  </si>
  <si>
    <t>Лампа МR16 220V-50W</t>
  </si>
  <si>
    <t>Лампа люминесцентная, тип цоколя G13, мощность 80 Ватт</t>
  </si>
  <si>
    <t>Лампа LED 4W KES-033</t>
  </si>
  <si>
    <t>Лампа LED 3W KDL-270</t>
  </si>
  <si>
    <t>Дроссель Electronic ballast  1*36W</t>
  </si>
  <si>
    <t>Дроссель Electronic ballast 18W</t>
  </si>
  <si>
    <t>Дроссель Electronic ballast  2*36W</t>
  </si>
  <si>
    <t>Дроссель Sodium ballast 250W  (TEKSAN)</t>
  </si>
  <si>
    <t>Дроссель Sodium ballast 400W  (TEKSAN)</t>
  </si>
  <si>
    <t>Светильник настенный E27</t>
  </si>
  <si>
    <t>23.19.24.00.00.00.10.13.1</t>
  </si>
  <si>
    <t>Шар</t>
  </si>
  <si>
    <t>Шар для украшения люстр</t>
  </si>
  <si>
    <t>Шар D 350 Opal</t>
  </si>
  <si>
    <t xml:space="preserve">Спот FR63 Plain ring GS матов с/без/о </t>
  </si>
  <si>
    <t>Спот R50 LN 1109 SGG</t>
  </si>
  <si>
    <t xml:space="preserve">Спот R80 Round ring CH </t>
  </si>
  <si>
    <t xml:space="preserve">27.33.13.00.00.00.02.01.1 </t>
  </si>
  <si>
    <t>С2а - двухполюсная, с боковыми заземляющими контактами, расчитана на силу тока не более 10/16 А, напряжение - 250 В. ГОСТ 7396.1-89</t>
  </si>
  <si>
    <t xml:space="preserve">Выключатель C-023- LIB  двухкл. белый (1*10/200) Sirius </t>
  </si>
  <si>
    <t>27.12.31.20.11.12.00.01.1</t>
  </si>
  <si>
    <t>Пускатель магнитный</t>
  </si>
  <si>
    <t>Пускатель КМЭ 18А 220В IP65 ((p) 1210) EKF</t>
  </si>
  <si>
    <t>Пускатель КМЭ 25А 220В IP65 ((p) 2510) EKF</t>
  </si>
  <si>
    <t>Пускатель КМЭ 32А 220В IP65 ((p) 3210) EKF</t>
  </si>
  <si>
    <t>27.12.23.20.12.11.11.12.1</t>
  </si>
  <si>
    <t>серии КТУ</t>
  </si>
  <si>
    <t>Контактор КТ 6023Б 220В (160А)</t>
  </si>
  <si>
    <t>Контактор КТ 6043 400А</t>
  </si>
  <si>
    <t>27.12.31.12.11.11.11.10.2</t>
  </si>
  <si>
    <t>Щит учетно-распределительный</t>
  </si>
  <si>
    <t>типа ЩРВ, для изготовления электро-щитового оборудования (учетнораспределительных щитов с использованием модульной аппаратуры и счетчиков), для защиты сетей от токов перегрузки и короткого замыкания.</t>
  </si>
  <si>
    <t>Серии ЩК4П. Компактность щитка, вместимость 12, 24, 36 и прочие модулей. Имеются исполнения под установку счетчиков только реечного исполнения (в корпусах Р4, Р5, Р8 (Р31) и др. ). Имеются исполнения с однофазным и трехфазным вводом в квартиру и другие</t>
  </si>
  <si>
    <t xml:space="preserve">Корпус щита пылевлагозащищенный 24мод Kaedra </t>
  </si>
  <si>
    <t>Коробка распаечная под гипс глуб.ALS/KASA H-60  KSC 11-101</t>
  </si>
  <si>
    <t>Коробка распаечная под гипс средн.ALS/KASA H-45  KSC 11-103</t>
  </si>
  <si>
    <t xml:space="preserve">Коробка распаячная для открытого монтажа (11-309А) </t>
  </si>
  <si>
    <t>Коробка распаячная для открытого монтажа 65*65*40 KSC 11-302</t>
  </si>
  <si>
    <t>22.23.14.00.00.82.10.13.1</t>
  </si>
  <si>
    <t>кабель-канал с одним замком, размеры 20х10</t>
  </si>
  <si>
    <t xml:space="preserve">Изолента ПВХ высший сорт </t>
  </si>
  <si>
    <t>13.99.19.00.00.00.20.10.2</t>
  </si>
  <si>
    <t>Изолента Х/Б</t>
  </si>
  <si>
    <t>22.23.14.00.00.83.10.10.1</t>
  </si>
  <si>
    <t>аксессуары для кабель-каналов</t>
  </si>
  <si>
    <t>Сизы Р71</t>
  </si>
  <si>
    <t>Сизы Р72</t>
  </si>
  <si>
    <t>Сизы Р75</t>
  </si>
  <si>
    <t>Вилка однофазная с/з F-01</t>
  </si>
  <si>
    <t>Штепсельное гнездо с/з F-02</t>
  </si>
  <si>
    <t>27.40.24.00.00.10.11.14.1</t>
  </si>
  <si>
    <t>Предупреждающий знак</t>
  </si>
  <si>
    <t>Осторожно! Электрическое напряжение</t>
  </si>
  <si>
    <t>Знак "220В" 35*100мм (самоклеющийся) (А31)</t>
  </si>
  <si>
    <t>Знак "380В" 35*100мм (самоклеющийся) (А31)</t>
  </si>
  <si>
    <t xml:space="preserve">Знак "Молния" в треугольнике 100мм (самоклеющийся) </t>
  </si>
  <si>
    <t xml:space="preserve">Знак "Молния" в треугольнике 150мм (самоклеющийся) </t>
  </si>
  <si>
    <t>22.21.41.00.00.10.10.11.1</t>
  </si>
  <si>
    <t>перфорированная пленка</t>
  </si>
  <si>
    <t>Труба термо усадочная Т2 д.16мм</t>
  </si>
  <si>
    <t>Труба термо усадочная Т2 д.25мм</t>
  </si>
  <si>
    <t>Труба термо усадочная Т2 д.35мм</t>
  </si>
  <si>
    <t>Труба термо усадочная Т2 д.60мм</t>
  </si>
  <si>
    <t>24.20.13.03.00.00.02.01.1</t>
  </si>
  <si>
    <t>Рукав металлический (металлорукав)</t>
  </si>
  <si>
    <t>стальной, оболочка типа РГТС - рукав герметичный трубный и из трубных сварных заготовок, диаметром Dу 20 мм</t>
  </si>
  <si>
    <t>для обеспечения изоляции</t>
  </si>
  <si>
    <t>27.40.42.00.00.00.06.01.1</t>
  </si>
  <si>
    <t>для светодиодных ламп</t>
  </si>
  <si>
    <t>цоколь Е-27</t>
  </si>
  <si>
    <t>25.40.13.00.00.40.15.10.1</t>
  </si>
  <si>
    <t>патрон</t>
  </si>
  <si>
    <t>вышибной</t>
  </si>
  <si>
    <t>для подключения вилки с заземлением</t>
  </si>
  <si>
    <t>22.21.29.00.00.26.10.50.1</t>
  </si>
  <si>
    <t>кабельный из полиамида</t>
  </si>
  <si>
    <t>Тайсы-хомуты, для крепления кабеля</t>
  </si>
  <si>
    <t>Предохранитель</t>
  </si>
  <si>
    <t>г.Атырау, Административное здание по ул.З.Гумарова, 94</t>
  </si>
  <si>
    <t>27.40.12.00.00.20.60.27.1</t>
  </si>
  <si>
    <t>Галогенная лампа накаливания, тип цоколя E27, мощность 25 Вт</t>
  </si>
  <si>
    <t>27.40.12.00.00.20.81.12.1</t>
  </si>
  <si>
    <t>Галогенная лампа, тип цоколя J-78, мощность 150 Вт</t>
  </si>
  <si>
    <t>523-03008</t>
  </si>
  <si>
    <t xml:space="preserve"> 523-03009</t>
  </si>
  <si>
    <t>27.40.12.00.00.20.60.37.1</t>
  </si>
  <si>
    <t>Галогенная лампа накаливания, тип цоколя E27, мощность 58 Вт</t>
  </si>
  <si>
    <t>27.40.15.00.00.10.40.32.1</t>
  </si>
  <si>
    <t>Лампа люминесцентная, тип цоколя 2G7, мощность 36 Ватт</t>
  </si>
  <si>
    <t>27.40.15.00.00.10.40.21.1</t>
  </si>
  <si>
    <t>Лампа люминесцентная, тип цоколя 2G7, мощность 18 Ватт</t>
  </si>
  <si>
    <t>Дрюссель для люминенсцентных ламп L 18/20 G800</t>
  </si>
  <si>
    <t>Дрюссель для люминенсцентных ламп L 36/20 G800</t>
  </si>
  <si>
    <t>27.40.21.00.00.10.13.11.1</t>
  </si>
  <si>
    <t>Светильник настенный круглый (таблетка)</t>
  </si>
  <si>
    <t>Встраиваемая серия V 4*18 (ТИП: ЛВО) 418Е 600*600</t>
  </si>
  <si>
    <t>Провод ПВС 3х2,5 мм2 с двойной изоляцией</t>
  </si>
  <si>
    <t>27.33.13.00.00.00.03.04.1</t>
  </si>
  <si>
    <t>Вилка-розетка</t>
  </si>
  <si>
    <t>Трехполюсные, расчитаные на напряжение более 250 В и силу тока свыше 16 А.</t>
  </si>
  <si>
    <t>27.33.13.00.00.00.02.08.1</t>
  </si>
  <si>
    <t>С защитой от проникновения, расчитана на силу тока не более 10/16 А, напряжение - 250 В</t>
  </si>
  <si>
    <t>Встроенного типа, напряжением до 250В, максимальной ток. Нагрузки 16А</t>
  </si>
  <si>
    <t>26.30.30.15.00.00.10.01.1</t>
  </si>
  <si>
    <t>RJ 11, 1 порт</t>
  </si>
  <si>
    <t>27.12.22.11.11.12.11.10.1</t>
  </si>
  <si>
    <t>однополюсный, с магнитным размыкателем (расцепитель),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</si>
  <si>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13.99.19.00.00.00.20.11.1</t>
  </si>
  <si>
    <t>двусторонняя, ГОСТ 2162-97</t>
  </si>
  <si>
    <t>Выключатель автомотический однополосной 25А Р1</t>
  </si>
  <si>
    <t>Выключатель автомотический однополосной 32А Р1</t>
  </si>
  <si>
    <t>Выключатель автомотический однополосной 25А Р3</t>
  </si>
  <si>
    <t>Выключатель автомотический однополосной 100А Р3</t>
  </si>
  <si>
    <t>Выключатель автомотический однополосной 40А Р3</t>
  </si>
  <si>
    <t>Выключатель автомотический однополосной 16А Р1</t>
  </si>
  <si>
    <t>Выключатель автомотический однополосной 32А Р3</t>
  </si>
  <si>
    <t>Выключатель автомотический однополосной 10А Р3</t>
  </si>
  <si>
    <t>Светильники на 4 лампы</t>
  </si>
  <si>
    <t>Светильники на 2 ламповые</t>
  </si>
  <si>
    <t>26.30.21.00.02.18.10.11.1</t>
  </si>
  <si>
    <t>внешняя, для кросс-панелей</t>
  </si>
  <si>
    <t>розетка тв</t>
  </si>
  <si>
    <t>27.40.15.00.00.10.30.21.1</t>
  </si>
  <si>
    <t>Лампа люминесцентная, тип цоколя 2G10, мощность 18 Ватт</t>
  </si>
  <si>
    <t>18W 840 (2pln)</t>
  </si>
  <si>
    <t>27.40.15.00.00.10.30.35.1</t>
  </si>
  <si>
    <t>Лампа люминесцентная, тип цоколя 2G10, мощность 50 Ватт</t>
  </si>
  <si>
    <t>27.40.15.00.00.10.30.22.1</t>
  </si>
  <si>
    <t>Лампа люминесцентная, тип цоколя 2G10, мощность 20 Ватт</t>
  </si>
  <si>
    <t>27.40.12.00.00.20.81.33.1</t>
  </si>
  <si>
    <t>Галогенная лампа, тип цоколя J-118, мощность 300 Вт</t>
  </si>
  <si>
    <t>T8 E8 228-20W 1x18W</t>
  </si>
  <si>
    <t>L38/20 G800</t>
  </si>
  <si>
    <t>27.12.31.20.91.10.10.01.1</t>
  </si>
  <si>
    <t>Пускатель электромагнитный</t>
  </si>
  <si>
    <t>серии ПВИ, взрывобезопасный, номинальный ток: 125 A</t>
  </si>
  <si>
    <t>27.40.15.00.00.10.30.18.1</t>
  </si>
  <si>
    <t>Лампа люминесцентная, тип цоколя 2G10, мощность 13 Ватт</t>
  </si>
  <si>
    <t>27.40.15.00.00.10.30.28.1</t>
  </si>
  <si>
    <t>Лампа люминесцентная, тип цоколя 2G10, мощность 26 Ватт</t>
  </si>
  <si>
    <t>27.40.12.00.00.20.70.35.1</t>
  </si>
  <si>
    <t>Галогенная лампа накаливания, тип цоколя E14, мощность 50 Вт</t>
  </si>
  <si>
    <t>27.40.12.00.00.20.70.22.1</t>
  </si>
  <si>
    <t>Галогенная лампа накаливания, тип цоколя E14, мощность 20 Вт</t>
  </si>
  <si>
    <t>27.40.12.00.00.20.60.16.1</t>
  </si>
  <si>
    <t>Галогенная лампа накаливания, тип цоколя E27, мощность 11 Вт</t>
  </si>
  <si>
    <t>27.40.12.00.00.20.70.59.1</t>
  </si>
  <si>
    <t>Галогенная лампа накаливания, тип цоколя E14, мощность 1000 Вт</t>
  </si>
  <si>
    <t>27.40.12.00.00.20.50.59.1</t>
  </si>
  <si>
    <t>Галогенная лампа накаливания, тип цоколя R7S, мощность 1000 Вт</t>
  </si>
  <si>
    <t>L26/20.G800</t>
  </si>
  <si>
    <t>T-8 F16W/54 DL</t>
  </si>
  <si>
    <t>T-8 F18W/54 DL</t>
  </si>
  <si>
    <t>27.40.15.00.00.10.50.33.1</t>
  </si>
  <si>
    <t>Лампа люминесцентная, тип цоколя G13, мощность 40 Ватт</t>
  </si>
  <si>
    <t>27.40.12.00.00.10.10.84.1</t>
  </si>
  <si>
    <t>27.40.12.00.00.20.30.38.1</t>
  </si>
  <si>
    <t>Галогенная лампа накаливания, тип цоколя GU6.35, мощность 60 Вт</t>
  </si>
  <si>
    <t>27.40.12.00.00.20.20.38.1</t>
  </si>
  <si>
    <t>Галогенная лампа накаливания, тип цоколя GU5.3, мощность 60 Вт</t>
  </si>
  <si>
    <t>LED C37 6,5W 3000К/4000К Е14</t>
  </si>
  <si>
    <t>150 В</t>
  </si>
  <si>
    <t>500 В</t>
  </si>
  <si>
    <t>200 В</t>
  </si>
  <si>
    <t>1000 В</t>
  </si>
  <si>
    <t>27.40.12.00.00.20.87.10.1</t>
  </si>
  <si>
    <t>60 В</t>
  </si>
  <si>
    <t>40 В</t>
  </si>
  <si>
    <t>27.32.13.00.02.04.29.01.1</t>
  </si>
  <si>
    <t>TTR 2х0,75</t>
  </si>
  <si>
    <t>27.32.13.00.02.04.29.03.1</t>
  </si>
  <si>
    <t>TTR 2х1,5</t>
  </si>
  <si>
    <t>27.32.13.00.02.04.29.04.1</t>
  </si>
  <si>
    <t>TTR 2х2,5</t>
  </si>
  <si>
    <t>27.32.13.00.02.04.29.15.1</t>
  </si>
  <si>
    <t>TTR 4х2,5</t>
  </si>
  <si>
    <t>27.32.13.00.02.01.27.20.1</t>
  </si>
  <si>
    <t>27.32.13.00.02.01.83.10.1</t>
  </si>
  <si>
    <t>КПСРВМ 2х2.5</t>
  </si>
  <si>
    <t>27.32.13.00.02.01.27.30.1</t>
  </si>
  <si>
    <t>АВВГ 3*150+1*70</t>
  </si>
  <si>
    <t>27.32.13.00.02.04.04.03.1</t>
  </si>
  <si>
    <t>КСПВ 4*0,5</t>
  </si>
  <si>
    <t>27.32.13.00.02.04.04.01.1</t>
  </si>
  <si>
    <t>КСПВ 2*0,5</t>
  </si>
  <si>
    <t>27.12.22.11.15.13.10.10.1</t>
  </si>
  <si>
    <t>трехполюсный, с комбинированным размыкателем (расцепитель), номинальный ток до 100 А</t>
  </si>
  <si>
    <t>27.12.22.11.15.13.10.11.1</t>
  </si>
  <si>
    <t>трехполюсный, с комбинированным размыкателем (расцепитель), номинальный ток до 250 А</t>
  </si>
  <si>
    <t>27.12.22.11.15.13.10.12.1</t>
  </si>
  <si>
    <t>трехполюсный, с комбинированным размыкателем (расцепитель), номинальный ток до 400 А</t>
  </si>
  <si>
    <t>27.12.40.53.10.10.10.55.1</t>
  </si>
  <si>
    <t>Полумуфта поворотной колонки</t>
  </si>
  <si>
    <t>высоковольтного выключателя</t>
  </si>
  <si>
    <t>27.33.14.00.00.00.03.10.1</t>
  </si>
  <si>
    <t>концевая, используется для оконцевания силовых кабелей с маслопропитанной бумажной изоляцией в общей свинцовой или алюминиевой оболочке</t>
  </si>
  <si>
    <t>27.12.40.15.11.11.11.10.1</t>
  </si>
  <si>
    <t>Разрядник</t>
  </si>
  <si>
    <t>Трубчатый разрядник</t>
  </si>
  <si>
    <t>27.33.13.00.00.00.07.00.1</t>
  </si>
  <si>
    <t>электрический</t>
  </si>
  <si>
    <t>удлинитель У-053 3м(1*50)</t>
  </si>
  <si>
    <t>22.21.29.00.00.12.10.10.1</t>
  </si>
  <si>
    <t>пластиковый из полипропилена, переходной размеры 25 x 20 x 25</t>
  </si>
  <si>
    <t>25.99.29.00.10.18.03.03.1</t>
  </si>
  <si>
    <t>Штанга заземляющая</t>
  </si>
  <si>
    <t>на напряжение 10 кВ</t>
  </si>
  <si>
    <t>26.51.45.00.00.00.04.10.1</t>
  </si>
  <si>
    <t>однополюсный, до 1000 В</t>
  </si>
  <si>
    <t>26.51.43.11.11.15.33.01.1</t>
  </si>
  <si>
    <t>диапазон измерений 0-5, 5-1000 МОм</t>
  </si>
  <si>
    <t>26.51.45.00.00.00.03.30.1</t>
  </si>
  <si>
    <t>профессиональный, переменный 0-700V, постоянный 0-1000 V, Ом, А, прозвонка</t>
  </si>
  <si>
    <t>26.51.63.14.11.11.11.11.1</t>
  </si>
  <si>
    <t>Счетчик электроэнергии</t>
  </si>
  <si>
    <t>Индукционный. Однофазный (измерение переменного тока 220 В, 50 Гц).</t>
  </si>
  <si>
    <t xml:space="preserve"> г.Астана, ул.Ауэзова, д.18</t>
  </si>
  <si>
    <t>ГОСТ 4677-82, вид источника тока АЗ-с аккумуляторами с выносными зарядными устройствами</t>
  </si>
  <si>
    <t>Мощность- 1150, обороты - 170-340 об/мин, Тип патрона - SDSMAX, Количество режимов - 2, Сила удара - 8.8 Дж, Число ударов - 1500-3050 уд/мин, Гарантия - 12 мес., Макс. диаметр бура- 40 мм, Макс. диаметр сверления (камень)- 12-55 мм,</t>
  </si>
  <si>
    <t xml:space="preserve"> электрический аккумуляторный</t>
  </si>
  <si>
    <t>Перфоратор</t>
  </si>
  <si>
    <t>25.94.13.00.00.10.15.11.1</t>
  </si>
  <si>
    <t>Ручной электрический лобзик включает в себя корпус с плоской платформой внизу и рукояткой вверху.</t>
  </si>
  <si>
    <t>Лобзик</t>
  </si>
  <si>
    <t>25.73.30.00.00.22.15.11.1</t>
  </si>
  <si>
    <t>Миксер строительный для смесей ручной,  электрический одинарный, 1200Вт Макс. объём размешивания: 120 л
Масса: 5.0 кг, мощность (W): 1200 Вт, частота вращения: 0-620 /0-810 об/мин</t>
  </si>
  <si>
    <t>Стационарный</t>
  </si>
  <si>
    <t>Миксер</t>
  </si>
  <si>
    <t>27.51.21.04.02.00.00.20.1</t>
  </si>
  <si>
    <t>Болгарка большая. Потребляемая мощность:2000 Вт. Напряжение сети: 220 В. Частота сети: 50 Гц. Частота вращения: 6500 об./мин. Максимальный диаметр диска: 230 мм.Резьба шпинделя: M14
Вес: 5,5 кг.</t>
  </si>
  <si>
    <t>Машина шлифовальная и полировальная</t>
  </si>
  <si>
    <t>28.93.13.00.00.00.07.02.1</t>
  </si>
  <si>
    <t>Шуруповерт аккумуляторный. Обороты  0-400/0-1200 об/мин, Количество скоростей работы  2, Патрон  10,  Макс. диаметр сверления (металл)  10, Макс. диаметр сверления (дерево)  25, Реверс  есть
Напряжение аккумулятора (В)  12, Емкость аккумулятора  1.5 (А*ч).</t>
  </si>
  <si>
    <t>Шуруповерт</t>
  </si>
  <si>
    <t>25.94.13.00.00.10.35.10.1</t>
  </si>
  <si>
    <t>Шуруповерт аккумуляторный. Вольтаж 10,8 В. Емкость аккумулятора 1,3 Ah. Тип аккумулятора Li-Ion. Скорость ( 1/2 передача),об/мин 0-350/0-1 300 об/мин. Мaкс. диаметр сверления дерево/сталь, мм 24/10 мм. Патрон 1.5-10 мм. Макс. крутящий момент 24 Нм. Вес 1,0 кг.</t>
  </si>
  <si>
    <t>Тип инструмента безударный, Тип патрона быстрозажимной, Количество скоростей работы 1, Питание от сети, Диаметр патрона 1 - 10 мм, Макс. число оборотов холостого хода 2500 об/мин, Потребляемая мощность 530 Вт, Макс. диаметр сверления (дерево) 25 мм, Макс. диаметр сверления (металл) 10 мм.</t>
  </si>
  <si>
    <t>Дрель электрическая</t>
  </si>
  <si>
    <t>Дрель</t>
  </si>
  <si>
    <t>25.73.30.00.00.17.11.12.1</t>
  </si>
  <si>
    <t>промышленный, для отогревания трубопроводов, нагревания деталей</t>
  </si>
  <si>
    <t>Фен электрический</t>
  </si>
  <si>
    <t>27.90.40.09.10.01.01.01.1</t>
  </si>
  <si>
    <t>Диспенсер для жидкого мыла</t>
  </si>
  <si>
    <t>22.29.23.00.00.00.32.30.1</t>
  </si>
  <si>
    <t>электричсеские</t>
  </si>
  <si>
    <t>весы бытовые настольные с наибольшим пределом взвешивания весов 200 г</t>
  </si>
  <si>
    <t>весы бытовые настольные</t>
  </si>
  <si>
    <t>28.29.32.00.00.00.11.15.1</t>
  </si>
  <si>
    <t>Расход воздуха  72 (л/с), разрежение  210 (мбар), вместимость мусоросборника 14 (л), потребляемая мощность 1250 (Вт), номин. диаметр принадлежностей 32 (мм), длина кабеля 12 (м.), масса 9 (кг), размеры 520х400х340 (мм), уровень шума 59 (дБ/А).</t>
  </si>
  <si>
    <t>Для сухой уборки. Пылесборник - сменный/многоразовый.</t>
  </si>
  <si>
    <t>Пылесос</t>
  </si>
  <si>
    <t>27.51.21.01.01.00.00.30.1</t>
  </si>
  <si>
    <t>объем 1,7 л</t>
  </si>
  <si>
    <t>Печь микроволновая</t>
  </si>
  <si>
    <t>для белья напольная, металлическая</t>
  </si>
  <si>
    <t>Сушилка</t>
  </si>
  <si>
    <t>32.99.59.00.00.00.30.10.1</t>
  </si>
  <si>
    <t>Стол утюжильный и аппарат отпарочный</t>
  </si>
  <si>
    <t>28.94.21.00.00.00.05.06.1</t>
  </si>
  <si>
    <t>С пароувлажнением. Подошва из нержавеющей стали.</t>
  </si>
  <si>
    <t>Электроутюг</t>
  </si>
  <si>
    <t>27.51.23.00.00.04.02.20.1</t>
  </si>
  <si>
    <t>Размеры 600 x 380 x 320 мм, Дозатор полироли емкость 0,75 л с шариковым клапаном
Щетки 2 полирующих щетки
1 щетка предварительной очистки
Диаметр x Ширина 13 см x 7 см</t>
  </si>
  <si>
    <t>для чистки и полировки обуви</t>
  </si>
  <si>
    <t>Аппарат для чистки обуви</t>
  </si>
  <si>
    <t>28.94.30.00.00.00.04.35.1</t>
  </si>
  <si>
    <t>Материал: Металл.Вместимость: 1 рулона (150, 260 м.)В комплекте: Крепежные болты.Размеры: (ВхШхГ) 30,3 х 32,4 х 13 см.Цвет: Белый.</t>
  </si>
  <si>
    <t>Диспенсер для туалетной бумаги</t>
  </si>
  <si>
    <t>22.29.23.00.00.00.32.31.1</t>
  </si>
  <si>
    <t>модель может работать от стандартной сети  220 Вольт, или от 4батареек LR20 тип D</t>
  </si>
  <si>
    <t>для жидкого мыло, объем: 300 мл</t>
  </si>
  <si>
    <t>Прищепка из пластмасс для крепления предметов</t>
  </si>
  <si>
    <t>Прищепка</t>
  </si>
  <si>
    <t>22.29.23.00.00.00.32.20.1</t>
  </si>
  <si>
    <t>Аккумуляторные батареи для радиостанции емкостью от 900 - 1100 мА/ч</t>
  </si>
  <si>
    <t>Аккумуляторная батарея</t>
  </si>
  <si>
    <t>27.20.11.00.00.00.06.15.1</t>
  </si>
  <si>
    <t>Мешок многоразовые  для пылесоса "Karcher T12/1</t>
  </si>
  <si>
    <t>объем 1 л</t>
  </si>
  <si>
    <t>ваксы и кремы для обуви</t>
  </si>
  <si>
    <t>Крем для обуви</t>
  </si>
  <si>
    <t>20.41.43.00.00.00.20.10.3</t>
  </si>
  <si>
    <t>Батарейка пальчиковая типа ААА</t>
  </si>
  <si>
    <t>27.20.11.00.00.00.07.30.1</t>
  </si>
  <si>
    <t>деревянный</t>
  </si>
  <si>
    <t>Плечик</t>
  </si>
  <si>
    <t>31.01.12.00.00.04.05.17.1</t>
  </si>
  <si>
    <t>для тракторной техники</t>
  </si>
  <si>
    <t>Щетка уборочная</t>
  </si>
  <si>
    <t>28.30.93.00.00.20.60.10.1</t>
  </si>
  <si>
    <t>автомотрисы</t>
  </si>
  <si>
    <t>Концевой выключатель</t>
  </si>
  <si>
    <t>30.20.31.00.00.00.30.04.1</t>
  </si>
  <si>
    <t>Ручной</t>
  </si>
  <si>
    <t>Пожарный извещатель (Датчик)</t>
  </si>
  <si>
    <t>26.30.60.00.00.00.22.12.2</t>
  </si>
  <si>
    <t>Дымовой. Извещатель дыма оптический.</t>
  </si>
  <si>
    <t>26.30.60.00.00.00.22.50.1</t>
  </si>
  <si>
    <t>Рукав напорный ф59</t>
  </si>
  <si>
    <t>Пожарный рукав, внут. диам. 66,0.  ГОСТ 7877-75</t>
  </si>
  <si>
    <t>22.19.35.00.00.00.70.20.4</t>
  </si>
  <si>
    <t xml:space="preserve">Аэратор для смесителя ф20 </t>
  </si>
  <si>
    <t>механизм для запирания и отпирания клапанов в каналах смесителя умывальника, раковины и т.п.</t>
  </si>
  <si>
    <t>Картиридж на смеситель</t>
  </si>
  <si>
    <t>23.42.10.17.00.00.00.10.1</t>
  </si>
  <si>
    <t xml:space="preserve">Аэратор для смесителя ф15 </t>
  </si>
  <si>
    <t>кран туалетный писсуарный из цветных металлов</t>
  </si>
  <si>
    <t>Кран</t>
  </si>
  <si>
    <t>28.14.12.10.00.00.00.19.1</t>
  </si>
  <si>
    <t>ф12</t>
  </si>
  <si>
    <t>Умывальник керамический без спинки, без перелива, шириной до 300 мм, длиной до 500 мм</t>
  </si>
  <si>
    <t>23.42.10.11.10.00.00.01.1</t>
  </si>
  <si>
    <t>сифон</t>
  </si>
  <si>
    <t>Гофрированная труба сливная для раковины  40*40</t>
  </si>
  <si>
    <t>30-40 см</t>
  </si>
  <si>
    <t>пластиковая с пластиковыми шарнирами</t>
  </si>
  <si>
    <t>22.23.12.00.00.14.12.10.1</t>
  </si>
  <si>
    <t>Подводка для  воды к унитазу</t>
  </si>
  <si>
    <t>подводка для воды, 60 см</t>
  </si>
  <si>
    <t>Шланг для подводки</t>
  </si>
  <si>
    <t>22.19.34.00.00.26.11.04.1</t>
  </si>
  <si>
    <t>Подводка для  воды к раковине</t>
  </si>
  <si>
    <t>подводка для воды, 80 см</t>
  </si>
  <si>
    <t>22.19.34.00.00.26.11.05.1</t>
  </si>
  <si>
    <t>ф20</t>
  </si>
  <si>
    <t>Стальной, переходный, ГОСТ 17376-2001</t>
  </si>
  <si>
    <t>Тройник</t>
  </si>
  <si>
    <t>24.20.40.00.16.10.10.11.1</t>
  </si>
  <si>
    <t>металлопластиковая, d 15 мм</t>
  </si>
  <si>
    <t>22.21.21.00.00.40.01.04.1</t>
  </si>
  <si>
    <t>металлопластиковая, d 40 мм</t>
  </si>
  <si>
    <t>22.21.21.00.00.40.01.08.1</t>
  </si>
  <si>
    <t>металлопластиковая, d 20 мм</t>
  </si>
  <si>
    <t>22.21.21.00.00.40.01.05.1</t>
  </si>
  <si>
    <t>Стальная, водогазопроводная, сварная,  легкая, Условный проход - 40 мм, наружный диаметр - 48 мм, толщина стенки - 3,0 мм, ГОСТ 3262-75</t>
  </si>
  <si>
    <t>24.20.31.01.10.10.17.11.2</t>
  </si>
  <si>
    <t>ГОСТ 8969-75, диаметр 40 мм, резьба 1/2 трубы, длина 150 мм</t>
  </si>
  <si>
    <t>Сгон</t>
  </si>
  <si>
    <t>25.99.11.00.00.23.10.16.1</t>
  </si>
  <si>
    <t>ГОСТ 8969-75, диаметр 50 мм, резьба 2 трубы, длина 150 мм</t>
  </si>
  <si>
    <t>25.99.11.00.00.23.10.17.1</t>
  </si>
  <si>
    <t>ГОСТ 8969-75, диаметр 32 мм, резьба 1/4 трубы, длина 130 мм</t>
  </si>
  <si>
    <t>25.99.11.00.00.23.10.15.1</t>
  </si>
  <si>
    <t>ГОСТ 8969-75, диаметр 25 мм, резьба 1" трубы, длина 130 мм</t>
  </si>
  <si>
    <t>25.99.11.00.00.23.10.14.1</t>
  </si>
  <si>
    <t>ГОСТ 8969-75, диаметр 20 мм, резьба 3/4 трубы, длина 110 мм</t>
  </si>
  <si>
    <t>25.99.11.00.00.23.10.13.1</t>
  </si>
  <si>
    <t>ГОСТ 8969-75, диаметр 15 мм, резьба 1/2 трубы, длина 110 мм</t>
  </si>
  <si>
    <t>25.99.11.00.00.23.10.12.1</t>
  </si>
  <si>
    <t>Смеситель для душа</t>
  </si>
  <si>
    <t>25.99.11.00.00.18.10.10.1</t>
  </si>
  <si>
    <t>стальная длинная, диаметр 15 мм</t>
  </si>
  <si>
    <t>Резьба сантехническая</t>
  </si>
  <si>
    <t xml:space="preserve">с распылителем, объемом 250 мл, мягко очищает и защищает поверхность от пыли благодаря антистатическому эффекту, не оставляет разводов; обладает приятным свежим ароматом.
</t>
  </si>
  <si>
    <t>бытовое отбеливающее средство в пластмассовой бутылке объемом 1 л. , основой которого является гипохлорит натрий с химической формулой NaClO (предназначено для отбеливания изделий из хлопчатобумажных и льняных тканей, дезинфекции мусорных ведер и т.д.)</t>
  </si>
  <si>
    <t xml:space="preserve">в аэрозолевой бутылке, объемом: 500 мл.  Освежители воздуха, на основе натуральных компонентов, которые легко устраняют неприятные запахи, оставляя свой тонкий и нежный аромат.  Аромат: морской, нежность кашемира, орхидея, свежесть океана. </t>
  </si>
  <si>
    <t>Щетка с совком на ножке.  Удобный комплект. Длина ножки 120 см. ГОСТ 28638</t>
  </si>
  <si>
    <t xml:space="preserve">швабра для мытья окон , зеркал и других гладких поверхностей. Скребок - окномойка двусторонняя с одной стороны - для мытья окон, и с другой стороны - для окончательного сгона воды со стекол.  </t>
  </si>
  <si>
    <t>Ерш материал высококачественный прочный пластик, имеет удобную литую ручку и пластиковую щетку с подставкой - стаканом, белого цвета.</t>
  </si>
  <si>
    <t>Полиэтиленовые мешки для утилизации мусорных отходов с завязками повышенной прочности. Объем: 80 л./в рулоне 20 шт .</t>
  </si>
  <si>
    <t xml:space="preserve">Чистящее средство для ухода за ламинатом на восковой основе.  Подходит как для мытья  ламината, так и для натирания очищенной поверхности до блеска. Содержит водоотталкивающий компанент. Оставляет после себя защитную пленку. Объем 750 мл. </t>
  </si>
  <si>
    <t>жидкость для мытья  полов</t>
  </si>
  <si>
    <t>Специализированное моющие средство, 25 литров в пластиковой канистре, эффективно удаляет  нефтяных, жировых, масляных и других загрязнений со всех видов поверхностей, безвредно для рук</t>
  </si>
  <si>
    <t>Объем: 1000 гр. Гель , в пластмассовой бутылке специальное густое гелеобразноечистящее отбеливающе средство с дизенфицирующим эффектом с комплексным действием с инновационной формулой отбеливания и удаления пятен 3 в 1. Отбеливание салфеток, тряпок для пола и т.д. Завоз товаров в течении двух дней  после подачи  заявки заказчиком</t>
  </si>
  <si>
    <t>20.59.59.00.02.04.00.10.1</t>
  </si>
  <si>
    <t>Хлорамин (Монохлорамин ХБ)</t>
  </si>
  <si>
    <t>Средство представляет собой кристаллический белый порошок с запахом хлора. Состав: Натриевая соль хлорамина бензосульфо- кислоты (не менее 98%). Содержание активного хлора в средстве не менее 25,0%.</t>
  </si>
  <si>
    <t>Мощное средство для удаления  налета, ржавчины и грязи в пластмассовой бутылке с курком-распылителем , объемом: 450 мл.  Состав: менее 5% щавелевая кислота, неионогенные и амфотерные ПАВ,
ароматизатор. Средство подходит для устранения налета и грязи с кафельной плитки и других поверхностей.
ТУ 2383-010-45751577-04.</t>
  </si>
  <si>
    <t xml:space="preserve">специальный вид моп сальса из микрофибры для удаления сильных загрязнений, легко вбирает, а затем выполаскивает частички грязи.
для мытья и полировки всех видов полов. Размер длина 40 см,, ширина 12 см. </t>
  </si>
  <si>
    <t>в пластмассовой бутылке, объемом: 500 мл.  эффективно справляется с загрязнениями в труднодоступных местах, уничтожает 99,9% микробов, удаляет известковый налет и ржавчину, оставляет после себя свежий аромат.</t>
  </si>
  <si>
    <t>в пластмассовой бутылке, объемом: 1 литр. Универсальное средство в пластмассовой бутылке, обладает дезинфецирующим и отбеливающим свойством. Мойка писсуаров.</t>
  </si>
  <si>
    <t xml:space="preserve">в пластмассовой бутылке, объемом: 500 мл. Состав: Анионные ПАВ менее 5%, гипохлорит натрия, амфотерные ПАВ, мыло, ароматические добавки.  Густая активная формула позволяет средству дольше оставаться на стенках унитаза, продолжая уничтожать микробы. </t>
  </si>
  <si>
    <t>с распылителем, объемом 500 мл, мягко очищает и защищает поверхность от пыли благодаря антистатическому эффекту, не оставляет разводов; обладает приятным свежим ароматом.</t>
  </si>
  <si>
    <t xml:space="preserve">Гелеобразное чистящее отбеливающе средство с дизенфицирующим эффектом в пластмассовой бутылке объемом 700 мл. Отбеливание салфеток, тряпок для пола и т.д. </t>
  </si>
  <si>
    <t xml:space="preserve">бытовое отбеливающее средство в пластмассовой бутылке объемом 1 л. , основой которого является гипохлорит натрий с химической формулой NaClO (предназначено для отбеливания изделий из хлопчатобумажных и льняных тканей, дезинфекции мусорных ведер и т.д.). </t>
  </si>
  <si>
    <t xml:space="preserve">гелеобразное средство в пластмассовой бутылке, объемом: 500 мл.  Специализированное чистящее средство для изделий из кожи. Предназначено для чистки кожаной мебели.Дезинфицирует, смягчает, очищает кожу. Придает блеск очищенной поверхности. </t>
  </si>
  <si>
    <t>20.41.32.00.00.00.60.50.1</t>
  </si>
  <si>
    <t>Средство для чистки труб</t>
  </si>
  <si>
    <t>средство для чистки канализационных засоров труб</t>
  </si>
  <si>
    <t xml:space="preserve">Жидкость в пластмассовой бутылке для быстрого растворения засоров в канализационных трубах, для растворения жиров, остатков пищи, волос и других загрязнений. Безопасно для всех видов труб. Объем: 1 л. </t>
  </si>
  <si>
    <t>20.41.32.00.00.00.60.30.4</t>
  </si>
  <si>
    <t>Моющее средство</t>
  </si>
  <si>
    <t>для металических поверхностей</t>
  </si>
  <si>
    <t>в пластмассовой бутылке, объемом: 300 мл. Средство не содержит абразива, не царапает и не повреждает очищаемую поверхность. Изготовлено на основе лимонной кислоты, поэтому безвредно для кожи рук.</t>
  </si>
  <si>
    <t xml:space="preserve">В платсмассовой бутылке объемом 500 мл. Эффективно удаляет загрязнения и обладает антистатическим эффектом. Сохраняет яркость красок, не оставляет пятен. (ручная стирка ковровых, гобеленовых покрытий)   </t>
  </si>
  <si>
    <t>Автомат. Пачка: 3 кг</t>
  </si>
  <si>
    <t xml:space="preserve">Фасовка пачка: 400 гр. </t>
  </si>
  <si>
    <t>в пластмассовой бутылке объемом 500 мл. Состав: кислородосодержащий отбеливатель, НПАВ, менее 5% АПАВ, энзимы, ароматизатор. Не содержит хлора. Безопасен как для цветных, так и для белых вещей и эффективен при любой температуре, Подходит для деликатных тканей</t>
  </si>
  <si>
    <t>порошкообразное, в пластмассовой бутылке, объемом: 400 гр. Очищает как свежие, так и глубоко въевшиеся  пятна. Эффективен для всех видов поверхностей.</t>
  </si>
  <si>
    <t>в аэрозолевой бутылке, объемом: 300 мл.  Освежители воздуха, на основе натуральных компонентов, которые легко устраняют неприятные запахи, оставляя свой тонкий и нежный аромат.  Аромат: свежесть утра, нежность кашемира, орхидея, свежесть океана.</t>
  </si>
  <si>
    <t xml:space="preserve">в пластмассовой бутылке с дозатором, объемом 300 мл. Содержит натуральные экстракты и антибактериальный компонент, с миндалевым молочком. </t>
  </si>
  <si>
    <t xml:space="preserve">Туалетная бумага  3-х слойная, ширина 9,7 см, длинна 30 м, натуральный продукт. В упаковке 4 штуки. Цвет - белый, ароматизированная. </t>
  </si>
  <si>
    <t xml:space="preserve">Салфетки 235 мм, диаметр рулона 1200 мм, плотность 16 г/кв.м.  2 плотных слоя для лучшей прочности и впитываемости. </t>
  </si>
  <si>
    <t xml:space="preserve">Полотенца бумажные белые 
 3 плотных слоя для лучшей прочности и впитываемости. 2 рулона в упаковке. </t>
  </si>
  <si>
    <t>13.92.21.00.00.00.30.10.2</t>
  </si>
  <si>
    <t>Полиэтиленовые мешки для мусора с ручками обычной прочности</t>
  </si>
  <si>
    <t xml:space="preserve">Полиэтиленовые мешки для утилизации мусорных отходов обычной прочности Объем: 20 л./ в рулоне 50 штук. </t>
  </si>
  <si>
    <t xml:space="preserve">Полиэтиленовые мешки для утилизации мусорных отходов с завязками повышенной прочности. Объем: 50 л./в рулоне 15 шт </t>
  </si>
  <si>
    <t>4 штуки в упаковке, с аброзивной стороной.</t>
  </si>
  <si>
    <t>Туалетная бумага  4-х слойная. В упаковке 4 штуки.</t>
  </si>
  <si>
    <t xml:space="preserve">Швабра с губкой ПВА обладает уникальной способностью к поглощению и удержанию воды. Приспособление для отжима исключает контакт рук с водой, моющими средствами, загрязнениями и обрабатываемой поверхностью. Длина ручки 125 см. Длина насадки 27 см. </t>
  </si>
  <si>
    <t>металлический, 100 мм</t>
  </si>
  <si>
    <t>С нержавеющей пластмассовой ручкой</t>
  </si>
  <si>
    <t>в пластмассовой бутылке, объемом: 500мл.</t>
  </si>
  <si>
    <t xml:space="preserve">в пластмассовой бутылке, объемом: 500мл.  Средство моющее универсальное  с ароматом лимона </t>
  </si>
  <si>
    <t>20.41.32.00.00.00.30.10.1</t>
  </si>
  <si>
    <t>г.Атырау</t>
  </si>
  <si>
    <t>порошкообразное, в пластмассовой бутылке, объемом: 475 гр. Очищает как свежие, так и глубоко въевшиеся  пятна. Эффективен для всех видов поверхностей.</t>
  </si>
  <si>
    <t>Бумага трехслойная, ароматизированная, цвет-белый.</t>
  </si>
  <si>
    <t>13.92.21.00.00.00.30.16.1</t>
  </si>
  <si>
    <t>Полиэтиленовые мешки для утилизации мусорных отходов обычной прочности Объем: 20 л.</t>
  </si>
  <si>
    <t>Полиэтиленовые мешки для утилизации мусорных отходов обычной прочности Объем: 30 л.</t>
  </si>
  <si>
    <t>Полиэтиленовые мешки для утилизации мусорных отходов обычной прочности Объем: 120л.</t>
  </si>
  <si>
    <t>14.12.30.00.00.80.16.77.1</t>
  </si>
  <si>
    <t>Хлопчатобумажные</t>
  </si>
  <si>
    <t>Совок со с щеткой. Длина ножки 120 см</t>
  </si>
  <si>
    <t>14.12.30.00.00.50.11.10.1</t>
  </si>
  <si>
    <t>Комплект одежды поварской</t>
  </si>
  <si>
    <t>14.12.11.00.00.60.10.40.1</t>
  </si>
  <si>
    <t>Спецодежда обслуживающего персонала</t>
  </si>
  <si>
    <t>костюм женский, ткань х/б 100%, в комплекте блузка и брюки</t>
  </si>
  <si>
    <t>14.12.30.00.00.60.12.10.1</t>
  </si>
  <si>
    <t>Фартук</t>
  </si>
  <si>
    <t>тип А, ГОСТ 12.4.029-76, для защиты от воды и растворов  нетоксичных веществ</t>
  </si>
  <si>
    <t>кухонный прорезиновый</t>
  </si>
  <si>
    <t>14.12.21.00.00.70.10.10.1</t>
  </si>
  <si>
    <t>Для защиты от производственных загрязнений. Комплект мужской из хлопчатобумажной ткани. 100% хлопок, летний.  Состоит из куртки и брюк или куртки и полукомбинезона. ГОСТ 27575-87</t>
  </si>
  <si>
    <t>14.12.30.00.00.80.16.44.1</t>
  </si>
  <si>
    <t>диэлектрические, из латекса, бесшовные</t>
  </si>
  <si>
    <t>резиновые, тип 1,  ГОСТ 20010-93</t>
  </si>
  <si>
    <t>15.20.11.00.00.00.40.14.1</t>
  </si>
  <si>
    <t>Боты</t>
  </si>
  <si>
    <t>диэлектрические</t>
  </si>
  <si>
    <t>15.20.13.00.00.00.11.14.1</t>
  </si>
  <si>
    <t>Ботинки женские</t>
  </si>
  <si>
    <t>из юфтевой кожи, на подошве из резины, кожи или полимерных материалов,  ГОСТ 26167-2005, утепленные</t>
  </si>
  <si>
    <t>14.19.42.00.00.00.20.20.1</t>
  </si>
  <si>
    <t>Фуражка</t>
  </si>
  <si>
    <t>Фуражки и кепи мужские или для мальчиков, из льняных тканей</t>
  </si>
  <si>
    <t>14.12.11.00.00.91.10.19.1</t>
  </si>
  <si>
    <t>Костюм</t>
  </si>
  <si>
    <t>брезентовый, для защиты от искр и брызг расплавленного металла</t>
  </si>
  <si>
    <t>14.12.30.00.00.80.15.55.1</t>
  </si>
  <si>
    <t xml:space="preserve"> Рукавицы</t>
  </si>
  <si>
    <t>брезентовые, с брезентовым наладонником</t>
  </si>
  <si>
    <t>29.32.10.00.00.00.12.30.1</t>
  </si>
  <si>
    <t>Спинка сидения</t>
  </si>
  <si>
    <t>задние</t>
  </si>
  <si>
    <t>30.92.30.00.00.00.20.20.1</t>
  </si>
  <si>
    <t>Подлокотник</t>
  </si>
  <si>
    <t>дают возможность пересаживаться в кресло с меньшими усилиями, что особенно важно для пожилых и ослабленных людей</t>
  </si>
  <si>
    <t>31.00.14.00.00.00.08.01.1</t>
  </si>
  <si>
    <t>Крестовина</t>
  </si>
  <si>
    <t>пластиковая к креслу</t>
  </si>
  <si>
    <t>32.99.11.00.00.01.10.10.1</t>
  </si>
  <si>
    <t>Самоспасатель</t>
  </si>
  <si>
    <t>фильтрующий</t>
  </si>
  <si>
    <t xml:space="preserve">Фильтрующий самоспасатель с загубником   Самоспасатель предназначены для эвакуации людей из опасной (загазованной) зоны. Время защитного действия 5 минут.
</t>
  </si>
  <si>
    <t>с даты заключения договора по 31 декабря 2015 г.</t>
  </si>
  <si>
    <t>Акмолинская область, п.Зеренда</t>
  </si>
  <si>
    <t>35.30.11.10.10.30.10.01.1</t>
  </si>
  <si>
    <t>Тепловая энергия</t>
  </si>
  <si>
    <t>в горячей воде, для коммунальных нужд</t>
  </si>
  <si>
    <t>Гигакалория</t>
  </si>
  <si>
    <t xml:space="preserve">500 листов </t>
  </si>
  <si>
    <t>32.99.81.00.00.20.10.21.1</t>
  </si>
  <si>
    <t>маленький</t>
  </si>
  <si>
    <t>большой</t>
  </si>
  <si>
    <t>2015 год, черный/бордовый, с фирменным логотипом Заказчика</t>
  </si>
  <si>
    <t>17.12.14.51.00.00.00.51.3</t>
  </si>
  <si>
    <t>переплетный</t>
  </si>
  <si>
    <t>Клей-карандаш</t>
  </si>
  <si>
    <t>Клей-карандаш 30 грамм</t>
  </si>
  <si>
    <t>15.12.12.00.00.00.50.40.1</t>
  </si>
  <si>
    <t>Кляссер для визиток</t>
  </si>
  <si>
    <t>с лицевой поверхностью из искусственной кожи</t>
  </si>
  <si>
    <t>25.99.23.00.00.11.21.10.1</t>
  </si>
  <si>
    <t>Кнопки</t>
  </si>
  <si>
    <t>26.51.32.00.02.22.11.23.1</t>
  </si>
  <si>
    <t>Измерительная. Пластмассовая. Длина 30 см.</t>
  </si>
  <si>
    <t>Линейка пластмассовая 25 см, прозрачная, цветная, с белой шкалой     </t>
  </si>
  <si>
    <t>26.51.32.00.02.22.11.21.1</t>
  </si>
  <si>
    <t>Измерительная. Пластмассовая. Длина 20 см.</t>
  </si>
  <si>
    <t>22.29.25.00.00.00.16.13.1</t>
  </si>
  <si>
    <t>Линейка пластмассовая 15 см, прозрачная, цветная</t>
  </si>
  <si>
    <t>22.29.25.00.00.00.19.05.1</t>
  </si>
  <si>
    <t>Маркеры перманентные в наборе</t>
  </si>
  <si>
    <t>22.29.25.00.00.00.31.01.2</t>
  </si>
  <si>
    <t>формат А4, прозрачная</t>
  </si>
  <si>
    <t>Папка пластиковая на 2-х кольцах, А4  </t>
  </si>
  <si>
    <t>17.23.13.80.00.00.41.10.1</t>
  </si>
  <si>
    <t>Папка подвесная</t>
  </si>
  <si>
    <t>для картотек</t>
  </si>
  <si>
    <t>22.29.25.00.00.00.18.66.1</t>
  </si>
  <si>
    <t>Папка-уголок</t>
  </si>
  <si>
    <t>пластиковая А4</t>
  </si>
  <si>
    <t>26.20.21.01.19.20.10.10.1</t>
  </si>
  <si>
    <t>Проксимити карта</t>
  </si>
  <si>
    <t>Проксимити (proximity) карта (бесконтактная карта доступа).  Идентификационная бесконтактная пластиковая карта с магнитной полосой либо внедренным индуктивным контуром и/или чипом для внесения на карту индивидуальных данных (кодирования карты).  </t>
  </si>
  <si>
    <t>для СКУД EM-Marine</t>
  </si>
  <si>
    <t>для СКУД INDAL A</t>
  </si>
  <si>
    <t>32.99.86.00.00.00.10.10.1</t>
  </si>
  <si>
    <t>из любых материалов, формата А4</t>
  </si>
  <si>
    <t xml:space="preserve"> для степлера, №24/6, 1000 шт </t>
  </si>
  <si>
    <t xml:space="preserve"> для степлера, №10, 1000 шт </t>
  </si>
  <si>
    <t>№24/6</t>
  </si>
  <si>
    <t>№10</t>
  </si>
  <si>
    <t>26.51.82.00.00.00.03.10.2</t>
  </si>
  <si>
    <t>Стержень</t>
  </si>
  <si>
    <t>Грифельный</t>
  </si>
  <si>
    <t>обложка многокрасочная, картон мелованный, блок из офсета, на двойной евроспирали, клетка 170х203, формат А5, 48 листов</t>
  </si>
  <si>
    <t>общая,96 листов, Обложка картон мелованный, ламинированный нижняя обл.- плотный картон; скрепление скобами; клетка 220х295 А4 96 листов</t>
  </si>
  <si>
    <t xml:space="preserve"> размер А4, плотный полиэтилен, с раделением сбоку прозрачный</t>
  </si>
  <si>
    <t>100 мкр</t>
  </si>
  <si>
    <t>32.99.16.00.00.00.12.80.1</t>
  </si>
  <si>
    <t>Штемпельная краска</t>
  </si>
  <si>
    <t>Штемпельная краска  для печатей и штемпелей</t>
  </si>
  <si>
    <t>для записей, размер 75*75</t>
  </si>
  <si>
    <t>32.99.59.00.00.00.27.10.1</t>
  </si>
  <si>
    <t>Бейдж</t>
  </si>
  <si>
    <t>нагрудная визитная карточка</t>
  </si>
  <si>
    <t>горизонтальный, с зажимом и булавкой</t>
  </si>
  <si>
    <t>17.23.12.30.00.00.00.03.1</t>
  </si>
  <si>
    <t>из цветной бумаги (блок из бумаг для заметок)</t>
  </si>
  <si>
    <t>17.23.12.30.00.00.00.35.1</t>
  </si>
  <si>
    <t>с липким краем, размер 76х76 мм</t>
  </si>
  <si>
    <t xml:space="preserve"> металлический с линейкой  75*105 мм, с 2 отверстиями d 5 мм, количество пробивания листов: 20</t>
  </si>
  <si>
    <t>плотные листы, белые, в твердом переплете</t>
  </si>
  <si>
    <t>25.99.23.00.00.11.10.10.2</t>
  </si>
  <si>
    <t>Зажимы для бумаг. Размер 15 мм</t>
  </si>
  <si>
    <t>25.99.23.00.00.11.10.11.2</t>
  </si>
  <si>
    <t>25.99.23.00.00.11.10.13.2</t>
  </si>
  <si>
    <t>перекидной</t>
  </si>
  <si>
    <t>НВ, с ластиком</t>
  </si>
  <si>
    <t>22.29.25.00.00.00.23.14.1</t>
  </si>
  <si>
    <t>Клей-карандаш 21 грамм</t>
  </si>
  <si>
    <t>17.23.13.35.00.00.00.90.1</t>
  </si>
  <si>
    <t>Книги учета и регистрации</t>
  </si>
  <si>
    <t>Книги учета и регистрации прочие</t>
  </si>
  <si>
    <t>формат А4, альбомный, 100 листов, обложка твердая офсетная в клетку</t>
  </si>
  <si>
    <t>формат А4, альбомный, 100 листов, обложка твердая офсетная в линейку</t>
  </si>
  <si>
    <t>пластиковая, цвет черный</t>
  </si>
  <si>
    <t>из натурального каучука, бело-серый, прямоугольный со скошенными сторонами. Размер: 50х20х7 мм</t>
  </si>
  <si>
    <t xml:space="preserve">горизонтальный черный 3-х уровневый. Гладкая глянцевая поверхность. Возможность установки друг на друга. Фиксаторы, препятствующие соскальзыванию с нижнего лотка. Материал полистерол. </t>
  </si>
  <si>
    <t>cборный вертикальный 3 отделения черный. Сочетание прямых и округлых линий для документов и папок формата А4,  шаг делений 40 мм,  размеры изделия: ширина - 253 мм, глубина - 243 мм, высота - 290 мм.</t>
  </si>
  <si>
    <t xml:space="preserve">Набор из 4 текстовых маркеров (желтый, зеленый, розовый, оранжевый). Скошенный пишущий узел позволяет варьировать ширину письма от 0,5 до 5 мм. . Прозрачный ПВХ пенал. </t>
  </si>
  <si>
    <t xml:space="preserve">10 предметов, цвет черный </t>
  </si>
  <si>
    <t>со сменным лезвием</t>
  </si>
  <si>
    <t>22.29.25.00.00.00.18.16.1</t>
  </si>
  <si>
    <t>Папка пластиковая с прижимом или скоросшивателем</t>
  </si>
  <si>
    <t>22.29.25.00.00.00.18.17.1</t>
  </si>
  <si>
    <t>Папка пластиковая с боковым металлическим  прижимом и внутренним карманом</t>
  </si>
  <si>
    <t>22.29.25.00.00.00.18.38.1</t>
  </si>
  <si>
    <t>Папка пластиковая-скоросшиватель с прозрачной пластиковой обложкой</t>
  </si>
  <si>
    <t>цвет серый</t>
  </si>
  <si>
    <t>22.29.25.00.00.00.18.39.1</t>
  </si>
  <si>
    <t>Папка пластиковая-конверт на кнопке</t>
  </si>
  <si>
    <t>цвет синий</t>
  </si>
  <si>
    <t>22.29.25.00.00.00.18.30.1</t>
  </si>
  <si>
    <t>Папка пластиковая 40 вкладышей</t>
  </si>
  <si>
    <t>22.29.25.00.00.00.18.35.1</t>
  </si>
  <si>
    <t>Папка пластиковая-короб с завязками</t>
  </si>
  <si>
    <t>22.29.25.00.00.00.18.25.1</t>
  </si>
  <si>
    <t>Папка пластиковая с резинками, до 300 листов</t>
  </si>
  <si>
    <t>22.29.25.00.00.00.18.11.1</t>
  </si>
  <si>
    <t>Папка пластиковая-регистратор, А4, 70 мм</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</si>
  <si>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 </t>
  </si>
  <si>
    <t>15.12.12.00.00.00.11.20.1</t>
  </si>
  <si>
    <t>Портфель</t>
  </si>
  <si>
    <t>с лицевой поверхностью из пластмассы</t>
  </si>
  <si>
    <t>цвет черный, с прочной ручкой</t>
  </si>
  <si>
    <t>цвет красный</t>
  </si>
  <si>
    <t>цвет черный</t>
  </si>
  <si>
    <t xml:space="preserve"> для степлера №24/6, 1000 шт </t>
  </si>
  <si>
    <t>прозразный, размер 48мм/200м</t>
  </si>
  <si>
    <t>прозрачный, размер 19мм/33м</t>
  </si>
  <si>
    <t>цветные, 50 шт в упаковке</t>
  </si>
  <si>
    <t>25.99.23.00.00.11.11.19.1</t>
  </si>
  <si>
    <t>Скрепки для бумаг. Размер 50 мм</t>
  </si>
  <si>
    <t>цветные, 25 шт в упаковке</t>
  </si>
  <si>
    <t>цветные, прозрачные, закладка-указатель</t>
  </si>
  <si>
    <t>100 мкм, белый (прозрачный) с боковым ограничителем</t>
  </si>
  <si>
    <t>25.99.23.00.00.11.16.11.1</t>
  </si>
  <si>
    <t>Шило</t>
  </si>
  <si>
    <t>Деревянной рукояткой</t>
  </si>
  <si>
    <t>32.99.81.00.00.10.10.13.1</t>
  </si>
  <si>
    <t>Штрих-карандаш</t>
  </si>
  <si>
    <t>жидкий, в форме ручки</t>
  </si>
  <si>
    <t>формат А4, альбомный, 100 листов, обложка твердая офсетная</t>
  </si>
  <si>
    <t>горизонтальный, черный, гладкая глянцевая поверхность, возможность установки друг на друга, фиксаторы, препятствующие соскальзыванию с нижнего лотка, материал полистерол</t>
  </si>
  <si>
    <t>cборный вертикальный 6 отделений, черный, сочетание прямых и округлых линий для документов и папок формата А4,  шаг делений 40 мм,  размеры изделия: ширина - 253 мм, глубина - 243 мм, высота - 290 мм</t>
  </si>
  <si>
    <t>набор из 4 текстовых маркеров (желтый, зеленый, розовый, оранжевый), скошенный пишущий узел позволяет варьировать ширину письма от 0,5 до 5 мм, прозрачный ПВХ пенал</t>
  </si>
  <si>
    <t xml:space="preserve"> 15 предметов, цвет черный</t>
  </si>
  <si>
    <t>бумажный</t>
  </si>
  <si>
    <t>100 шт в упаковке</t>
  </si>
  <si>
    <t>стальной с дополнительным механизмом для более легкого нажатия на 60%, скобы №24/6, раскрытие 90 мм, объем скрепления 25 листов, скобы вставляются сверху</t>
  </si>
  <si>
    <t>жидкий</t>
  </si>
  <si>
    <t>Альбом для рисования, формат А4 (размер, мм: 210×297) , клеевое скрепление, количество листов: 40</t>
  </si>
  <si>
    <t>блокнот для записей</t>
  </si>
  <si>
    <t>Формат А5</t>
  </si>
  <si>
    <t>17.12.14.70.00.00.00.11.1</t>
  </si>
  <si>
    <t>бархатная</t>
  </si>
  <si>
    <t>20.30.11.00.00.00.40.10.2</t>
  </si>
  <si>
    <t>25.93.18.00.00.10.10.10.1</t>
  </si>
  <si>
    <t>Иглы швейные из черных металлов</t>
  </si>
  <si>
    <t>32.99.15.00.00.00.11.35.1</t>
  </si>
  <si>
    <t>Карандаш черный</t>
  </si>
  <si>
    <t>карандаш с ластиком</t>
  </si>
  <si>
    <t>20.30.23.00.00.00.21.48.1</t>
  </si>
  <si>
    <t>набор красок акварельных пастообразных разных цветов, ГОСТ 11481-75</t>
  </si>
  <si>
    <t>32.99.15.00.00.00.14.20.1</t>
  </si>
  <si>
    <t>13.10.62.00.00.10.20.40.2</t>
  </si>
  <si>
    <t>Матовые швейные нитки. Марки "Прима" в 3 сложения. Имеет самую низкую разрывную прочность. Под торговым номером 40. Линейная плотность - 16,5 текс *3 , ГОСТ 6309-93(в бобинах)</t>
  </si>
  <si>
    <t>25.71.11.00.00.20.14.10.1</t>
  </si>
  <si>
    <t>Ножницы</t>
  </si>
  <si>
    <t>Ножницы для бытового или канцелярского использования</t>
  </si>
  <si>
    <t>20.59.52.00.00.00.10.30.2</t>
  </si>
  <si>
    <t>для лепки, различных цветов</t>
  </si>
  <si>
    <t>22.21.42.20.00.00.00.16.1</t>
  </si>
  <si>
    <t>самоклеющаяся в рулоне, цветная</t>
  </si>
  <si>
    <t>7 цветов по 2 м</t>
  </si>
  <si>
    <t>25.99.23.00.00.10.11.10.2</t>
  </si>
  <si>
    <t>24/6</t>
  </si>
  <si>
    <t>12 мм</t>
  </si>
  <si>
    <t>32.99.12.00.00.00.14.30.1</t>
  </si>
  <si>
    <t>Точилка</t>
  </si>
  <si>
    <t>Точилка ручная для подтачивания грифельного карандаша</t>
  </si>
  <si>
    <t>22.29.25.00.00.00.27.10.1</t>
  </si>
  <si>
    <t>13.99.19.00.00.00.30.20.1</t>
  </si>
  <si>
    <t>Шпагат</t>
  </si>
  <si>
    <t>Крученые  изделия из полипропиленовых волокон.Многониточный. ГОСТ 17308-88</t>
  </si>
  <si>
    <t>21.20.13.00.00.03.12.10.4</t>
  </si>
  <si>
    <t>Метимезол натрий (Анальгин)</t>
  </si>
  <si>
    <t>раствор для иньекций в ампулах</t>
  </si>
  <si>
    <t>21.20.13.00.00.03.12.60.3</t>
  </si>
  <si>
    <t>Антигриппин П</t>
  </si>
  <si>
    <t>Таблетки круглые, плоские, со скошенным краем и разделительной риской с одной стороны, розового цвета с более светлыми и более темными вкраплениями, расположенными хаотично, с фруктовым запахом</t>
  </si>
  <si>
    <t>21.20.13.00.00.03.08.30.1</t>
  </si>
  <si>
    <t>Кислота ацетилсалициловая</t>
  </si>
  <si>
    <t>Таблетки белого цвета, покрытые кишечнорастворимой оболочкой</t>
  </si>
  <si>
    <t>21.20.13.00.00.03.32.04.2</t>
  </si>
  <si>
    <t>Бензилбензоат</t>
  </si>
  <si>
    <t>21.20.13.00.00.03.32.79.1</t>
  </si>
  <si>
    <t>Лекарственная форма - мазевая основа жёлтого цвета</t>
  </si>
  <si>
    <t>25 гр</t>
  </si>
  <si>
    <t>21.10.51.00.00.02.41.14.1</t>
  </si>
  <si>
    <t>Кислота аскорбиновая</t>
  </si>
  <si>
    <t>№50</t>
  </si>
  <si>
    <t>21.20.13.00.00.03.32.61.1</t>
  </si>
  <si>
    <t>Дюфалак</t>
  </si>
  <si>
    <t>Прозрачная вязкая жидкость от бесцветной до светло-желтой с коричневым оттенком</t>
  </si>
  <si>
    <t>21.20.13.00.00.03.50.05.2</t>
  </si>
  <si>
    <t>21.20.24.00.00.00.01.10.1</t>
  </si>
  <si>
    <t>Лейкопластырь простой</t>
  </si>
  <si>
    <t>Тонкая материя - обычно в виде узкой полоски - с нанесенной на неё клейкой массой, употребляемая для покрытия небольших повреждений кожи, удержания хирургических повязок и т.п.</t>
  </si>
  <si>
    <t>21.20.13.00.00.03.28.10.1</t>
  </si>
  <si>
    <t>21.20.13.00.00.03.87.83.1</t>
  </si>
  <si>
    <t>22.19.71.00.00.00.40.10.1</t>
  </si>
  <si>
    <t>Напальчники</t>
  </si>
  <si>
    <t>Напальчники медицинские  предназначены для защиты и изоляции пальцев рук.</t>
  </si>
  <si>
    <t>21.20.13.00.00.03.06.28.1</t>
  </si>
  <si>
    <t>Нурофен</t>
  </si>
  <si>
    <t>Таблетки, покрытые оболочкой: белые или почти белые круглые двояковыпуклые таблетки однородной структуры с полированной поверхностью, покрытые оболочкой с надписью черного цвета «Nurofen» — на одной стороне таблетки</t>
  </si>
  <si>
    <t>21.20.12.00.00.00.04.48.1</t>
  </si>
  <si>
    <t>№3</t>
  </si>
  <si>
    <t>Сальбутамол</t>
  </si>
  <si>
    <t>21.20.13.00.00.03.99.08.1</t>
  </si>
  <si>
    <t>Этиловый спирт</t>
  </si>
  <si>
    <t>медицинский</t>
  </si>
  <si>
    <t>21.20.13.00.00.03.89.07.1</t>
  </si>
  <si>
    <t>21.20.11.00.00.00.21.80.1</t>
  </si>
  <si>
    <t>Цефазолин</t>
  </si>
  <si>
    <t>21.20.13.00.00.03.32.02.1</t>
  </si>
  <si>
    <t>Лечебный шампунь применямый при педикулезе</t>
  </si>
  <si>
    <t>100-150 гр</t>
  </si>
  <si>
    <t>Суппозитории ректальные для детей, гладкие, глянцевые, белого цвета</t>
  </si>
  <si>
    <t>14.12.30.00.00.40.10.40.1</t>
  </si>
  <si>
    <t>медицинская, одноразовая</t>
  </si>
  <si>
    <t>21.20.24.00.00.00.35.13.1</t>
  </si>
  <si>
    <t>Вата медицинская</t>
  </si>
  <si>
    <t>21.20.24.00.00.00.35.12.1</t>
  </si>
  <si>
    <t>14.12.30.00.00.40.10.16.1</t>
  </si>
  <si>
    <t>смотровые, нестерильные</t>
  </si>
  <si>
    <t>22.19.71.00.00.00.55.10.2</t>
  </si>
  <si>
    <t>Система инфузионная</t>
  </si>
  <si>
    <t>для переливания инфузионных растворов</t>
  </si>
  <si>
    <t>32.50.13.00.00.20.01.04.1</t>
  </si>
  <si>
    <t>Шприц медицинский</t>
  </si>
  <si>
    <t>одноразовый, объем 2,0 мл</t>
  </si>
  <si>
    <t>32.50.13.00.00.20.01.06.1</t>
  </si>
  <si>
    <t>одноразовый, объем 5,0 мл</t>
  </si>
  <si>
    <t>32.50.13.00.00.20.01.07.1</t>
  </si>
  <si>
    <t>одноразовый, объем 10,0 мл</t>
  </si>
  <si>
    <t>Тонометр</t>
  </si>
  <si>
    <t>Термометр</t>
  </si>
  <si>
    <t>Комплектуется в пластиковый чемоданчик с внутренними перегородками и удобными замками.</t>
  </si>
  <si>
    <t>13.92.13.00.00.41.32.50.1</t>
  </si>
  <si>
    <t>Белье столовое из прочих тканей</t>
  </si>
  <si>
    <t>Банкетные скатерти из прочих тканей, прочих размеров</t>
  </si>
  <si>
    <t>13.92.13.00.00.13.00.40.1</t>
  </si>
  <si>
    <t>Столовые салфетки из хлопка, размер 45 х 45 см</t>
  </si>
  <si>
    <t>16.29.12.10.01.02.00.01.1</t>
  </si>
  <si>
    <t>Блюдо</t>
  </si>
  <si>
    <t>деревянное блюдо, круглое, большого размера</t>
  </si>
  <si>
    <t>23.13.13.00.00.00.11.08.1</t>
  </si>
  <si>
    <t>блюдо для фруктов из стекла.  ГОСТ 30407-96</t>
  </si>
  <si>
    <t>для вина</t>
  </si>
  <si>
    <t>для мартини</t>
  </si>
  <si>
    <t>для коньяка</t>
  </si>
  <si>
    <t>17.22.11.55.00.00.00.11.2</t>
  </si>
  <si>
    <t>столовая, на тканевой или нетканевой основе с поливинилхлоридным покрытием</t>
  </si>
  <si>
    <t>гелевая</t>
  </si>
  <si>
    <t>23.13.13.00.00.00.11.12.1</t>
  </si>
  <si>
    <t>Креманка</t>
  </si>
  <si>
    <t>креманка стеклянная</t>
  </si>
  <si>
    <t>23.13.13.00.00.00.11.13.1</t>
  </si>
  <si>
    <t>Кувшин</t>
  </si>
  <si>
    <t>кувшин из стекла.  ГОСТ 30407-96</t>
  </si>
  <si>
    <t>поварской</t>
  </si>
  <si>
    <t>поварской, "пилка"</t>
  </si>
  <si>
    <t>диаметр 30 см</t>
  </si>
  <si>
    <t>32.99.59.00.00.00.19.20.1</t>
  </si>
  <si>
    <t>Термос</t>
  </si>
  <si>
    <t>Термосы и прочие бытовые вакуумные сосуды, в собранном виде, объемом более 0,75 л</t>
  </si>
  <si>
    <t>1,5 л</t>
  </si>
  <si>
    <t>25.99.12.12.00.00.00.11.1</t>
  </si>
  <si>
    <t>Чайник</t>
  </si>
  <si>
    <t>вместимостью 0,6л</t>
  </si>
  <si>
    <t>стеклянный</t>
  </si>
  <si>
    <t>23.41.12.00.11.10.40.20.1</t>
  </si>
  <si>
    <t>Чашка с блюдцем</t>
  </si>
  <si>
    <t>обычная полуфарфоровая чашка с блюдцем (не являющиеся тонкостенными)</t>
  </si>
  <si>
    <t>в наборе 6 шт</t>
  </si>
  <si>
    <t>23.41.12.00.11.10.30.10.1</t>
  </si>
  <si>
    <t>Чашка чайная</t>
  </si>
  <si>
    <t>полуфарфоровая чашка  вместимостью менее 500см3</t>
  </si>
  <si>
    <t>200 гр</t>
  </si>
  <si>
    <t>28.29.22.00.00.00.01.04.1</t>
  </si>
  <si>
    <t>Огнетушитель углекислотный</t>
  </si>
  <si>
    <t>ОУ-5</t>
  </si>
  <si>
    <t>СТ 27493-1910-ТОО-01-2011</t>
  </si>
  <si>
    <t>32.99.11.00.00.02.10.01.1</t>
  </si>
  <si>
    <t>Газодымозащитный комплект (ГДЗК)</t>
  </si>
  <si>
    <t>комплект состоит из огнестойкого капюшона со смотровым окном, полумаски с клапаном выдоха, фильтрующе-поглощающей коробки, регулируемого оголовья, герметичного пакета и сумки</t>
  </si>
  <si>
    <t>ГОСТ Р 22.9.09-2005</t>
  </si>
  <si>
    <t>Клеенка</t>
  </si>
  <si>
    <t>январь</t>
  </si>
  <si>
    <t>Техническое обслуживание и ремонт автотранспорта с заменой запчастей</t>
  </si>
  <si>
    <t>Техническое обслуживание и ремонт автотранспорта  с заменой запчастей</t>
  </si>
  <si>
    <t>43.29.19.10.15.00.00</t>
  </si>
  <si>
    <t>Работы эксплуатационные  по обслуживанию и содержанию инженерных сетей общего пользования</t>
  </si>
  <si>
    <t xml:space="preserve">Текущий ремонт, техническое обслуживание и аварийное обслуживание инженерных сетей (водопроводных, канализационных, тепловых) </t>
  </si>
  <si>
    <t xml:space="preserve"> Техническое обслуживание общих инженерных сетей помещения на объекте расположенного по адресу: пр. Кабанбай Батыра, 19, Блок С и Е </t>
  </si>
  <si>
    <t>Разработка проектно-сметной документации на перепланировку 44 этажа и устройство инженерных систем (с получением положительного заключения экспертизы) на объекте в г.Астана: Административное здание "Изумрудный квартал" (Блок Б)</t>
  </si>
  <si>
    <t>41.00.40.30.10.00.00</t>
  </si>
  <si>
    <t>Работы строительные по реконструкции административного здания</t>
  </si>
  <si>
    <t>Комплекс работ по реконструкции административного здания офисного типа</t>
  </si>
  <si>
    <t xml:space="preserve">Строительно-монтажные работы по перепланировке 44 этажа и устройство инженерных систем на объекте в г.Астана: Административное здание "Изумрудный квартал" (Блок Б) </t>
  </si>
  <si>
    <t xml:space="preserve"> г.Астана, ул. Кунаева, д.8, "Изумрудный квартал", блок Б</t>
  </si>
  <si>
    <t>33.20.21.11.00.00.00</t>
  </si>
  <si>
    <t>Установка коммуникационного оборудования</t>
  </si>
  <si>
    <t xml:space="preserve">Устройство конференц-системы на объекте в г.Астана: Административное здание "Изумрудный квартал" (Блок Б) </t>
  </si>
  <si>
    <t>Разработка проектно-сметной документации на наружные сети системы видеонаблюдения на объекте в г.Астана: Административное здание "Изумрудный квартал" (Блок Б)</t>
  </si>
  <si>
    <t>33.20.42.12.10.05.00</t>
  </si>
  <si>
    <t>Работы по установке, монтажу и пуско-наладке программно-аппаратного комплекса</t>
  </si>
  <si>
    <t>Работы по установке и пуско-наладке автоматизированной системы мониторинга конструкций на объекте в г.Астана: Административное здание "Изумрудный квартал" (Блок Б)</t>
  </si>
  <si>
    <t>42.21.22.13.00.00.00</t>
  </si>
  <si>
    <t>Работы строительные по прокладке местных теплопроводных сетей</t>
  </si>
  <si>
    <t>Строительно-монтажные работы по подключению к центральному теплоснабжению здания по адресу: г.Астана, пр.Республики, 32</t>
  </si>
  <si>
    <t>41.00.40.20.10.00.00</t>
  </si>
  <si>
    <t>Работы строительные по ремонту административного здания</t>
  </si>
  <si>
    <t>Комплекс работ по ремонту административного здания офисного типа</t>
  </si>
  <si>
    <t>33.12.18.14.00.00.00</t>
  </si>
  <si>
    <t>Ремонт и техническое обслуживание холодильных машин (чиллер)</t>
  </si>
  <si>
    <t xml:space="preserve"> г.Астана</t>
  </si>
  <si>
    <t>33.14.11.34.00.00.00</t>
  </si>
  <si>
    <t>Ремонт комплектных трансформаторных подстанций</t>
  </si>
  <si>
    <t>33.14.11.21.00.00.00</t>
  </si>
  <si>
    <t>Ремонт электродвигателей</t>
  </si>
  <si>
    <t>перемотка электродвигателей, трансформаторов</t>
  </si>
  <si>
    <t>33.14.11.31.10.00.00</t>
  </si>
  <si>
    <t>Работы по ремонту и техническому обслуживанию дизель-генераторов</t>
  </si>
  <si>
    <t>поверка манометров</t>
  </si>
  <si>
    <t>33.14.19.00.00.00.00</t>
  </si>
  <si>
    <t>Работы по ремонту и техническому обслуживанию электрооборудования</t>
  </si>
  <si>
    <t>Световая вывеска, внутреннее освещение, наружное освещение здания, декоративная подсветка</t>
  </si>
  <si>
    <t>Текущее обслуживание котлов отопления</t>
  </si>
  <si>
    <t>82.99.19.18.20.10.00</t>
  </si>
  <si>
    <t>Работы по оформлению зданий и помещений</t>
  </si>
  <si>
    <t>Работы по изготовлению и установке информационных стендов и табличек, логотипов, объемных – псевдообъемных букв, указателей и т.п.</t>
  </si>
  <si>
    <t>Замена на фасадную вывеску из латуни методом механической гравировки.  Вывеска гянцевого типа. Материал: Латунь. Размер: 600 х 1000 мм. Толщина листа: 8 мм.  Отверстия: 4 шт. Метод: Фрезеровка фона. Заливка: Краска рельефная. Буквы: Полировка букв. Покрытие сверху: Защитный лак.</t>
  </si>
  <si>
    <t>43.34.20.13.00.00.00</t>
  </si>
  <si>
    <t>Работы стекольные</t>
  </si>
  <si>
    <t>Работы, связанные с установкой стекол</t>
  </si>
  <si>
    <t>замена  стекла  общей площади остекления - 4100 кв. м. (стекло бирюза, тонированная,  толщина -  6 мм)</t>
  </si>
  <si>
    <t>41.00.40.20.60.00.00</t>
  </si>
  <si>
    <t>Работы строительные по ремонту помещения</t>
  </si>
  <si>
    <t>текущий ремонт стен, полов из ламината, полов из облицовочной плитки, подвесного потолка, замена панелей в помещении парной</t>
  </si>
  <si>
    <t>43.91.19.10.10.00.00</t>
  </si>
  <si>
    <t>Работы по ремонту кровли</t>
  </si>
  <si>
    <t xml:space="preserve">ремонт парапетов (общая длина 207,2 м), мягкой кровли тех этажа (2164,26 кв.м.) </t>
  </si>
  <si>
    <t>услуги по аренде гаража для автотранспорта Товарищества в г. Астана с офисом и складами, а также со всеми расходами по эксплуатации</t>
  </si>
  <si>
    <t>68.20.12.10.10.00.00</t>
  </si>
  <si>
    <t>Услуги по аренде парковочных мест в автомобильном паркинге</t>
  </si>
  <si>
    <t>Аренда 33 машиномест на зимнее время (январь-март, ноябрь-декабрь) в отапливаемом паркинге, на левом берегу г. Астана</t>
  </si>
  <si>
    <t>77.11.10.10.00.00.00</t>
  </si>
  <si>
    <t>Услуги по аренде легковых автомобилей без водителя</t>
  </si>
  <si>
    <t>Краткосрочная, среднесрочная или догосрочная аренда (прокат) легковых автомобилей без водителя</t>
  </si>
  <si>
    <t>Услуги по аренде легковых автомобилей без водителя в г.Астана (автомобиль повышенной проходимости, представительского класса - 6 ед., объем двигателя не менее 4000 куб.см, расчетный ежемесячный пробег - 3900 км, 6-дневная рабочая неделя)</t>
  </si>
  <si>
    <t>Услуги по аренде легковых автомобилей без водителя в г.Астана (автомобиль повышенной проходимости, представительского класса - 1 ед., объем двигателя не менее 5660 куб.см,  расчетный ежемесячный пробег - 3900 км, 6-дневная рабочая неделя)</t>
  </si>
  <si>
    <t>Услуги по аренде легковых автомобилей без водителя в г.Астана (автомобиль повышенной проходимости, представительского класса - 1 ед., объем двигателя не менее 5660 куб.см, расчетный ежемесячный пробег - 7500 км, 7-дневная рабочая неделя)</t>
  </si>
  <si>
    <t>Услуги по аренде легковых автомобилей без водителя в г.Астана (автомобиль повышенной проходимости, бизнес класса - 2 ед., объем двигателя не менее 2700 куб.см, расчетный ежемесячный пробег - 3900 км, 6-дневная рабочая неделя)</t>
  </si>
  <si>
    <t>49.39.31.10.00.00.00</t>
  </si>
  <si>
    <t>Услуги по аренде автобусов с водителем для внутригородских перевозок</t>
  </si>
  <si>
    <t>Аренда автобусов с водителем для внутригородских перевозок</t>
  </si>
  <si>
    <t>Услуги по аренде автобусов с водителем в г. Астана (25-местный)</t>
  </si>
  <si>
    <t>49.32.12.20.00.00.00</t>
  </si>
  <si>
    <t>Аренда легковых автомобилей с предоставлением услуг водителя</t>
  </si>
  <si>
    <t>Услуги по аренде легковых автомобилей с водителем в г. Астана (легковой автомобиль бизнес класса - 3 ед.)</t>
  </si>
  <si>
    <t>62.02.30.46.20.00.00</t>
  </si>
  <si>
    <t>Услуги по техническому обслуживанию системы ограничения контроля доступа</t>
  </si>
  <si>
    <t>Услуги по организации концертных программ с привлечением артистов эстрады и режиссера постановщика,жюри, аниматоров, культурно-массовых,  детских мероприятий; конкурсов, услуги по предоставлению залов для проведения мероприятий;  услуги по организации новогодних утренников, в т.ч. услуги по поставке новогодних подарков для детей, услуги по предоставлению подарочных ваучеров, ценных подарков, услуги по проведению официальных , праздничных обедов, ужинов, кофе-брейков, фуршетов, официальных и  праздничных приемов, банкетов, услуги по предоставлению звукового, светового, музыкального сопровождения мероприятий, установки сцены, установки видео-проекционного оборудования. услуги по оформлению мест проведения мероприятий, в т.ч. зданий сооружений, помещений.</t>
  </si>
  <si>
    <t>Акмолинская, Актюбинская, Алматинская, Атырауская,  Восточно-Казахстанская, Жамбылская, Западно-Казахстанская, Карагандинская, Костанайская, Кызыл-Ординская,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Англия, Великобритания, Франция, Китай</t>
  </si>
  <si>
    <t xml:space="preserve">Услуги по составлению цветочных композиций </t>
  </si>
  <si>
    <t>Услуги по предоставлению цветов и композиций из цветов</t>
  </si>
  <si>
    <t>Услуги по печатанию календарей  и прочей офисной печатной продукции, в том числе имиджевой</t>
  </si>
  <si>
    <t xml:space="preserve">Услуги по организации конференций </t>
  </si>
  <si>
    <t>Услуги по организации бизнес-показов, собраний, конференций и встреч, с организацией  и предоставлением персонала для работы в местах проведения подобных событий</t>
  </si>
  <si>
    <t>81.29.11.10.10.00.00</t>
  </si>
  <si>
    <t>35.30.12.16.00.00.00</t>
  </si>
  <si>
    <t>Услуги по промывке и опрессовке системы отопления</t>
  </si>
  <si>
    <t>71.20.13.12.00.00.00</t>
  </si>
  <si>
    <t>Услуги по испытаниям и анализу электросетей и электрооборудования</t>
  </si>
  <si>
    <t>52.21.19.40.13.00.00</t>
  </si>
  <si>
    <t>01.47.21.00.00.00.10.30.1</t>
  </si>
  <si>
    <t>Майонез</t>
  </si>
  <si>
    <t>01.25.31.00.00.00.01.10.1</t>
  </si>
  <si>
    <t>Миндаль</t>
  </si>
  <si>
    <t>01.25.35.00.00.00.01.10.1</t>
  </si>
  <si>
    <t>01.25.39.00.00.00.02.10.1</t>
  </si>
  <si>
    <t>Кофе</t>
  </si>
  <si>
    <t>10.61.32.00.00.00.22.10.1</t>
  </si>
  <si>
    <t>01.11.49.00.00.01.01.10.2</t>
  </si>
  <si>
    <t>10.61.32.00.00.00.40.10.1</t>
  </si>
  <si>
    <t>10.61.31.00.00.00.01.10.1</t>
  </si>
  <si>
    <t>манная</t>
  </si>
  <si>
    <t>10.61.32.00.00.00.11.10.1</t>
  </si>
  <si>
    <t xml:space="preserve"> перловая</t>
  </si>
  <si>
    <t>10.61.31.00.00.00.02.50.1</t>
  </si>
  <si>
    <t>Весовое, очищенное, жёлтого цвета, без комков, не прелое.</t>
  </si>
  <si>
    <t>10.61.11.00.00.00.31.10.1</t>
  </si>
  <si>
    <t>10.84.23.00.00.00.08.10.2</t>
  </si>
  <si>
    <t>Специи</t>
  </si>
  <si>
    <t>10.84.11.00.00.00.05.20.1</t>
  </si>
  <si>
    <t>01.49.21.00.00.10.10.10.1</t>
  </si>
  <si>
    <t>10.61.21.00.00.00.11.20.1</t>
  </si>
  <si>
    <t>10.81.12.00.00.00.31.20.1</t>
  </si>
  <si>
    <t>10.84.30.00.00.00.00.10.1</t>
  </si>
  <si>
    <t>10.83.13.00.00.00.12.30.1</t>
  </si>
  <si>
    <t>Йогурт</t>
  </si>
  <si>
    <t>Упаковка: 115гр.</t>
  </si>
  <si>
    <t>62.01.29.00.00.00.00.10.1</t>
  </si>
  <si>
    <t>26.30.30.12.11.11.11.15.1</t>
  </si>
  <si>
    <t>25.12.10.00.00.11.11.10.1</t>
  </si>
  <si>
    <t>20.41.31.00.00.10.10.30.1</t>
  </si>
  <si>
    <t>20.42.19.00.00.00.02.10.3</t>
  </si>
  <si>
    <t>20.42.19.00.00.00.03.10.3</t>
  </si>
  <si>
    <t>32.99.52.00.00.00.11.10.1</t>
  </si>
  <si>
    <t>20.42.18.00.00.00.10.40.1</t>
  </si>
  <si>
    <t>25.71.12.00.00.10.12.10.2</t>
  </si>
  <si>
    <t>14.12.30.00.00.80.16.20.1</t>
  </si>
  <si>
    <t>20.41.31.00.00.20.00.10.1</t>
  </si>
  <si>
    <t>22.29.23.00.00.00.32.13.1</t>
  </si>
  <si>
    <t>24.42.25.00.00.10.12.11.2</t>
  </si>
  <si>
    <t xml:space="preserve">Фольга </t>
  </si>
  <si>
    <t>22.21.30.00.00.10.40.10.1</t>
  </si>
  <si>
    <t>32.91.11.00.00.00.15.60.1</t>
  </si>
  <si>
    <t>16.29.11.00.00.00.00.35.1</t>
  </si>
  <si>
    <t>22.29.23.00.00.00.31.17.1</t>
  </si>
  <si>
    <t>32.91.11.00.00.00.12.30.1</t>
  </si>
  <si>
    <t>32.91.11.00.00.00.12.10.1</t>
  </si>
  <si>
    <t>22.29.23.00.00.00.20.12.1</t>
  </si>
  <si>
    <t>Совок</t>
  </si>
  <si>
    <t>12 Р</t>
  </si>
  <si>
    <t>33.12.29.19.00.00.00</t>
  </si>
  <si>
    <t>15 У</t>
  </si>
  <si>
    <t>31 У</t>
  </si>
  <si>
    <t>122 У</t>
  </si>
  <si>
    <t>123 У</t>
  </si>
  <si>
    <t>124 У</t>
  </si>
  <si>
    <t>125 У</t>
  </si>
  <si>
    <t>126 У</t>
  </si>
  <si>
    <t>128 У</t>
  </si>
  <si>
    <t>9 Р</t>
  </si>
  <si>
    <t>27.40.12.00.00.20.60.38.1</t>
  </si>
  <si>
    <t>27.40.15.00.00.40.10.14.1</t>
  </si>
  <si>
    <t>27.40.15.00.00.10.50.32.1</t>
  </si>
  <si>
    <t>27.40.12.00.00.20.50.44.1</t>
  </si>
  <si>
    <t>27.40.12.00.00.10.10.30.1</t>
  </si>
  <si>
    <t>26.11.22.00.00.24.11.14.1</t>
  </si>
  <si>
    <t>26.11.22.00.00.24.11.13.1</t>
  </si>
  <si>
    <t>27.40.15.00.00.10.50.21.1</t>
  </si>
  <si>
    <t>27.40.12.00.00.20.70.55.1</t>
  </si>
  <si>
    <t>27.40.12.00.00.20.10.35.1</t>
  </si>
  <si>
    <t>27.40.15.00.00.10.20.28.1</t>
  </si>
  <si>
    <t>27.40.15.00.00.10.50.42.1</t>
  </si>
  <si>
    <t>27.40.15.00.00.10.20.18.1</t>
  </si>
  <si>
    <t>27.40.15.00.00.10.20.21.1</t>
  </si>
  <si>
    <t>27.40.15.00.00.10.50.23.1</t>
  </si>
  <si>
    <t>27.40.15.00.00.10.50.31.1</t>
  </si>
  <si>
    <t>Патрон</t>
  </si>
  <si>
    <t>27.40.22.00.00.13.11.20.1</t>
  </si>
  <si>
    <t>27.33.13.00.00.00.02.02.1</t>
  </si>
  <si>
    <t>27.12.22.11.11.11.11.10.1</t>
  </si>
  <si>
    <t>27.32.13.00.02.01.37.08.1</t>
  </si>
  <si>
    <t>ВВГ 3*1.5</t>
  </si>
  <si>
    <t>27.12.40.17.11.11.11.10.1</t>
  </si>
  <si>
    <t>Дроссель</t>
  </si>
  <si>
    <t>27.40.15.00.00.20.10.11.1</t>
  </si>
  <si>
    <t>27.40.15.00.00.20.10.12.1</t>
  </si>
  <si>
    <t>27.40.12.00.00.20.70.33.1</t>
  </si>
  <si>
    <t>27.40.12.00.00.20.70.38.1</t>
  </si>
  <si>
    <t>27.40.12.00.00.20.60.42.1</t>
  </si>
  <si>
    <t>27.40.12.00.00.20.30.35.1</t>
  </si>
  <si>
    <t>27.40.12.00.00.20.50.48.1</t>
  </si>
  <si>
    <t>27.40.22.00.00.13.11.17.1</t>
  </si>
  <si>
    <t>27.40.22.00.00.13.11.18.1</t>
  </si>
  <si>
    <t>27.33.13.00.00.00.02.01.1</t>
  </si>
  <si>
    <t>27.12.23.15.11.11.11.10.1</t>
  </si>
  <si>
    <t>27.32.13.00.02.01.37.10.1</t>
  </si>
  <si>
    <t>ВВГ 3*2.5</t>
  </si>
  <si>
    <t>Контактор</t>
  </si>
  <si>
    <t>27.90.12.00.00.02.00.04.1</t>
  </si>
  <si>
    <t>План закупок товаров, работ и услуг на 2015 год по ТОО "КазМунайГаз-Сервис"</t>
  </si>
  <si>
    <t>10.84.23.00.00.00.09.10.1</t>
  </si>
  <si>
    <t>Приправа</t>
  </si>
  <si>
    <t>добавка к пище  для улучшения ее вкуса</t>
  </si>
  <si>
    <t>острая приправа в виде пастообразной массы из красного перца c солью, чесноком, пряных трав</t>
  </si>
  <si>
    <t>ЭОТТ</t>
  </si>
  <si>
    <t>Акмолинская область, п.Зеренда, ОК "Сункар"</t>
  </si>
  <si>
    <t>с даты заключения договора по 31 декабря 2015 г., поставка по заявкам Заказчика</t>
  </si>
  <si>
    <t>Горошек, зеленый</t>
  </si>
  <si>
    <t>01.13.80.00.00.00.02.50.1</t>
  </si>
  <si>
    <t>Грибы-грузди</t>
  </si>
  <si>
    <t>Шляпка 5—20 см, плотная. Кожица слизистая, мокрая, молочно-белого или слегка желтоватого цвета с неясными водянистыми концентрическими зонами, часто — с прилипшими частичками почвы и опада. Ножка 3—7 см в высоту, ∅ 2—5 см, цилиндрическая, гладкая, белого или желтоватого цвета, иногда с жёлтыми пятнами или ямками, полая.</t>
  </si>
  <si>
    <t>Солёные грузди</t>
  </si>
  <si>
    <t>10.12.11.01.01.01.01.01.2</t>
  </si>
  <si>
    <t>Гусь</t>
  </si>
  <si>
    <t>свежий, тушка, I категория</t>
  </si>
  <si>
    <t>10.51.52.00.00.01.11.20.3</t>
  </si>
  <si>
    <t>01.13.51.00.00.00.01.20.2</t>
  </si>
  <si>
    <t>Картофель поздний</t>
  </si>
  <si>
    <t>10.51.52.00.00.01.32.10.1</t>
  </si>
  <si>
    <t>10.83.11.00.00.00.01.00.2</t>
  </si>
  <si>
    <t>Изготавливаемый из жареных зерен кофейного дерева. Без кофеина нежареный.</t>
  </si>
  <si>
    <t>10.20.41.00.00.00.20.10.1</t>
  </si>
  <si>
    <t>10.12.41.00.00.00.14.20.1</t>
  </si>
  <si>
    <t>Субпродукты птицы домашней</t>
  </si>
  <si>
    <t>Куриные крылышки</t>
  </si>
  <si>
    <t>10.12.41.00.00.00.14.10.1</t>
  </si>
  <si>
    <t>Куриные бедра</t>
  </si>
  <si>
    <t>01.13.39.00.00.00.03.00.1</t>
  </si>
  <si>
    <t>Редька зеленая и черная</t>
  </si>
  <si>
    <t>Корнеплоды семейства капустные, содержащие эфирные масла (зеленого и черного цвета)</t>
  </si>
  <si>
    <t>03.00.12.00.10.40.60.10.1</t>
  </si>
  <si>
    <t>Семейство Морские языки или Солеевые</t>
  </si>
  <si>
    <t>Морской язык. Длина тела 60см.</t>
  </si>
  <si>
    <t>10.20.13.00.00.00.18.10.1</t>
  </si>
  <si>
    <t>Скумбрия</t>
  </si>
  <si>
    <t>Мороженая неразделанная. Мясо жирное (до 16,5 % жира), богатое витамином B12, без мелких костей.</t>
  </si>
  <si>
    <t>03.00.12.00.10.40.20.30.1</t>
  </si>
  <si>
    <t>Семейство лососевые</t>
  </si>
  <si>
    <t>Кета.  Средняя длина 1 м. Масса свыше 14 кг.</t>
  </si>
  <si>
    <t>10.82.24.00.00.00.00.40.1</t>
  </si>
  <si>
    <t>Сухофрукты</t>
  </si>
  <si>
    <t>высушенные фрукты и ягоды</t>
  </si>
  <si>
    <t>10.51.40.00.00.11.10.10.1</t>
  </si>
  <si>
    <t>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Обезжиренный.</t>
  </si>
  <si>
    <t>10.84.12.00.00.00.02.31.1</t>
  </si>
  <si>
    <t>10.39.23.00.00.12.14.20.1</t>
  </si>
  <si>
    <t>Обжаренные, соленые или обработанные другим способом.</t>
  </si>
  <si>
    <t>г.Астана, пр.Республики, 32, каб.504</t>
  </si>
  <si>
    <t>г.Астана, пр.Кабанбай батыра, 19, Блок А и Б</t>
  </si>
  <si>
    <t>г.Астана, пр.Кабанбай батыра, 19, Блок А</t>
  </si>
  <si>
    <t>г.Астана, пр.Кабанбай батыра, 19, Блок Б</t>
  </si>
  <si>
    <t>авансовый платеж - 0%, оставшаяся часть в течение 10 рабочих дней с момента подписания акта приема - передачи поставленных товаров</t>
  </si>
  <si>
    <t xml:space="preserve">Соус </t>
  </si>
  <si>
    <t>неэтилированный и этилированный, произведенный для двигателей с искровым зажиганием: АИ-95</t>
  </si>
  <si>
    <t>19.20.26.00.00.00.00.20.1</t>
  </si>
  <si>
    <t>зимнее, плотность при 20 °С не более 840 кг/м3, температура застывания не выше -35°С - - 45°С</t>
  </si>
  <si>
    <t>г.Астана, ул.Ауэзова, д.18</t>
  </si>
  <si>
    <t>Toyota Land Cruiser 200</t>
  </si>
  <si>
    <t xml:space="preserve">Toyota Camry </t>
  </si>
  <si>
    <t>Toyota HiAce</t>
  </si>
  <si>
    <t>Kia Mohave</t>
  </si>
  <si>
    <t xml:space="preserve">Hyundai Universe </t>
  </si>
  <si>
    <t>КАМАЗ -452803</t>
  </si>
  <si>
    <t>ЗИЛ-433362</t>
  </si>
  <si>
    <t>28.29.13.00.00.00.12.04.1</t>
  </si>
  <si>
    <t>для спецтехники</t>
  </si>
  <si>
    <t xml:space="preserve">Toyota Land Cruiser 200 </t>
  </si>
  <si>
    <t>Toyota HiАce</t>
  </si>
  <si>
    <t>Топливный фильтр</t>
  </si>
  <si>
    <t>тонкой очистки для дизельных двигателей прочих автомобилей</t>
  </si>
  <si>
    <t>КАМАЗ-452803</t>
  </si>
  <si>
    <t>грубой очистки для дизельных двигателей прочих автомобилей</t>
  </si>
  <si>
    <t>Т-30</t>
  </si>
  <si>
    <t xml:space="preserve"> Комплект топливных фильтров для IVECO 50.13 </t>
  </si>
  <si>
    <t>28.29.13.00.00.00.13.01.1</t>
  </si>
  <si>
    <t xml:space="preserve">Фильтр </t>
  </si>
  <si>
    <t>для легковых автомобилей, салонный</t>
  </si>
  <si>
    <t xml:space="preserve">фильтр салона для легковых автомобилей Toyota Land Cruiser 200 </t>
  </si>
  <si>
    <t xml:space="preserve">фильтр салона для легковых автомобилей Toyota Camry </t>
  </si>
  <si>
    <t>фильтр салона для легковых автомобилей Kia Mohave</t>
  </si>
  <si>
    <t>28.13.31.00.00.00.32.12.1</t>
  </si>
  <si>
    <t>фильтр-влагоотделитель</t>
  </si>
  <si>
    <t>фильтр-влагоотделитель, минимальное давление воздуха - 0,1 МПа (автоматический отвод конденсата), с условным проходом, Ду 10 мм</t>
  </si>
  <si>
    <t>28.29.82.00.00.00.16.14.1</t>
  </si>
  <si>
    <t>Элемент фильтра</t>
  </si>
  <si>
    <t>фильтрующий элемент масляного фильтра</t>
  </si>
  <si>
    <t>Комплект элементов масляного фильтра для Mercedes Benz O-560</t>
  </si>
  <si>
    <t>29.32.30.00.07.00.04.02.2</t>
  </si>
  <si>
    <t>Камаз 452803</t>
  </si>
  <si>
    <t>Land Cruiser 200</t>
  </si>
  <si>
    <t>Toyota Camry</t>
  </si>
  <si>
    <t xml:space="preserve"> Toyota Hiace</t>
  </si>
  <si>
    <t>Toyota LC200</t>
  </si>
  <si>
    <t>фильтр масляный</t>
  </si>
  <si>
    <t>IVECO A50.13</t>
  </si>
  <si>
    <t>29.32.30.00.07.00.02.01.1</t>
  </si>
  <si>
    <t>Toyata Land Cruiser 200</t>
  </si>
  <si>
    <t>Toyata Camry</t>
  </si>
  <si>
    <t>Toyata Hiace</t>
  </si>
  <si>
    <t>29.32.30.00.07.00.02.04.1</t>
  </si>
  <si>
    <t>для легковых автомобилей, задний</t>
  </si>
  <si>
    <t>Toyota Land Criuser 200</t>
  </si>
  <si>
    <t>29.31.21.00.00.00.10.12.1</t>
  </si>
  <si>
    <t>на легковые автомобили, короткие, резьба - М14</t>
  </si>
  <si>
    <t>29.31.21.00.00.00.10.13.1</t>
  </si>
  <si>
    <t>29.31.21.00.00.00.10.19.1</t>
  </si>
  <si>
    <t>на легковые автомобили, средние , рузьба - М18</t>
  </si>
  <si>
    <t>22.11.17.11.15.12.11.13.1</t>
  </si>
  <si>
    <t>Размер:215/60R16.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Зимняя шипованная шина.</t>
  </si>
  <si>
    <t>Размер:275/55R20. Шина резиновая пневматическая новая  для легковых автомобилей. Конструкция шины: радиальная. Комплектность: бескамерная шина. Номинальный диаметр обода: 20. Летняя шина.</t>
  </si>
  <si>
    <t>Размер:275/55R20. Шина резиновая пневматическая новая  для легковых автомобилей. Конструкция шины: радиальная. Комплектность: бескамерная шина. Номинальный диаметр обода: 20. Зимняя шипованная шина.</t>
  </si>
  <si>
    <t>Размер:195/70R15C. Шина резиновая пневматическая новая  для легковых автомобилей. Конструкция шины: радиальная. Комплектность: бескамерная шина. Номинальный диаметр обода: 15. Летняя шина.</t>
  </si>
  <si>
    <t>22.11.17.00.11.15.11.31.1</t>
  </si>
  <si>
    <t>Размер:205/65R16.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</si>
  <si>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22.11.13.00.00.11.20.30.1</t>
  </si>
  <si>
    <t>Размер: 295/80R22,5. Шина резиновая пневматическая новая для автобусов или автомобилей грузовых. Конструкция шины: радиальная. Комплектность: камерная шина. Индекс категории скорости К (максимальная скорость 110 км/ч). Норма слойности 16</t>
  </si>
  <si>
    <t>22.11.13.00.00.11.10.03.1</t>
  </si>
  <si>
    <t>Размер: 10.00/75R15.3. Шина резиновая пневматическая новая для автобусов или автомобилей грузовых. Конструкция шины: радиальная.  Комплектность: шина бескамерная.</t>
  </si>
  <si>
    <t>22.11.17.11.18.13.11.23.1</t>
  </si>
  <si>
    <t>для легковых автомобилей, пневматическая, радиальная, размер 235*45R19, бескамерная, летняя</t>
  </si>
  <si>
    <t>26.11.22.00.00.23.11.13.1</t>
  </si>
  <si>
    <t>Бензиновый</t>
  </si>
  <si>
    <t>29.31.23.00.00.00.22.10.1</t>
  </si>
  <si>
    <t>Модуль-фара</t>
  </si>
  <si>
    <t>левая, передняя</t>
  </si>
  <si>
    <t xml:space="preserve"> Блок фара левая для Toyota Hiace</t>
  </si>
  <si>
    <t>29.32.30.00.09.00.13.04.1</t>
  </si>
  <si>
    <t xml:space="preserve"> Рычаг верхний в комплекте   для Toyota Hiace</t>
  </si>
  <si>
    <t xml:space="preserve"> Рычаг нижний в комплекте   для Toyota Hiace</t>
  </si>
  <si>
    <t>29.32.30.00.03.01.20.10.1</t>
  </si>
  <si>
    <t>в сборе, для легковых автомобилей</t>
  </si>
  <si>
    <t>28.29.13.00.00.00.11.03.1</t>
  </si>
  <si>
    <t>для прочих автомобилей с карбюраторными двигателями внутреннего сгорания</t>
  </si>
  <si>
    <t xml:space="preserve"> комплект топливных фильтров для ПАЗ 4234</t>
  </si>
  <si>
    <t>29.32.30.00.07.00.04.03.1</t>
  </si>
  <si>
    <t>для прочих автомобилей, передние</t>
  </si>
  <si>
    <t xml:space="preserve"> ремень А1418 для ПАЗ 4234</t>
  </si>
  <si>
    <t>22.19.43.00.00.00.00.16.1</t>
  </si>
  <si>
    <t> Ремень вентиляторный клиновый 11х10-1280 ГОСТ 5813-93.</t>
  </si>
  <si>
    <t>22.19.42.00.00.10.20.11.1</t>
  </si>
  <si>
    <t>для легковых автомобилей, передние</t>
  </si>
  <si>
    <t>29.32.30.00.06.05.01.01.1</t>
  </si>
  <si>
    <t>Рулевая трапеция</t>
  </si>
  <si>
    <t>29.31.21.00.00.00.10.23.1</t>
  </si>
  <si>
    <t>на легковые автомобили, длинные, резьба - М16</t>
  </si>
  <si>
    <t>29.32.30.00.03.01.09.03.1</t>
  </si>
  <si>
    <t>29.32.30.00.01.01.01.60.1</t>
  </si>
  <si>
    <t>Радиатор отопителя</t>
  </si>
  <si>
    <t>29.31.21.00.00.00.23.31.1</t>
  </si>
  <si>
    <t>Распределитель зажигания (трамблер)</t>
  </si>
  <si>
    <t>для автомбилей с рабочим объемом цилиндров свыше 2700 см3 но не более 2800 см3,  </t>
  </si>
  <si>
    <t>насос топливный для двигателей внутреннего сгорания</t>
  </si>
  <si>
    <t>28.92.12.20.10.60.50.82.1</t>
  </si>
  <si>
    <t>Гидравлический шланг</t>
  </si>
  <si>
    <t>гидравлики гидравлического ключа, с фитингами</t>
  </si>
  <si>
    <t xml:space="preserve"> шланги гидравлические на 24 для МТЗ-82</t>
  </si>
  <si>
    <t>28.30.93.00.00.01.01.02.1</t>
  </si>
  <si>
    <t>Опора промежуточная</t>
  </si>
  <si>
    <t>колесного трактора, в сборе</t>
  </si>
  <si>
    <t xml:space="preserve"> МТЗ-82</t>
  </si>
  <si>
    <t>28.29.13.00.00.00.10.13.1</t>
  </si>
  <si>
    <t>фильтр масляный, механический, сетчатый</t>
  </si>
  <si>
    <t>28.11.42.00.00.00.10.45.2</t>
  </si>
  <si>
    <t>Форсунка</t>
  </si>
  <si>
    <t>29.31.22.00.00.00.56.11.1</t>
  </si>
  <si>
    <t>Замок зажигания стартера</t>
  </si>
  <si>
    <t>29.32.30.00.05.25.10.01.1</t>
  </si>
  <si>
    <t>Вал привода переднего моста</t>
  </si>
  <si>
    <t>Вал привода переднего моста раздаточной коробки грузового автомобиля</t>
  </si>
  <si>
    <t xml:space="preserve"> Кардан привода переднего моста МТЗ-82 в комплекте</t>
  </si>
  <si>
    <t>22.19.34.00.00.00.85.50.1</t>
  </si>
  <si>
    <t>Шланг компрессора</t>
  </si>
  <si>
    <t>Шланг компрессора для автомобилей специальных и специализированных</t>
  </si>
  <si>
    <t>25.73.60.00.00.12.09.01.1</t>
  </si>
  <si>
    <t>Клемма</t>
  </si>
  <si>
    <t>для присоединения или закрепления проводов</t>
  </si>
  <si>
    <t xml:space="preserve"> Клемма аккумуляторная  на МТЗ-82</t>
  </si>
  <si>
    <t>28.92.61.00.00.00.12.00.2</t>
  </si>
  <si>
    <t>Фильтр</t>
  </si>
  <si>
    <t>для гидравлической системы экскаватора</t>
  </si>
  <si>
    <t xml:space="preserve"> фильтр гидравлический для МКСМ 800</t>
  </si>
  <si>
    <t>29.31.23.00.00.00.32.11.1</t>
  </si>
  <si>
    <t>правая, передняя</t>
  </si>
  <si>
    <t>29.31.23.00.00.00.32.10.1</t>
  </si>
  <si>
    <t>22.19.34.00.00.00.30.30.1</t>
  </si>
  <si>
    <t>29.32.30.00.07.00.04.05.1</t>
  </si>
  <si>
    <t>для грузовых автомобилей, задние</t>
  </si>
  <si>
    <t>28.13.25.00.10.00.40.00.1</t>
  </si>
  <si>
    <t>Турбина</t>
  </si>
  <si>
    <t>к турбокомпрессору</t>
  </si>
  <si>
    <t xml:space="preserve">Турбина в комплекте для Камаз </t>
  </si>
  <si>
    <t>29.32.30.00.03.01.09.02.1</t>
  </si>
  <si>
    <t>29.32.30.00.03.01.12.01.1</t>
  </si>
  <si>
    <t>Пневмогидроусилитель</t>
  </si>
  <si>
    <t>привода сцепления в сборе, для грузовых автомобилей</t>
  </si>
  <si>
    <t xml:space="preserve">  Привод сцепления для Камаз 53215</t>
  </si>
  <si>
    <t>29.32.30.00.15.00.82.10.1</t>
  </si>
  <si>
    <t>22.21.21.00.00.20.10.00.1</t>
  </si>
  <si>
    <t>Гофрированный шланг</t>
  </si>
  <si>
    <t>пластиковый</t>
  </si>
  <si>
    <t xml:space="preserve"> шланг гофрированный для выкачки нечистот диамером 100 мм для Камаза</t>
  </si>
  <si>
    <t>29.10.19.00.00.10.60.10.1</t>
  </si>
  <si>
    <t>Ремкомплект</t>
  </si>
  <si>
    <t>газораспределительного механизма, к легковому автомобилю</t>
  </si>
  <si>
    <t>29.32.30.00.10.10.00.16.1</t>
  </si>
  <si>
    <t>для легковых автомобилей, передний. Комплект 4 штуки</t>
  </si>
  <si>
    <t>29.32.30.00.15.00.02.01.1</t>
  </si>
  <si>
    <t>Балансир</t>
  </si>
  <si>
    <t>со втулками, для легковых автомобилей</t>
  </si>
  <si>
    <t xml:space="preserve"> Ремень балансиров для Mitsubishi Grandis</t>
  </si>
  <si>
    <t>Размер:215/65R16.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</si>
  <si>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22.11.13.00.00.11.10.31.1</t>
  </si>
  <si>
    <t>Размер:8.25 R20 (240Х508 R). Шина резиновая пневматическая новая для автобусов или автомобилей грузовых.. Конструкция шины: радиальная. Комплектность: бескамерная шина.</t>
  </si>
  <si>
    <t>22.11.17.00.11.12.11.12.1</t>
  </si>
  <si>
    <t>Размер:175/70R13. Шина резиновая пневматическая новая  для легковых автомобилей. Конструкция шины: радиальная. Комплектность: бескамерная шина. Номинальный диаметр обода: 13. Летняя шина.</t>
  </si>
  <si>
    <t>29.32.20.00.00.00.60.05.1</t>
  </si>
  <si>
    <t>переднее, триплекс, для прочих автомобилей</t>
  </si>
  <si>
    <t xml:space="preserve"> Стекло лобовое право для снегохода</t>
  </si>
  <si>
    <t>29.32.30.00.09.00.05.03.1</t>
  </si>
  <si>
    <t>Стойка амортизатора передняя</t>
  </si>
  <si>
    <t xml:space="preserve"> Пружина передняя для снегохода</t>
  </si>
  <si>
    <t>29.32.30.00.09.00.06.03.1</t>
  </si>
  <si>
    <t>Стойка амортизатора задняя</t>
  </si>
  <si>
    <t xml:space="preserve"> Пружина задняя для снегохода</t>
  </si>
  <si>
    <t>Ремень вариатора для снегохода</t>
  </si>
  <si>
    <t>29.31.21.00.00.00.10.14.1</t>
  </si>
  <si>
    <t>на легковые автомобили, короткие, рузьба - М18</t>
  </si>
  <si>
    <t>свечи зажигания для снегохода</t>
  </si>
  <si>
    <t>29.32.30.00.01.01.05.04.1</t>
  </si>
  <si>
    <t>для снегохода</t>
  </si>
  <si>
    <t>Снегоход</t>
  </si>
  <si>
    <t>29.32.30.00.15.00.11.01.1</t>
  </si>
  <si>
    <t>Реле зарядки</t>
  </si>
  <si>
    <t>Скутер</t>
  </si>
  <si>
    <t>29.10.52.00.10.10.10.01.1</t>
  </si>
  <si>
    <t>Замок зажигания</t>
  </si>
  <si>
    <t>для квадроцикла</t>
  </si>
  <si>
    <t>Квадроцикл</t>
  </si>
  <si>
    <t>28.29.13.00.00.00.12.05.1</t>
  </si>
  <si>
    <t>28.29.13.00.00.00.11.06.1</t>
  </si>
  <si>
    <t>для прочих автомобилей с двигателем внутреннего сгорания с непосредственным впрыском (инжекторные)</t>
  </si>
  <si>
    <t xml:space="preserve"> фильтр топливный для квадроцикла</t>
  </si>
  <si>
    <t>25.99.26.00.00.10.12.10.1</t>
  </si>
  <si>
    <t>Лопасть</t>
  </si>
  <si>
    <t>Судовых гребных винтов</t>
  </si>
  <si>
    <t>Лопасть двигаиеля катера</t>
  </si>
  <si>
    <t>22.11.15.00.00.00.12.09.1</t>
  </si>
  <si>
    <t>Камера</t>
  </si>
  <si>
    <t>Размер:30-445. Камера резиновая для велосипедов  ГОСТ 4750-89.</t>
  </si>
  <si>
    <t>27.20.21.00.00.00.02.30.1</t>
  </si>
  <si>
    <t>ГОСТ 959-2002 марка 6СТ-110; кислотный, стартерный, напряжением 12 В, емкостью 110 А*час</t>
  </si>
  <si>
    <t>27.20.21.00.00.00.02.07.1</t>
  </si>
  <si>
    <t>кислотный, стартерный</t>
  </si>
  <si>
    <t>напряжение 12 В, номинальная емкость 18 А/ч.</t>
  </si>
  <si>
    <t>напряжение 12 В, номинальная емкость 20 А/ч.</t>
  </si>
  <si>
    <t>Brand name, 1U для монтажа в стойку, не менее 2*2.30-2.80GHz Intel® Xeon® E5-2630 6-Core, 7.2GT/s QPI, 15MB L3 cache, DIMM 32 ГБ DDRIII-PC10600, Matrox® G200eW 16MB integrated Graphics Controller, 8HDD 1200Gb SAS 6G 10000 rpm, 2БП 750 Вт, Middle FAN 8*40х56mm HotSwap 12000+11000 rpm Dual rotor FAN with PWM Speed control, 24 CFM, 56 dBA</t>
  </si>
  <si>
    <t>г.Астана, пр.Республики, 32</t>
  </si>
  <si>
    <t>Brand name, не менее Intel® Q45 Express, Intel® Core™  i5-3470/3,2 ГГц, 4 Гб PC2-6400 DDR3 1333 SDRAM, 1000 Гб Serial ATA 3 Гб/с NCQ/Smart IV Cache 8 MB,  DVD+/-RW, Radeon HD 7450 1 Gb, клавиатура (англ., рус., каз.), манипулятор мышь, лицензионная система Windows® 7 профессиональная, диспелей не менее 21,5 дюйма</t>
  </si>
  <si>
    <t>26.20.13.00.00.02.11.80.1</t>
  </si>
  <si>
    <t>"моноблок", совмещенный монитор  с дисплеем</t>
  </si>
  <si>
    <t>Лицензионное программное обеспечение Microsoft Office 2013 Standard OLP</t>
  </si>
  <si>
    <t>Серверная лицензия на 1С Предприятие 8.x., HASP</t>
  </si>
  <si>
    <t>авансовый платеж - 30%, оставшаяся часть в течение 10 рабочих дней с момента подписания акта приема - передачи поставленных товаров</t>
  </si>
  <si>
    <t>26.20.16.11.13.12.11.40.1</t>
  </si>
  <si>
    <t>Тонерный. Цветной</t>
  </si>
  <si>
    <t>Картридж CF211A от производителя принтера для доукомплектования HP LaserJet PRO 200 M251n, цвет - голубой, 1800 страниц А4 при 5% заполнении. Голубой.</t>
  </si>
  <si>
    <t>Картридж CF212A от производителя принтера для доукомплектования HP LaserJet PRO 200 M251n, цвет - желтый, 1800 страниц А4 при 5% заполнении. Желтый.</t>
  </si>
  <si>
    <t>Картридж CF213A от производителя принтера для доукомплектования HP LaserJet PRO 200 M251n, цвет - пурпурный, 1800 страниц А4 при 5% заполнении. Пурпурный.</t>
  </si>
  <si>
    <t>Картридж 106R02612 от производителя принтера для доукомплектования Xerox Phaser 7100DN, цвет - черный, 10000 страниц</t>
  </si>
  <si>
    <t>Картридж 106R02609 от производителя принтера для доукомплектования Xerox Phaser 7100DN, цвет - голубой, 9000 страниц</t>
  </si>
  <si>
    <t>Картридж 106R02611 от производителя принтера для доукомплектования Xerox Phaser 7100DN, цвет - желтый, 9000 страниц</t>
  </si>
  <si>
    <t>Картридж 106R02610 от производителя принтера для доукомплектования Xerox Phaser 7100DN, цвет - пурпурный, 9000 страниц</t>
  </si>
  <si>
    <t>26.20.16.13.11.11.13.10.1</t>
  </si>
  <si>
    <t>Фотобарабан</t>
  </si>
  <si>
    <t>цветной</t>
  </si>
  <si>
    <t>Фотобарабан 108R01148 от производителя принтера для доукомплектования Xerox Phaser 7100DN, цвет - голубой, желтый, пурпурный, 24000 страниц</t>
  </si>
  <si>
    <t>26.20.16.13.11.11.12.10.1</t>
  </si>
  <si>
    <t>черный</t>
  </si>
  <si>
    <t>Фотобарабан 108R01151 от производителя принтера для доукомплектования Xerox Phaser 7100DN, цвет - черный, 24000 страниц</t>
  </si>
  <si>
    <t>28.30.91.00.00.00.40.10.1</t>
  </si>
  <si>
    <t>Бункер и их части</t>
  </si>
  <si>
    <t>вместилище (стационарное или передвижное) для бестарного хранения сыпучих и кусковых материалов, разгружающееся через нижнюю часть</t>
  </si>
  <si>
    <t>Бункер отработки 106R02624 от производителя принтера для доукомплектования Xerox Phaser 7100DN, 24000 страниц</t>
  </si>
  <si>
    <t>Количество выходных розеток не менее 5, длина шнура не менее 3 метра, номинальное входное напряжение - 220 В</t>
  </si>
  <si>
    <t>26.20.21.01.17.12.11.07.1</t>
  </si>
  <si>
    <t>USB-флеш-накопитель, Интерфейс - USB 3.0, емкость - 16 Гб</t>
  </si>
  <si>
    <t>USB 3.0 Flash Drive 16Gb, cкорость передачи данных интерфейса до 5 Гбит/сек</t>
  </si>
  <si>
    <t>27.20.11.00.00.00.07.40.1</t>
  </si>
  <si>
    <t>Батарейка мизинчиковая типа ААА</t>
  </si>
  <si>
    <t>Кабель телефонный 4х жильный</t>
  </si>
  <si>
    <t>27.32.13.00.02.02.19.03.1</t>
  </si>
  <si>
    <t>Витая пара - UTP, САТ5</t>
  </si>
  <si>
    <t>Кабель UTP 5-Cat</t>
  </si>
  <si>
    <t>USB 2.0 A-B, для подключения периферийных устройств, длина 3 метра, с феритовым фильтром</t>
  </si>
  <si>
    <t>Коммутатор сетевой, 8 портов</t>
  </si>
  <si>
    <t>26.20.15.00.00.01.11.11.1</t>
  </si>
  <si>
    <t>Клавиатура</t>
  </si>
  <si>
    <t>Мультимедийная, содержит дополнительный набор клавиш, выполняющий функции, связанные с управлением мультимедиа.</t>
  </si>
  <si>
    <t>Brand name, проводная, стандартная, англ/рус/каз, PS/2</t>
  </si>
  <si>
    <t>26.20.16.06.12.12.11.30.1</t>
  </si>
  <si>
    <t>Манипулятор "мышь"</t>
  </si>
  <si>
    <t>Оптическая, тип подключения - проводной, интерфейс подключения - USB + PS/2</t>
  </si>
  <si>
    <t>Brand name, проводная, стандартная, 3 кнопки, USB</t>
  </si>
  <si>
    <t>26.20.16.06.12.13.12.30.1</t>
  </si>
  <si>
    <t>Лазерная, тип подключения - беспроводной, способ подключения - Bluetooth</t>
  </si>
  <si>
    <t>Brand name, беспроводная, стандартная, 3 кнопки, USB</t>
  </si>
  <si>
    <t>25.94.13.00.00.10.39.10.1</t>
  </si>
  <si>
    <t>Инструмент</t>
  </si>
  <si>
    <t>для обжима коннекторов</t>
  </si>
  <si>
    <t>Инстурмент обжимной RJ-46, RJ-45,RJ11-12,RJ-9</t>
  </si>
  <si>
    <t>25.94.13.00.00.10.45.10.1</t>
  </si>
  <si>
    <t>Набор слесарных инструментов</t>
  </si>
  <si>
    <t>набор инструментов для слесарных работ</t>
  </si>
  <si>
    <t>Набор инструментов для ремонта электронного оборудования</t>
  </si>
  <si>
    <t>25.73.30.00.00.13.13.01.1</t>
  </si>
  <si>
    <t>Стриппер</t>
  </si>
  <si>
    <t>инструмент для удаления изоляции с концов проводов или разделки кабеля</t>
  </si>
  <si>
    <t>Инструмент для технического обслуживания локальных вычислительных сетей в здании, для разделки кабеля и установки кабельных наконечников и автоматическое сканирование на наличии неисправности, определять целостность проводки и полярность линии, а также отыскивать ненагруженные провода в сети.</t>
  </si>
  <si>
    <t>многофункциональный инструмент для обрезки и зачистки телекоммуникационного экранированного и не экранированного кабеля, категории 5,5e,6 ,RG 58 и коаксиальных кабелей небольшого диаметра. для монтажа витой пары в кросс с врезным контактом</t>
  </si>
  <si>
    <t>Инструмент предназначен для монтажа телефонной и компьютерной сети. В состав набора входят приборы и для определения неисправностей и идентификации кабеля, определения полярности и присутствующего напряжения на линии, а также инструменты для монтажа модульных разъёмов, врезки кабеля в кросс, инструмент для резки и зачистки кабеля.</t>
  </si>
  <si>
    <t>Кабельный тестер</t>
  </si>
  <si>
    <t>Тестер, проверяющий состояние  кабеля или кабельной линии, для оптических кабелей</t>
  </si>
  <si>
    <t>не менее 14 карманов,  Изготовлена из прочного синтетического водонепроницаемого материала Сумка снабжена плечевым ремнем и прочными ручками</t>
  </si>
  <si>
    <t>Инструмент для работы с витой парой, компьютерным, коаксиальным и телефонным кабелями.</t>
  </si>
  <si>
    <t>26.30.21.00.02.16.10.12.1</t>
  </si>
  <si>
    <t>Коммутационная панель (кросс-панель, патч-панель)</t>
  </si>
  <si>
    <t>количество портов - 24, тип разъема RJ45, одной или нескольких  3,5,5e,6,6А,7</t>
  </si>
  <si>
    <t>коммутационная панель (UTP 24xRJ45,1U, 24-port, Сat. 6)</t>
  </si>
  <si>
    <t>22.23.14.00.00.82.19.17.1</t>
  </si>
  <si>
    <t>кабель-канал</t>
  </si>
  <si>
    <t>кабель-канал с двойным замком, напольный, размеры 40х25</t>
  </si>
  <si>
    <t>22.23.14.00.00.82.10.15.1</t>
  </si>
  <si>
    <t>кабель-канал с одним замком, размеры 25х25</t>
  </si>
  <si>
    <t>27.32.13.00.02.02.08.05.1</t>
  </si>
  <si>
    <t>КРВПМ 1*2*0.5</t>
  </si>
  <si>
    <t>27.32.13.00.01.15.20.10.1</t>
  </si>
  <si>
    <t>ПКСВ 2*0.2</t>
  </si>
  <si>
    <t>22.29.21.40.00.00.10.23.1</t>
  </si>
  <si>
    <t>размер 210*297 мм</t>
  </si>
  <si>
    <t>28.99.11.00.00.00.04.01.1</t>
  </si>
  <si>
    <t>Оборудование переплетное, включая брошюровочные машины</t>
  </si>
  <si>
    <t>Машины листоподборочные для комплектовки брошюр и книжных блоков</t>
  </si>
  <si>
    <t>Машина для переплета</t>
  </si>
  <si>
    <t>26.30.30.15.00.00.10.08.1</t>
  </si>
  <si>
    <t>RJ 45, 2 порта</t>
  </si>
  <si>
    <t>22.21.29.00.00.26.20.50.1</t>
  </si>
  <si>
    <t>пластиковый монтажный</t>
  </si>
  <si>
    <t>в упаковке 100 штук</t>
  </si>
  <si>
    <t>32.99.80.00.00.00.00.15.1</t>
  </si>
  <si>
    <t>двухсторонний, свыше 3 см</t>
  </si>
  <si>
    <t>26.20.21.01.14.12.12.10.1</t>
  </si>
  <si>
    <t>Жесткий диск внешний</t>
  </si>
  <si>
    <t>Размер 2,5'', интерфейс USB 3.0, емкость - 1 Тб</t>
  </si>
  <si>
    <t>Brand name, не менее LGA 1155, Intel Core i5/3,4 ГГц, 8 Гб DDR3, 1000 Гб Serial ATA, встроенные динамики, встроенный микрофон, NVIDIA GeForce GTX 775M 2 Гб, IPS-дисплей со светодиодной подсветкой не менее 27 дюймов 2560х1440, GLAN, WiFi, Bluetooth, 4 х USB 3.0, 1 х RJ-45, 2 x Thunderbolt, Card Reader, Line-out, веб-камера, беспроводная мышь, беспроводная клавиатура, операционная система Mac OS X Mountain Lion, корпус из анодированного алюминия и стекла, встроенная камера FaceTime HD</t>
  </si>
  <si>
    <t xml:space="preserve">Профессиональное средство для удаления пятен с любых текстильных покрытий, обивки сидений и салона автомобиля, мягкой мебели.  Средство также эффективно для удаления жировых пятен, обувного крема, жевательной резинки, чернильных пятен с мягкой мебели. В пластиковой бутылке с распылителем, объемом: 500 мл. </t>
  </si>
  <si>
    <t>Полироль для мебели  в аэрозольном флаконе объемом 250 мл. После чистки не оставляет разводов на глянцевых поверхностях, придает блеск. Обладает нейтральным запахом, не раздражает слизистые оболочки. Создает на мебели защитный слой, предохраняющий ее от пыли и других загрязнений.</t>
  </si>
  <si>
    <t>Средство для выведения пятен, отбеливает и дезинфицирует при пониженной температуре (35-40) градусовв процессе замачивания. В пластиковой упаковке, объемом 1000 мл.</t>
  </si>
  <si>
    <t>20.41.32.00.00.00.40.30.3</t>
  </si>
  <si>
    <t>порошкообразное для чистки ковров</t>
  </si>
  <si>
    <t>в пластмассовой бутылке, объемом 750 мл.</t>
  </si>
  <si>
    <t xml:space="preserve"> Порошок предназначен для стирки в стиральных машинах любого типа. Он эффективно отстирывает различные пятна. Порошок содержит особые ингредиенты, которые помогают сохранить цвета ткани во время стирки и предают свежесть вещам. Автомат. Пачка: 6 кг</t>
  </si>
  <si>
    <t>Для удаления известкового налета и ржавчины, В пластиковой упаковке с пульвилизатором объемом: 450 мл.</t>
  </si>
  <si>
    <t>20.59.59.00.17.10.10.11.2</t>
  </si>
  <si>
    <t>смесь летучих органических жидкостей, марка 646, ГОСТ 18188-72</t>
  </si>
  <si>
    <t>Для удаления пятен от красок и жвачек. В пластиковых бутылках: 1 л.</t>
  </si>
  <si>
    <t>Для удаления пятен от красок и жвачек. В пластиковых бутылках: 0,5 л.</t>
  </si>
  <si>
    <t>14.12.30.00.00.80.16.50.1</t>
  </si>
  <si>
    <t>резиновые</t>
  </si>
  <si>
    <t xml:space="preserve">Перчатки резиновые с внутренним утеплением </t>
  </si>
  <si>
    <t>13.95.10.00.00.00.30.10.2</t>
  </si>
  <si>
    <t>Салфетка техническая</t>
  </si>
  <si>
    <t>Салфетки из микрофибры, сухие</t>
  </si>
  <si>
    <t>Тряпки тканые для мытья полов</t>
  </si>
  <si>
    <t>из вафельного полотна</t>
  </si>
  <si>
    <t>13.20.44.00.00.00.00.05.1</t>
  </si>
  <si>
    <t>Марля</t>
  </si>
  <si>
    <t>хлопчатобумажная</t>
  </si>
  <si>
    <t>13.20.20.00.00.20.50.10.2</t>
  </si>
  <si>
    <t>Ткань</t>
  </si>
  <si>
    <t>фланелевая</t>
  </si>
  <si>
    <t xml:space="preserve">Салфетки из микроволокна. В комплекте 4 салфетки. Разноцветные. Размер: 40 см х 40 см. </t>
  </si>
  <si>
    <t>13.92.29.00.00.00.50.30.1</t>
  </si>
  <si>
    <t>Салфетки технические, бесшовные, из вафельного полотна</t>
  </si>
  <si>
    <t>Салфетка прорезиновая</t>
  </si>
  <si>
    <t>32.91.11.00.00.00.13.20.1</t>
  </si>
  <si>
    <t>Шубка для мойки окон, тонковорсистая  длина держателя: 35 см</t>
  </si>
  <si>
    <t>Швабра МОП</t>
  </si>
  <si>
    <t>32.91.11.00.00.00.13.40.1</t>
  </si>
  <si>
    <t>Комплект для уборки полов</t>
  </si>
  <si>
    <t>щетка с совком в комплекте</t>
  </si>
  <si>
    <t>Объем:10-11 л</t>
  </si>
  <si>
    <t>Объем:5-6 л</t>
  </si>
  <si>
    <t>Дозатор для жидких и сыпучих ингредиентов</t>
  </si>
  <si>
    <t>для жидкого мыла настенный из ударопрочного пластика. объем: 300 мл.</t>
  </si>
  <si>
    <t>22.29.23.00.00.00.32.32.1</t>
  </si>
  <si>
    <t>Диспенсер</t>
  </si>
  <si>
    <t>Диспенсер для бумажных полотенец</t>
  </si>
  <si>
    <t>Диспенсер на бумполотенце Z укладка</t>
  </si>
  <si>
    <t>32.99.61.00.00.00.10.01.1</t>
  </si>
  <si>
    <t>Бумагодержатель</t>
  </si>
  <si>
    <t>хромированный</t>
  </si>
  <si>
    <t>в ластикой упаковке, объемом 250мл</t>
  </si>
  <si>
    <t>20.42.16.00.00.00.10.10.4</t>
  </si>
  <si>
    <t>в пластиковой упаковке, объемом 250мл</t>
  </si>
  <si>
    <t>17.22.12.30.00.00.00.10.2</t>
  </si>
  <si>
    <t>Палочки ватные</t>
  </si>
  <si>
    <t>Палочки ватные гигиенические</t>
  </si>
  <si>
    <t>100% хлопок</t>
  </si>
  <si>
    <t>13.92.14.00.00.00.12.01.1</t>
  </si>
  <si>
    <t>Полотенце</t>
  </si>
  <si>
    <t>махровое</t>
  </si>
  <si>
    <t>цвет белый, 100% хлопок Размер: 30х50 см.</t>
  </si>
  <si>
    <t>Веники березовые для сауны</t>
  </si>
  <si>
    <t>Веники дубовые для сауны</t>
  </si>
  <si>
    <t>20.42.15.00.00.00.00.02.1</t>
  </si>
  <si>
    <t>Масло расслабляющее для ухода за кожей и для массажа</t>
  </si>
  <si>
    <t>27.51.24.06.10.01.01.01.1</t>
  </si>
  <si>
    <t>Уничтожитель комаров</t>
  </si>
  <si>
    <t>электрическое устройство для уничтожения комаров</t>
  </si>
  <si>
    <t>фумигатор от комаров</t>
  </si>
  <si>
    <t>32.99.87.00.00.00.00.14.1</t>
  </si>
  <si>
    <t>Ковш</t>
  </si>
  <si>
    <t xml:space="preserve"> ковш-черпак деревянный</t>
  </si>
  <si>
    <t>ковш для бани и сауны, с вертикальной ручкой, бондарный, 0,6 л</t>
  </si>
  <si>
    <t xml:space="preserve">32.99.87.00.00.00.00.15.1 </t>
  </si>
  <si>
    <t>Ведро </t>
  </si>
  <si>
    <t>деревянное</t>
  </si>
  <si>
    <t>ведро для бани и сауны, дубовое с крышкой.</t>
  </si>
  <si>
    <t>20.41.31.00.00.10.10.70.1</t>
  </si>
  <si>
    <t>твердое, одноразовое</t>
  </si>
  <si>
    <t>Средство отбеливающее  предназначено для отбеливания хлопчатобумажных, льняных, смесовых, синтетических тканей и дезинфицирования тканей и поверхностей.  Не содержит хлора. Быстро и эффективно удаляет пятна. В пластиковой упаковке, объемом 1000 мл.</t>
  </si>
  <si>
    <t>Автомат. Пачка: 15 кг</t>
  </si>
  <si>
    <t>20.20.14.00.00.00.30.10.4</t>
  </si>
  <si>
    <t>Средства дезинфицирующие прочие</t>
  </si>
  <si>
    <t>Блок для унитаза.  устраняет источник бактерий. Предотвращает появление известкового налета. Обеспечивает свежий аромат.</t>
  </si>
  <si>
    <t>20.41.44.00.00.00.00.24.1</t>
  </si>
  <si>
    <t>Крем</t>
  </si>
  <si>
    <t>от комаров</t>
  </si>
  <si>
    <t>в тюбике , объемом 100 гр.</t>
  </si>
  <si>
    <t>лосьоны "после бритья", квасцы в виде кубиков и кровоостанавливающие карандаши.</t>
  </si>
  <si>
    <t>Туалетные расчески всех типов, включая расчески для животных.</t>
  </si>
  <si>
    <t>20.42.18.00.00.00.10.20.2</t>
  </si>
  <si>
    <t>Паста зубная</t>
  </si>
  <si>
    <t>желеобразная масса (паста или гель) для чистки зубов</t>
  </si>
  <si>
    <t>Бритвенный станок одноразовый</t>
  </si>
  <si>
    <t>13.92.29.00.00.00.30.40.1</t>
  </si>
  <si>
    <t>Тряпки для удаления пыли, из прочих текстильных материалов</t>
  </si>
  <si>
    <t>Тряпки  хорошо впитывают жидкость, прекрасно стираются. Могут использоваться с любыми моющими средствами, включая отбеливатели. Яркие насыщенные цвета.
Предназначена для всех видов уборки.</t>
  </si>
  <si>
    <t>32.91.11.00.00.00.15.20.1</t>
  </si>
  <si>
    <t>Щетка обувная</t>
  </si>
  <si>
    <t>32.91.11.00.00.00.15.30.1</t>
  </si>
  <si>
    <t>Щетка одежная</t>
  </si>
  <si>
    <t>32.91.11.00.00.00.15.40.1</t>
  </si>
  <si>
    <t>Щетка санитарно-бытовая</t>
  </si>
  <si>
    <t>Щетка железная</t>
  </si>
  <si>
    <t xml:space="preserve">Губки из нержавеющей стали. В упаковке 10-12 шт. </t>
  </si>
  <si>
    <t>22.22.12.40.00.00.10.10.1</t>
  </si>
  <si>
    <t>Пакет</t>
  </si>
  <si>
    <t>полиэтиленовый</t>
  </si>
  <si>
    <t>Полиэтиленовый. Размер: 25х45 см, в рулоне 100 шт. "маечки"</t>
  </si>
  <si>
    <t>Пакет полиэтеленовый без ручек. в рулоне 100 шт.</t>
  </si>
  <si>
    <t>20.42.18.20.10.10.10.20.1</t>
  </si>
  <si>
    <t>Зубочистка</t>
  </si>
  <si>
    <t>деревянные, в упаковке</t>
  </si>
  <si>
    <t>17.22.12.30.00.00.00.10.1</t>
  </si>
  <si>
    <t>32.99.87.00.00.00.00.12.1</t>
  </si>
  <si>
    <t>Пояс банный (мочалка)</t>
  </si>
  <si>
    <t>Пояс банный из синтетических материалов, средней жесткости</t>
  </si>
  <si>
    <t>Мочалки/ вихотки для душа</t>
  </si>
  <si>
    <t>32.91.11.00.00.00.19.10.1</t>
  </si>
  <si>
    <t>Губка (мочалка)</t>
  </si>
  <si>
    <t>синтетическая</t>
  </si>
  <si>
    <t>Губка для душа</t>
  </si>
  <si>
    <t xml:space="preserve">Салфетки. Материал - микрофибра. Размеры: 40х40 см. В упаковке 3 шт. Не оставляет разводов и ворсинок, легко удаляет пыль и другие загрязнения. Имеет антистатические свойства, долговечна в использовании. </t>
  </si>
  <si>
    <t>Туалетная бумага  4-х слойная, белая, ширина 9,5 см, длинна 23 м, деление на листочки по 12,5 см, в руллоне  184 деления на листочки.  натуральный продукт. В упаковке 4 штуки. Цвет - белый, без аромата.</t>
  </si>
  <si>
    <t>17.22.11.10.00.00.00.13.2</t>
  </si>
  <si>
    <t>двухслойная</t>
  </si>
  <si>
    <t xml:space="preserve">Туалетная бумага  2-х слойная, ширина не менее 90 см, длинна 30 м, натуральный продукт. В упаковке 4 штуки. Цвет - белый. СТ РК ГОСТ Р 52354-2008.  </t>
  </si>
  <si>
    <t>32.91.11.00.00.00.17.20.1</t>
  </si>
  <si>
    <t xml:space="preserve"> с аброзивной стороной.</t>
  </si>
  <si>
    <t>твердое, 1 группы, 72%, ГОСТ 30266-95</t>
  </si>
  <si>
    <t>Не должно иметь резкий запах, не должно раскисать, рассыпаться, размокать. вес: 200 гр.</t>
  </si>
  <si>
    <t xml:space="preserve">белое, увлажняющее крем - мыло , в пластмассовой бутылке с дозатором, объемом 450 мл. Содержит натуральные экстракты, с миндалевым молочком и витаминами. </t>
  </si>
  <si>
    <t xml:space="preserve">Гелеобразное средство для чистки и дезинфекции унитаза. Объем: 900 мл. В пластмассовой бутылке эффективно справляется с загрязнениями в труднодоступных местах, уничтожает 99,9% микробов, удаляет известковый налет и ржавчину, оставляет после себя свежий аромат. </t>
  </si>
  <si>
    <t xml:space="preserve">в пластмассовой бутылке, объемом: 500 мл.  С ароматом лимона, с защитным компонентами для кожи рук.  </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</si>
  <si>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</si>
  <si>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</si>
  <si>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</si>
  <si>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</si>
  <si>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</si>
  <si>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</si>
  <si>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</si>
  <si>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</si>
  <si>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</si>
  <si>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</si>
  <si>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</si>
  <si>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</si>
  <si>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</si>
  <si>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</si>
  <si>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</si>
  <si>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</si>
  <si>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</si>
  <si>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</si>
  <si>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</si>
  <si>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</si>
  <si>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</si>
  <si>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</si>
  <si>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</si>
  <si>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</si>
  <si>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</si>
  <si>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</si>
  <si>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</si>
  <si>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</si>
  <si>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</si>
  <si>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</si>
  <si>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</si>
  <si>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</si>
  <si>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</si>
  <si>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</si>
  <si>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</si>
  <si>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</si>
  <si>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</si>
  <si>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</si>
  <si>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</si>
  <si>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</si>
  <si>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</si>
  <si>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</si>
  <si>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</si>
  <si>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</si>
  <si>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</si>
  <si>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</si>
  <si>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</si>
  <si>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</si>
  <si>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</si>
  <si>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</si>
  <si>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</si>
  <si>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</si>
  <si>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</si>
  <si>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</si>
  <si>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</si>
  <si>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</si>
  <si>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</si>
  <si>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</si>
  <si>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</si>
  <si>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</si>
  <si>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</si>
  <si>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</si>
  <si>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</si>
  <si>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</si>
  <si>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</si>
  <si>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</si>
  <si>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</si>
  <si>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</si>
  <si>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</si>
  <si>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</si>
  <si>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</si>
  <si>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</si>
  <si>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</si>
  <si>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</si>
  <si>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</si>
  <si>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</si>
  <si>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</si>
  <si>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</si>
  <si>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</si>
  <si>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</si>
  <si>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</si>
  <si>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</si>
  <si>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</si>
  <si>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</si>
  <si>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</si>
  <si>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</si>
  <si>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</si>
  <si>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</si>
  <si>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</si>
  <si>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</si>
  <si>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</si>
  <si>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</si>
  <si>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</si>
  <si>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</si>
  <si>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</si>
  <si>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</si>
  <si>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</si>
  <si>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</si>
  <si>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</si>
  <si>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</si>
  <si>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</si>
  <si>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</si>
  <si>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</si>
  <si>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</si>
  <si>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</si>
  <si>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</si>
  <si>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</si>
  <si>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</si>
  <si>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</si>
  <si>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</si>
  <si>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</si>
  <si>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</si>
  <si>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</si>
  <si>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</si>
  <si>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</si>
  <si>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</si>
  <si>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</si>
  <si>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</si>
  <si>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</si>
  <si>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</si>
  <si>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</si>
  <si>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</si>
  <si>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</si>
  <si>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</si>
  <si>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</si>
  <si>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</si>
  <si>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</si>
  <si>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</si>
  <si>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</si>
  <si>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</si>
  <si>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</si>
  <si>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</si>
  <si>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</si>
  <si>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</si>
  <si>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</si>
  <si>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</si>
  <si>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</si>
  <si>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</si>
  <si>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</si>
  <si>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</si>
  <si>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</si>
  <si>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</si>
  <si>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</si>
  <si>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</si>
  <si>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</si>
  <si>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</si>
  <si>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</si>
  <si>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</si>
  <si>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</si>
  <si>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</si>
  <si>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</si>
  <si>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</si>
  <si>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</si>
  <si>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</si>
  <si>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</si>
  <si>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</si>
  <si>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</si>
  <si>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</si>
  <si>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</si>
  <si>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</si>
  <si>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</si>
  <si>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</si>
  <si>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</si>
  <si>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</si>
  <si>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</si>
  <si>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</si>
  <si>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</si>
  <si>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</si>
  <si>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</si>
  <si>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</si>
  <si>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</si>
  <si>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</si>
  <si>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</si>
  <si>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</si>
  <si>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</si>
  <si>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</si>
  <si>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</si>
  <si>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</si>
  <si>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</si>
  <si>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</si>
  <si>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</si>
  <si>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</si>
  <si>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</si>
  <si>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</si>
  <si>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</si>
  <si>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</si>
  <si>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</si>
  <si>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</si>
  <si>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</si>
  <si>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</si>
  <si>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</si>
  <si>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</si>
  <si>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</si>
  <si>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</si>
  <si>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</si>
  <si>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</si>
  <si>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</si>
  <si>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</si>
  <si>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</si>
  <si>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</si>
  <si>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</si>
  <si>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</si>
  <si>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</si>
  <si>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</si>
  <si>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</si>
  <si>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</si>
  <si>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</si>
  <si>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</si>
  <si>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</si>
  <si>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</si>
  <si>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</si>
  <si>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</si>
  <si>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</si>
  <si>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</si>
  <si>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</si>
  <si>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</si>
  <si>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</si>
  <si>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</si>
  <si>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</si>
  <si>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</si>
  <si>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</si>
  <si>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</si>
  <si>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</si>
  <si>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</si>
  <si>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</si>
  <si>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</si>
  <si>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</si>
  <si>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</si>
  <si>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</si>
  <si>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</si>
  <si>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</si>
  <si>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</si>
  <si>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</si>
  <si>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</si>
  <si>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</si>
  <si>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</si>
  <si>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</si>
  <si>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</si>
  <si>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</si>
  <si>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</si>
  <si>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</si>
  <si>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</si>
  <si>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</si>
  <si>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</si>
  <si>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</si>
  <si>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</si>
  <si>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</si>
  <si>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</si>
  <si>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</si>
  <si>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</si>
  <si>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</si>
  <si>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</si>
  <si>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</si>
  <si>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</si>
  <si>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</si>
  <si>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</si>
  <si>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</si>
  <si>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</si>
  <si>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</si>
  <si>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</si>
  <si>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</si>
  <si>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</si>
  <si>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</si>
  <si>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</si>
  <si>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</si>
  <si>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</si>
  <si>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</si>
  <si>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</si>
  <si>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</si>
  <si>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</si>
  <si>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</si>
  <si>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</si>
  <si>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</si>
  <si>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</si>
  <si>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</si>
  <si>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</si>
  <si>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</si>
  <si>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</si>
  <si>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</si>
  <si>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</si>
  <si>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</si>
  <si>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</si>
  <si>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</si>
  <si>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</si>
  <si>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</si>
  <si>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</si>
  <si>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</si>
  <si>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</si>
  <si>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</si>
  <si>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</si>
  <si>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</si>
  <si>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</si>
  <si>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</si>
  <si>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</si>
  <si>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</si>
  <si>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</si>
  <si>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</si>
  <si>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</si>
  <si>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</si>
  <si>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</si>
  <si>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</si>
  <si>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</si>
  <si>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</si>
  <si>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</si>
  <si>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</si>
  <si>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</si>
  <si>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</si>
  <si>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</si>
  <si>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</si>
  <si>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</si>
  <si>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</si>
  <si>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</si>
  <si>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</si>
  <si>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</si>
  <si>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</si>
  <si>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</si>
  <si>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</si>
  <si>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</si>
  <si>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</si>
  <si>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</si>
  <si>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</si>
  <si>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</si>
  <si>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</si>
  <si>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</si>
  <si>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</si>
  <si>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</si>
  <si>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</si>
  <si>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</si>
  <si>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</si>
  <si>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</si>
  <si>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</si>
  <si>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</si>
  <si>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</si>
  <si>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</si>
  <si>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</si>
  <si>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</si>
  <si>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</si>
  <si>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</si>
  <si>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</si>
  <si>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</si>
  <si>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</si>
  <si>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</si>
  <si>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</si>
  <si>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</si>
  <si>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</si>
  <si>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</si>
  <si>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</si>
  <si>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</si>
  <si>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</si>
  <si>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</si>
  <si>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</si>
  <si>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</si>
  <si>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</si>
  <si>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</si>
  <si>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</si>
  <si>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</si>
  <si>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</si>
  <si>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</si>
  <si>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</si>
  <si>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</si>
  <si>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</si>
  <si>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</si>
  <si>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</si>
  <si>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</si>
  <si>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</si>
  <si>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</si>
  <si>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148 У</t>
  </si>
  <si>
    <t>21.20.13.00.00.03.87.04.1</t>
  </si>
  <si>
    <t>Амбробене</t>
  </si>
  <si>
    <t>21.20.11.00.00.00.12.18.3</t>
  </si>
  <si>
    <t xml:space="preserve">Ампициллин </t>
  </si>
  <si>
    <t>21.20.13.00.00.03.12.10.1</t>
  </si>
  <si>
    <t>21.20.13.00.00.03.87.02.1</t>
  </si>
  <si>
    <t>21.20.13.00.00.03.99.98.1</t>
  </si>
  <si>
    <t>21.10.51.00.00.02.41.10.1</t>
  </si>
  <si>
    <t>21.20.13.00.00.03.32.81.1</t>
  </si>
  <si>
    <t>21.20.13.00.00.03.32.91.1</t>
  </si>
  <si>
    <t>Банка условная</t>
  </si>
  <si>
    <t>21.20.11.00.00.00.27.80.1</t>
  </si>
  <si>
    <t>Биопарокс</t>
  </si>
  <si>
    <t>21.20.11.00.00.00.26.30.1</t>
  </si>
  <si>
    <t>Бисептол</t>
  </si>
  <si>
    <t>21.20.13.00.00.03.99.65.1</t>
  </si>
  <si>
    <t>28.29.13.00.00.00.10.12.1</t>
  </si>
  <si>
    <t>Toyota Hiace</t>
  </si>
  <si>
    <t>29.32.30.00.07.00.04.06.1</t>
  </si>
  <si>
    <t>29.32.30.00.09.00.01.04.1</t>
  </si>
  <si>
    <t xml:space="preserve"> шаровая опора нижняя  для Toyota Hiace</t>
  </si>
  <si>
    <t xml:space="preserve"> шаровая опора верхняя  для Toyota Hiace</t>
  </si>
  <si>
    <t>22.19.42.00.00.10.10.00.1</t>
  </si>
  <si>
    <t>22.19.42.00.00.10.20.16.1</t>
  </si>
  <si>
    <t>ПАЗ 4234</t>
  </si>
  <si>
    <t>28.29.13.00.00.00.11.12.1</t>
  </si>
  <si>
    <t>22.19.42.00.00.10.20.10.1</t>
  </si>
  <si>
    <t>22.19.42.00.00.10.20.12.1</t>
  </si>
  <si>
    <t>22.19.42.00.00.10.20.18.1</t>
  </si>
  <si>
    <t>28.13.31.00.00.00.91.10.1</t>
  </si>
  <si>
    <t xml:space="preserve"> ВАЗ 21213</t>
  </si>
  <si>
    <t>ВАЗ 21213</t>
  </si>
  <si>
    <t>28.29.60.00.00.00.21.10.1</t>
  </si>
  <si>
    <t>29.31.21.00.00.00.10.13.2</t>
  </si>
  <si>
    <t>ГАЗ 2705</t>
  </si>
  <si>
    <t>29.32.30.00.07.00.04.02.1</t>
  </si>
  <si>
    <t>МТЗ-82</t>
  </si>
  <si>
    <t>28.29.13.00.00.00.11.09.1</t>
  </si>
  <si>
    <t>29.32.30.00.03.01.03.03.1</t>
  </si>
  <si>
    <t>29.32.30.00.06.04.02.03.1</t>
  </si>
  <si>
    <t xml:space="preserve"> рулевая тяга в комплекте для МТЗ-82</t>
  </si>
  <si>
    <t>МКСМ 800</t>
  </si>
  <si>
    <t>28.29.13.00.00.00.11.08.1</t>
  </si>
  <si>
    <t>29.32.30.00.01.01.05.03.1</t>
  </si>
  <si>
    <t>29.32.30.00.14.00.01.50.1</t>
  </si>
  <si>
    <t>Карбюратор</t>
  </si>
  <si>
    <t>Камаз 53215</t>
  </si>
  <si>
    <t>28.29.13.00.00.00.10.18.1</t>
  </si>
  <si>
    <t>Шина</t>
  </si>
  <si>
    <t>22.11.17.00.11.15.11.36.1</t>
  </si>
  <si>
    <t>Mitsubishi Grandis</t>
  </si>
  <si>
    <t>22.11.13.00.00.00.12.12.1</t>
  </si>
  <si>
    <t>27.20.21.00.00.00.02.45.1</t>
  </si>
  <si>
    <t>Аккумулятор</t>
  </si>
  <si>
    <t>27.20.21.00.00.00.02.25.2</t>
  </si>
  <si>
    <t>27.20.21.00.00.00.02.15.2</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</si>
  <si>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</si>
  <si>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</si>
  <si>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</si>
  <si>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</si>
  <si>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</si>
  <si>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</si>
  <si>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</si>
  <si>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</si>
  <si>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</si>
  <si>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</si>
  <si>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</si>
  <si>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</si>
  <si>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</si>
  <si>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</si>
  <si>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</si>
  <si>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</si>
  <si>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</si>
  <si>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</si>
  <si>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</si>
  <si>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</si>
  <si>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</si>
  <si>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</si>
  <si>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</si>
  <si>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</si>
  <si>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</si>
  <si>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</si>
  <si>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</si>
  <si>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</si>
  <si>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</si>
  <si>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</si>
  <si>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</si>
  <si>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</si>
  <si>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</si>
  <si>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</si>
  <si>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</si>
  <si>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</si>
  <si>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</si>
  <si>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</si>
  <si>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</si>
  <si>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</si>
  <si>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</si>
  <si>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</si>
  <si>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</si>
  <si>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</si>
  <si>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</si>
  <si>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</si>
  <si>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</si>
  <si>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</si>
  <si>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</si>
  <si>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</si>
  <si>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</si>
  <si>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</si>
  <si>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</si>
  <si>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</si>
  <si>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</si>
  <si>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</si>
  <si>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</si>
  <si>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</si>
  <si>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</si>
  <si>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</si>
  <si>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</si>
  <si>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</si>
  <si>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</si>
  <si>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</si>
  <si>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</si>
  <si>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</si>
  <si>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</si>
  <si>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</si>
  <si>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</si>
  <si>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</si>
  <si>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</si>
  <si>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</si>
  <si>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</si>
  <si>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</si>
  <si>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1711 Т</t>
  </si>
  <si>
    <t>1712 Т</t>
  </si>
  <si>
    <t>1713 Т</t>
  </si>
  <si>
    <t>1714 Т</t>
  </si>
  <si>
    <t>1715 Т</t>
  </si>
  <si>
    <t>1716 Т</t>
  </si>
  <si>
    <t>1717 Т</t>
  </si>
  <si>
    <t>1718 Т</t>
  </si>
  <si>
    <t>1719 Т</t>
  </si>
  <si>
    <t>1720 Т</t>
  </si>
  <si>
    <t>1721 Т</t>
  </si>
  <si>
    <t>1722 Т</t>
  </si>
  <si>
    <t>1723 Т</t>
  </si>
  <si>
    <t>1724 Т</t>
  </si>
  <si>
    <t>1725 Т</t>
  </si>
  <si>
    <t>1727 Т</t>
  </si>
  <si>
    <t>1728 Т</t>
  </si>
  <si>
    <t>1729 Т</t>
  </si>
  <si>
    <t>1730 Т</t>
  </si>
  <si>
    <t>1731 Т</t>
  </si>
  <si>
    <t>1733 Т</t>
  </si>
  <si>
    <t>1734 Т</t>
  </si>
  <si>
    <t>1736 Т</t>
  </si>
  <si>
    <t>1738 Т</t>
  </si>
  <si>
    <t>1740 Т</t>
  </si>
  <si>
    <t>1742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</si>
  <si>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</si>
  <si>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</si>
  <si>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</si>
  <si>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</si>
  <si>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</si>
  <si>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</si>
  <si>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</si>
  <si>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</si>
  <si>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</si>
  <si>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</si>
  <si>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</si>
  <si>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</si>
  <si>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</si>
  <si>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</si>
  <si>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</si>
  <si>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</si>
  <si>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</si>
  <si>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</si>
  <si>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</si>
  <si>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</si>
  <si>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</si>
  <si>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</si>
  <si>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</si>
  <si>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</si>
  <si>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</si>
  <si>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</si>
  <si>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</si>
  <si>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</si>
  <si>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</si>
  <si>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</si>
  <si>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</si>
  <si>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</si>
  <si>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</si>
  <si>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</si>
  <si>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</si>
  <si>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</si>
  <si>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</si>
  <si>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</si>
  <si>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</si>
  <si>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</si>
  <si>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</si>
  <si>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</si>
  <si>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</si>
  <si>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</si>
  <si>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</si>
  <si>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</si>
  <si>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</si>
  <si>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</si>
  <si>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</si>
  <si>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</si>
  <si>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</si>
  <si>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</si>
  <si>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</si>
  <si>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</si>
  <si>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</si>
  <si>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</si>
  <si>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</si>
  <si>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</si>
  <si>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</si>
  <si>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1804 Т</t>
  </si>
  <si>
    <t>1805 Т</t>
  </si>
  <si>
    <t>1806 Т</t>
  </si>
  <si>
    <t>1807 Т</t>
  </si>
  <si>
    <t>1808 Т</t>
  </si>
  <si>
    <t>1809 Т</t>
  </si>
  <si>
    <t>1810 Т</t>
  </si>
  <si>
    <t>1811 Т</t>
  </si>
  <si>
    <t>1812 Т</t>
  </si>
  <si>
    <t>1813 Т</t>
  </si>
  <si>
    <t>1814 Т</t>
  </si>
  <si>
    <t>1815 Т</t>
  </si>
  <si>
    <t>1816 Т</t>
  </si>
  <si>
    <t>1817 Т</t>
  </si>
  <si>
    <t>1818 Т</t>
  </si>
  <si>
    <t>1819 Т</t>
  </si>
  <si>
    <t>01.23.12.00.00.00.01.10.2</t>
  </si>
  <si>
    <t>Лимон</t>
  </si>
  <si>
    <t>фруктовые сорта</t>
  </si>
  <si>
    <t>01.24.25.00.00.00.01.10.2</t>
  </si>
  <si>
    <t>01.24.10.00.00.00.01.10.2</t>
  </si>
  <si>
    <t>01.23.13.00.00.00.03.10.2</t>
  </si>
  <si>
    <t>01.22.12.00.00.00.01.40.2</t>
  </si>
  <si>
    <t>01.13.33.00.00.00.01.10.1</t>
  </si>
  <si>
    <t>01.24.29.00.00.00.04.00.2</t>
  </si>
  <si>
    <t>10.39.25.00.00.00.12.12.1</t>
  </si>
  <si>
    <t>01.11.75.00.00.00.01.10.2</t>
  </si>
  <si>
    <t>10.39.25.00.00.00.11.05.1</t>
  </si>
  <si>
    <t>10.39.25.00.00.00.11.15.1</t>
  </si>
  <si>
    <t>01.13.90.00.00.00.02.10.1</t>
  </si>
  <si>
    <t>26.20.18.00.03.13.12.10.1</t>
  </si>
  <si>
    <t>26.20.16.11.13.11.11.10.1</t>
  </si>
  <si>
    <t>Картридж</t>
  </si>
  <si>
    <t>69.20.10.10.00.00.00</t>
  </si>
  <si>
    <t>г.Астана</t>
  </si>
  <si>
    <t>13 У</t>
  </si>
  <si>
    <t>62.09.20.10.17.00.00</t>
  </si>
  <si>
    <t>14 У</t>
  </si>
  <si>
    <t>32.99.82.00.00.10.10.14.1</t>
  </si>
  <si>
    <t>27.20.11.00.00.00.07.20.1</t>
  </si>
  <si>
    <t>Батарейка</t>
  </si>
  <si>
    <t>27.20.11.00.00.00.11.10.1</t>
  </si>
  <si>
    <t>27.31.12.00.00.26.10.10.1</t>
  </si>
  <si>
    <t>UTP Cat.5e</t>
  </si>
  <si>
    <t>27.32.13.00.02.04.26.20.1</t>
  </si>
  <si>
    <t>Кабель</t>
  </si>
  <si>
    <t>26.30.30.12.11.11.11.11.1</t>
  </si>
  <si>
    <t>Диск DVD-R</t>
  </si>
  <si>
    <t>26.80.12.00.00.21.11.10.1</t>
  </si>
  <si>
    <t>26.80.12.00.00.01.11.10.1</t>
  </si>
  <si>
    <t>Диск CD-R</t>
  </si>
  <si>
    <t>17.12.13.40.10.00.00.10.1</t>
  </si>
  <si>
    <t>32.99.80.00.00.00.00.11.1</t>
  </si>
  <si>
    <t>Скотч</t>
  </si>
  <si>
    <t>26.51.66.22.00.00.10.11.1</t>
  </si>
  <si>
    <t>Тестер</t>
  </si>
  <si>
    <t>Лента</t>
  </si>
  <si>
    <t>25.99.23.00.00.10.11.10.1</t>
  </si>
  <si>
    <t>метр</t>
  </si>
  <si>
    <t>006</t>
  </si>
  <si>
    <t>61.10.11.06.01.00.00</t>
  </si>
  <si>
    <t>16 У</t>
  </si>
  <si>
    <t>61.10.43.01.01.00.00</t>
  </si>
  <si>
    <t>17 У</t>
  </si>
  <si>
    <t>18 У</t>
  </si>
  <si>
    <t>61.20.11.10.00.00.00</t>
  </si>
  <si>
    <t>58.29.50.10.13.00.00</t>
  </si>
  <si>
    <t>62.02.30.10.10.00.00</t>
  </si>
  <si>
    <t>53.10.12.20.12.00.00</t>
  </si>
  <si>
    <t>26 У</t>
  </si>
  <si>
    <t>27 У</t>
  </si>
  <si>
    <t>21.20.24.00.00.00.34.20.1</t>
  </si>
  <si>
    <t>19.20.21.00.00.00.11.40.1</t>
  </si>
  <si>
    <t>Бензин</t>
  </si>
  <si>
    <t>99.99%</t>
  </si>
  <si>
    <t>Литр (куб. дм.)</t>
  </si>
  <si>
    <t>ОТП</t>
  </si>
  <si>
    <t>22.11.17.00.11.15.11.37.1</t>
  </si>
  <si>
    <t>Автошина</t>
  </si>
  <si>
    <t>22.29.25.00.00.00.20.15.1</t>
  </si>
  <si>
    <t>17.23.12.30.00.00.00.70.1</t>
  </si>
  <si>
    <t>32.99.81.00.00.10.10.11.1</t>
  </si>
  <si>
    <t>Штрих-корректор</t>
  </si>
  <si>
    <t>22.29.25.00.00.00.23.18.1</t>
  </si>
  <si>
    <t>22.29.25.00.00.00.27.21.2</t>
  </si>
  <si>
    <t>25.99.23.00.00.11.11.13.1</t>
  </si>
  <si>
    <t>Скрепка</t>
  </si>
  <si>
    <t>Скрепки для бумаг. Размер 28 мм</t>
  </si>
  <si>
    <t>33.12.29.20.00.00.00</t>
  </si>
  <si>
    <t>г.Алматы</t>
  </si>
  <si>
    <t>52.21.24.10.00.00.00</t>
  </si>
  <si>
    <t>49.32.12.10.00.00.00</t>
  </si>
  <si>
    <t>52.21.24.12.00.00.00</t>
  </si>
  <si>
    <t>68.20.12.00.00.00.01</t>
  </si>
  <si>
    <t>1 Р</t>
  </si>
  <si>
    <t>28 У</t>
  </si>
  <si>
    <t>30 У</t>
  </si>
  <si>
    <t>32 У</t>
  </si>
  <si>
    <t>33 У</t>
  </si>
  <si>
    <t>34 У</t>
  </si>
  <si>
    <t>35 У</t>
  </si>
  <si>
    <t>36 У</t>
  </si>
  <si>
    <t>17.23.12.30.00.00.00.01.2</t>
  </si>
  <si>
    <t>Папка</t>
  </si>
  <si>
    <t>17.23.12.10.00.00.00.06.1</t>
  </si>
  <si>
    <t>Конверт</t>
  </si>
  <si>
    <t>37 У</t>
  </si>
  <si>
    <t>53.10.12.30.10.00.00</t>
  </si>
  <si>
    <t>26.30.21.00.02.13.11.10.1</t>
  </si>
  <si>
    <t>38 У</t>
  </si>
  <si>
    <t>39 У</t>
  </si>
  <si>
    <t>28.29.13.00.00.00.12.01.1</t>
  </si>
  <si>
    <t>Ssang Yong Chairman</t>
  </si>
  <si>
    <t xml:space="preserve"> IVECO A 50,13</t>
  </si>
  <si>
    <t>Hyundai Universe</t>
  </si>
  <si>
    <t>МКСМ-800</t>
  </si>
  <si>
    <t>28.29.13.00.00.00.12.02.1</t>
  </si>
  <si>
    <t>28.29.13.00.00.00.11.04.1</t>
  </si>
  <si>
    <t xml:space="preserve"> Ssang Yong Chairman</t>
  </si>
  <si>
    <t>29.32.30.00.07.00.04.01.1</t>
  </si>
  <si>
    <t xml:space="preserve"> IVECO A 50, 13</t>
  </si>
  <si>
    <t>29.32.30.00.07.00.04.04.1</t>
  </si>
  <si>
    <t>11.07.11.00.00.00.06.20.4</t>
  </si>
  <si>
    <t>11.07.11.00.00.00.06.20.2</t>
  </si>
  <si>
    <t>11.07.11.00.00.00.06.20.1</t>
  </si>
  <si>
    <t>1632 Т</t>
  </si>
  <si>
    <t>144 У</t>
  </si>
  <si>
    <t>145 У</t>
  </si>
  <si>
    <t>146 У</t>
  </si>
  <si>
    <t>147 У</t>
  </si>
  <si>
    <t>96.09.19.90.18.00.00</t>
  </si>
  <si>
    <t>25.72.13.00.00.31.10.10.1</t>
  </si>
  <si>
    <t>25.72.14.00.00.60.50.10.1</t>
  </si>
  <si>
    <t>328 Т</t>
  </si>
  <si>
    <t>20.59.59.00.17.10.10.11.1</t>
  </si>
  <si>
    <t>Плинтус</t>
  </si>
  <si>
    <t>20.30.22.00.00.00.43.10.1</t>
  </si>
  <si>
    <t xml:space="preserve">Олифа </t>
  </si>
  <si>
    <t>23.64.10.00.20.50.00.02.1</t>
  </si>
  <si>
    <t>22.29.21.20.00.00.10.20.1</t>
  </si>
  <si>
    <t>Серпянка</t>
  </si>
  <si>
    <t>25.94.11.00.00.10.22.10.2</t>
  </si>
  <si>
    <t>22.19.72.00.00.00.30.40.1</t>
  </si>
  <si>
    <t>25.12.10.00.00.17.10.10.1</t>
  </si>
  <si>
    <t>25.73.30.00.00.19.10.10.1</t>
  </si>
  <si>
    <t>17.12.77.20.00.00.00.10.2</t>
  </si>
  <si>
    <t>22.19.27.00.00.40.40.10.1</t>
  </si>
  <si>
    <t>25.11.23.00.00.10.30.11.3</t>
  </si>
  <si>
    <t>25.72.11.00.00.12.14.10.1</t>
  </si>
  <si>
    <t>20.30.11.00.00.00.10.50.1</t>
  </si>
  <si>
    <t>22.21.29.00.00.27.05.10.1</t>
  </si>
  <si>
    <t>20.41.32.00.00.00.40.10.1</t>
  </si>
  <si>
    <t>20.41.32.00.00.00.40.10.2</t>
  </si>
  <si>
    <t>20.41.32.00.00.00.30.40.3</t>
  </si>
  <si>
    <t>20.41.44.00.00.00.00.10.1</t>
  </si>
  <si>
    <t>20.20.14.00.00.00.20.10.1</t>
  </si>
  <si>
    <t>банка</t>
  </si>
  <si>
    <t>20.41.41.00.00.00.20.20.1</t>
  </si>
  <si>
    <t>20.41.31.00.00.10.20.10.1</t>
  </si>
  <si>
    <t>20.41.32.00.00.00.40.31.2</t>
  </si>
  <si>
    <t>20.41.31.00.00.10.40.10.1</t>
  </si>
  <si>
    <t>20.41.32.00.00.00.20.10.1</t>
  </si>
  <si>
    <t>20.41.41.00.00.00.10.10.3</t>
  </si>
  <si>
    <t>20.41.31.00.00.10.10.50.1</t>
  </si>
  <si>
    <t>20.41.31.00.00.10.10.10.1</t>
  </si>
  <si>
    <t>20.41.32.00.00.00.10.10.1</t>
  </si>
  <si>
    <t>20.41.32.00.00.00.60.10.1</t>
  </si>
  <si>
    <t>20.41.43.00.00.00.10.10.1</t>
  </si>
  <si>
    <t>Полироль</t>
  </si>
  <si>
    <t>20.41.32.00.00.00.60.60.1</t>
  </si>
  <si>
    <t>17.22.11.10.00.00.00.20.2</t>
  </si>
  <si>
    <t>28.93.13.00.00.00.11.02.1</t>
  </si>
  <si>
    <t>17.22.11.40.00.00.00.20.2</t>
  </si>
  <si>
    <t>13.92.29.00.00.00.10.10.1</t>
  </si>
  <si>
    <t>13.92.21.00.00.00.30.13.2</t>
  </si>
  <si>
    <t>14.12.30.00.00.80.16.43.1</t>
  </si>
  <si>
    <t>13.92.29.00.00.00.50.40.1</t>
  </si>
  <si>
    <t>22.29.25.00.00.00.17.10.1</t>
  </si>
  <si>
    <t>13.92.29.00.00.00.40.10.1</t>
  </si>
  <si>
    <t>17.22.11.30.00.00.00.10.1</t>
  </si>
  <si>
    <t>13.92.29.00.00.00.30.30.1</t>
  </si>
  <si>
    <t>22.29.23.00.00.00.31.10.1</t>
  </si>
  <si>
    <t>Швабра</t>
  </si>
  <si>
    <t>14.19.13.00.00.10.10.10.1</t>
  </si>
  <si>
    <t>21.20.13.00.00.03.91.16.1</t>
  </si>
  <si>
    <t>21.10.52.00.00.00.05.11.1</t>
  </si>
  <si>
    <t>Ампула</t>
  </si>
  <si>
    <t>21.20.13.00.00.03.18.05.1</t>
  </si>
  <si>
    <t>Флакон</t>
  </si>
  <si>
    <t>21.20.13.00.00.03.95.10.1</t>
  </si>
  <si>
    <t>21.20.13.00.00.03.42.51.1</t>
  </si>
  <si>
    <t>21.20.13.00.00.03.10.07.1</t>
  </si>
  <si>
    <t>21.20.13.00.00.03.28.06.1</t>
  </si>
  <si>
    <t>20.59.59.00.15.00.00.73.2</t>
  </si>
  <si>
    <t>20.13.25.00.00.10.00.10.2</t>
  </si>
  <si>
    <t>25.99.11.00.00.21.10.10.1</t>
  </si>
  <si>
    <t>20.52.10.00.00.00.09.09.4</t>
  </si>
  <si>
    <t>23.42.10.11.00.00.12.10.1</t>
  </si>
  <si>
    <t>13.10.29.00.00.00.00.20.1</t>
  </si>
  <si>
    <t>20.52.10.00.00.00.09.06.1</t>
  </si>
  <si>
    <t>Клапан</t>
  </si>
  <si>
    <t>22.23.12.00.00.19.11.10.1</t>
  </si>
  <si>
    <t>13.94.20.00.00.00.30.10.1</t>
  </si>
  <si>
    <t>ф40</t>
  </si>
  <si>
    <t>22.21.21.00.00.12.40.16.1</t>
  </si>
  <si>
    <t>ф32</t>
  </si>
  <si>
    <t>22.21.21.00.00.12.40.15.1</t>
  </si>
  <si>
    <t>ф100</t>
  </si>
  <si>
    <t>22.21.21.00.00.12.60.10.1</t>
  </si>
  <si>
    <t>Бриллиантовый зеленый</t>
  </si>
  <si>
    <t>21.20.13.00.00.03.44.20.1</t>
  </si>
  <si>
    <t>21.20.13.00.00.03.44.25.1</t>
  </si>
  <si>
    <t>21.20.13.00.00.03.76.10.1</t>
  </si>
  <si>
    <t>21.20.13.00.00.03.06.54.1</t>
  </si>
  <si>
    <t>Диклоберл</t>
  </si>
  <si>
    <t>21.20.13.00.00.03.56.05.1</t>
  </si>
  <si>
    <t>Димедрол</t>
  </si>
  <si>
    <t>21.20.13.00.00.03.99.05.1</t>
  </si>
  <si>
    <t>Йод</t>
  </si>
  <si>
    <t>21.20.13.00.00.03.74.73.1</t>
  </si>
  <si>
    <t>Клотримазол</t>
  </si>
  <si>
    <t>21.20.13.00.00.03.44.30.1</t>
  </si>
  <si>
    <t>21.20.13.00.00.03.48.15.1</t>
  </si>
  <si>
    <t>21.20.13.00.00.03.99.90.1</t>
  </si>
  <si>
    <t>Левомицетин</t>
  </si>
  <si>
    <t>21.20.11.00.00.00.28.15.1</t>
  </si>
  <si>
    <t xml:space="preserve">№ </t>
  </si>
  <si>
    <t>х</t>
  </si>
  <si>
    <t>1 У</t>
  </si>
  <si>
    <t>93.19.11.10.00.00.00</t>
  </si>
  <si>
    <t>96.09.19.90.20.00.00</t>
  </si>
  <si>
    <t>ОП</t>
  </si>
  <si>
    <t>93.29.19.10.00.00.00</t>
  </si>
  <si>
    <t>55.10.10.10.00.00.00</t>
  </si>
  <si>
    <t>82.30.11.10.00.00.00</t>
  </si>
  <si>
    <t>74.30.12.80.17.00.00</t>
  </si>
  <si>
    <t>ЦП</t>
  </si>
  <si>
    <t>18.12.12.11.00.00.00</t>
  </si>
  <si>
    <t>96.09.12.40.00.00.00</t>
  </si>
  <si>
    <t>ОИ</t>
  </si>
  <si>
    <t>74.20.23.11.00.00.00</t>
  </si>
  <si>
    <t>82.99.19.12.00.00.00</t>
  </si>
  <si>
    <t>26.20.13.00.00.02.11.20.1</t>
  </si>
  <si>
    <t>Компьютер</t>
  </si>
  <si>
    <t>DDP</t>
  </si>
  <si>
    <t>Штука</t>
  </si>
  <si>
    <t>26.20.13.00.00.01.51.20.1</t>
  </si>
  <si>
    <t>Сервер</t>
  </si>
  <si>
    <t>26.20.16.01.12.11.11.10.1</t>
  </si>
  <si>
    <t>Принтер</t>
  </si>
  <si>
    <t>Упаковка: ТетраТоп 1000 г</t>
  </si>
  <si>
    <t>10.51.30.00.00.00.31.10.1</t>
  </si>
  <si>
    <t>10.51.11.00.00.00.13.20.1</t>
  </si>
  <si>
    <t>10.51.40.00.00.21.12.10.1</t>
  </si>
  <si>
    <t xml:space="preserve">Упаковка: пластиковый стакан- 450 гр. </t>
  </si>
  <si>
    <t>10.51.52.00.00.01.40.10.1</t>
  </si>
  <si>
    <t>красная, в пластиковой банке, объемом: 1 000 гр.</t>
  </si>
  <si>
    <t>10.20.24.00.00.12.13.10.1</t>
  </si>
  <si>
    <t>03.00.24.00.00.00.00.10.1</t>
  </si>
  <si>
    <t>10.20.13.00.00.00.21.10.1</t>
  </si>
  <si>
    <t>10.12.21.00.00.01.31.10.1</t>
  </si>
  <si>
    <t>10.11.13.00.00.02.23.10.1</t>
  </si>
  <si>
    <t>10.11.11.00.00.02.23.10.1</t>
  </si>
  <si>
    <t>10.11.15.00.00.02.22.10.1</t>
  </si>
  <si>
    <t>10.13.14.00.00.40.20.10.1</t>
  </si>
  <si>
    <t>10.13.14.00.00.40.10.10.1</t>
  </si>
  <si>
    <t>10.13.14.00.00.10.30.10.1</t>
  </si>
  <si>
    <t>10.73.11.00.00.01.21.10.1</t>
  </si>
  <si>
    <t>Вермишель</t>
  </si>
  <si>
    <t>10.73.11.00.00.03.00.10.1</t>
  </si>
  <si>
    <t>Спагетти</t>
  </si>
  <si>
    <t>10.73.11.00.00.01.11.10.1</t>
  </si>
  <si>
    <t>10.71.11.00.00.00.01.10.2</t>
  </si>
  <si>
    <t>10.72.12.00.00.00.03.30.1</t>
  </si>
  <si>
    <t>10.82.22.00.01.22.10.10.1</t>
  </si>
  <si>
    <t>10.72.12.00.00.00.02.10.1</t>
  </si>
  <si>
    <t>Варенье смородиновое. В стеклянных банках.</t>
  </si>
  <si>
    <t>в жестяной банке</t>
  </si>
  <si>
    <t>01.13.80.00.00.00.02.30.1</t>
  </si>
  <si>
    <t>10.39.17.00.00.03.50.10.1</t>
  </si>
  <si>
    <t>Повидло</t>
  </si>
  <si>
    <t>10.39.18.00.00.00.01.20.1</t>
  </si>
  <si>
    <t>10.39.18.00.00.00.01.10.1</t>
  </si>
  <si>
    <t>10.39.17.00.00.03.40.10.1</t>
  </si>
  <si>
    <t>01.24.23.00.00.00.00.00.2</t>
  </si>
  <si>
    <t>01.23.19.00.00.00.05.10.2</t>
  </si>
  <si>
    <t>01.21.11.00.00.00.01.10.2</t>
  </si>
  <si>
    <t>01.25.11.00.00.00.00.00.2</t>
  </si>
  <si>
    <t>Киви</t>
  </si>
  <si>
    <t>10.39.25.00.00.00.12.11.1</t>
  </si>
  <si>
    <t>01.24.21.00.00.00.02.20.2</t>
  </si>
  <si>
    <t>27.40.42.00.00.00.01.40.1</t>
  </si>
  <si>
    <t>Аппарат</t>
  </si>
  <si>
    <t>27.40.12.00.00.20.60.40.1</t>
  </si>
  <si>
    <t>27.40.12.00.00.10.10.29.1</t>
  </si>
  <si>
    <t>27.40.21.00.00.10.15.13.1</t>
  </si>
  <si>
    <t>27.40.22.00.00.10.10.20.1</t>
  </si>
  <si>
    <t>01.13.12.00.00.00.01.10.2</t>
  </si>
  <si>
    <t>30.91.20.00.00.00.60.40.1</t>
  </si>
  <si>
    <t>Стартер</t>
  </si>
  <si>
    <t>29.32.30.00.09.00.15.01.1</t>
  </si>
  <si>
    <t>28.30.93.00.00.00.17.10.1</t>
  </si>
  <si>
    <t>28.13.11.00.00.00.13.17.1</t>
  </si>
  <si>
    <t>29.32.30.00.09.00.01.02.1</t>
  </si>
  <si>
    <t>генератор</t>
  </si>
  <si>
    <t>29.32.30.00.07.00.02.03.1</t>
  </si>
  <si>
    <t>28.29.13.00.00.00.11.11.1</t>
  </si>
  <si>
    <t>22.29.25.00.00.00.18.10.1</t>
  </si>
  <si>
    <t>22.29.25.00.00.00.18.12.1</t>
  </si>
  <si>
    <t>22.29.25.00.00.00.18.37.1</t>
  </si>
  <si>
    <t>17.23.12.50.00.00.00.40.1</t>
  </si>
  <si>
    <t>22.29.25.00.00.00.27.10.2</t>
  </si>
  <si>
    <t>17.23.13.10.00.00.00.90.1</t>
  </si>
  <si>
    <t>22.29.25.00.00.00.20.10.1</t>
  </si>
  <si>
    <t>20.52.10.00.00.00.09.02.2</t>
  </si>
  <si>
    <t>25.99.23.00.00.11.18.10.1</t>
  </si>
  <si>
    <t>Степлер</t>
  </si>
  <si>
    <t>17.23.13.60.00.00.00.20.1</t>
  </si>
  <si>
    <t>25.99.23.00.00.11.13.10.1</t>
  </si>
  <si>
    <t>Антистеплер</t>
  </si>
  <si>
    <t>22.29.25.00.00.00.16.23.1</t>
  </si>
  <si>
    <t>32.99.80.00.00.00.00.10.1</t>
  </si>
  <si>
    <t>25.99.23.00.00.11.15.10.1</t>
  </si>
  <si>
    <t>22.19.73.00.00.00.30.10.1</t>
  </si>
  <si>
    <t>32.99.12.00.00.00.14.40.1</t>
  </si>
  <si>
    <t>22.29.25.00.00.00.24.25.1</t>
  </si>
  <si>
    <t>28.23.12.00.00.00.17.12.1</t>
  </si>
  <si>
    <t>17.23.12.10.00.00.00.50.1</t>
  </si>
  <si>
    <t>формат C4 (229 х 324 мм)</t>
  </si>
  <si>
    <t>17.23.12.10.00.00.00.40.1</t>
  </si>
  <si>
    <t>формат C5 (162 х 229 мм)</t>
  </si>
  <si>
    <t>17.23.12.10.00.00.00.10.1</t>
  </si>
  <si>
    <t>формат Евро, Е65 (110 х 220 мм)</t>
  </si>
  <si>
    <t>22.29.25.00.00.00.18.23.1</t>
  </si>
  <si>
    <t>17.23.12.30.00.00.00.10.1</t>
  </si>
  <si>
    <t>22.29.25.00.00.00.11.11.1</t>
  </si>
  <si>
    <t>22.29.25.00.00.00.11.10.1</t>
  </si>
  <si>
    <t>25.99.23.00.00.11.10.14.1</t>
  </si>
  <si>
    <t>25.99.23.00.00.11.10.11.1</t>
  </si>
  <si>
    <t>25.71.11.00.00.10.21.10.1</t>
  </si>
  <si>
    <t>Гвоздики</t>
  </si>
  <si>
    <t>32.99.81.00.00.10.10.15.1</t>
  </si>
  <si>
    <t>25.99.23.00.00.11.12.10.1</t>
  </si>
  <si>
    <t>Маркер</t>
  </si>
  <si>
    <t>22.29.25.00.00.00.31.02.2</t>
  </si>
  <si>
    <t>22.21.10.00.00.00.10.09.1</t>
  </si>
  <si>
    <t>32.99.12.00.00.00.13.40.1</t>
  </si>
  <si>
    <t>17.23.12.40.00.00.00.20.1</t>
  </si>
  <si>
    <t>формат А5</t>
  </si>
  <si>
    <t>17.12.13.40.10.00.00.50.1</t>
  </si>
  <si>
    <t>Рамка</t>
  </si>
  <si>
    <t>17.23.12.80.00.00.00.20.1</t>
  </si>
  <si>
    <t>25.99.23.00.00.11.10.13.1</t>
  </si>
  <si>
    <t>32.99.81.00.00.20.10.19.1</t>
  </si>
  <si>
    <t>17.23.13.80.00.00.50.14.1</t>
  </si>
  <si>
    <t>22.29.25.00.00.00.18.28.1</t>
  </si>
  <si>
    <t>26.51.51.12.11.11.12.10.1</t>
  </si>
  <si>
    <t>29.32.30.00.06.04.01.01.1</t>
  </si>
  <si>
    <t>Mercedes Benz O-560</t>
  </si>
  <si>
    <t>29.32.30.00.05.03.14.02.1</t>
  </si>
  <si>
    <t>22.11.17.00.11.16.11.39.1</t>
  </si>
  <si>
    <t>22.11.17.11.16.12.11.31.1</t>
  </si>
  <si>
    <t>22.11.17.00.11.19.11.20.1</t>
  </si>
  <si>
    <t>22.11.17.11.19.12.11.16.1</t>
  </si>
  <si>
    <t>22.11.17.00.11.14.11.27.1</t>
  </si>
  <si>
    <t>19.20.21.00.00.00.11.60.1</t>
  </si>
  <si>
    <t>19.20.21.00.00.00.11.20.1</t>
  </si>
  <si>
    <t>19.20.26.00.00.00.00.10.1</t>
  </si>
  <si>
    <t>40 У</t>
  </si>
  <si>
    <t>41 У</t>
  </si>
  <si>
    <t>42 У</t>
  </si>
  <si>
    <t>43 У</t>
  </si>
  <si>
    <t>44 У</t>
  </si>
  <si>
    <t>Килограмм</t>
  </si>
  <si>
    <t>23.62.10.00.10.12.02.93.1</t>
  </si>
  <si>
    <t>20.52.10.00.00.00.09.08.1</t>
  </si>
  <si>
    <t>Упаковка</t>
  </si>
  <si>
    <t>Саморез</t>
  </si>
  <si>
    <t>20.30.11.00.00.00.10.81.1</t>
  </si>
  <si>
    <t>Колер</t>
  </si>
  <si>
    <t>166</t>
  </si>
  <si>
    <t>736</t>
  </si>
  <si>
    <t>Линолеум</t>
  </si>
  <si>
    <t>055</t>
  </si>
  <si>
    <t>г.Павлодар</t>
  </si>
  <si>
    <t>68 У</t>
  </si>
  <si>
    <t>81.29.12.10.00.00.00</t>
  </si>
  <si>
    <t>66.19.91.00.00.00.01</t>
  </si>
  <si>
    <t>73.11.11.12.00.00.00</t>
  </si>
  <si>
    <t>66 У</t>
  </si>
  <si>
    <t>67 У</t>
  </si>
  <si>
    <t>70 У</t>
  </si>
  <si>
    <t>71 У</t>
  </si>
  <si>
    <t>72 У</t>
  </si>
  <si>
    <t>74 У</t>
  </si>
  <si>
    <t>77 У</t>
  </si>
  <si>
    <t>79 У</t>
  </si>
  <si>
    <t>81 У</t>
  </si>
  <si>
    <t>82 У</t>
  </si>
  <si>
    <t>83 У</t>
  </si>
  <si>
    <t>84 У</t>
  </si>
  <si>
    <t>85 У</t>
  </si>
  <si>
    <t>86 У</t>
  </si>
  <si>
    <t>87 У</t>
  </si>
  <si>
    <t>88 У</t>
  </si>
  <si>
    <t>89 У</t>
  </si>
  <si>
    <t>91 У</t>
  </si>
  <si>
    <t>92 У</t>
  </si>
  <si>
    <t>93 У</t>
  </si>
  <si>
    <t>94 У</t>
  </si>
  <si>
    <t>95 У</t>
  </si>
  <si>
    <t>96 У</t>
  </si>
  <si>
    <t>97 У</t>
  </si>
  <si>
    <t>98 У</t>
  </si>
  <si>
    <t>99 У</t>
  </si>
  <si>
    <t>100 У</t>
  </si>
  <si>
    <t>101 У</t>
  </si>
  <si>
    <t>102 У</t>
  </si>
  <si>
    <t>103 У</t>
  </si>
  <si>
    <t>104 У</t>
  </si>
  <si>
    <t>105 У</t>
  </si>
  <si>
    <t>106 У</t>
  </si>
  <si>
    <t>108 У</t>
  </si>
  <si>
    <t>109 У</t>
  </si>
  <si>
    <t>110 У</t>
  </si>
  <si>
    <t>111 У</t>
  </si>
  <si>
    <t>112 У</t>
  </si>
  <si>
    <t>113 У</t>
  </si>
  <si>
    <t>114 У</t>
  </si>
  <si>
    <t>115 У</t>
  </si>
  <si>
    <t>117 У</t>
  </si>
  <si>
    <t>118 У</t>
  </si>
  <si>
    <t>119 У</t>
  </si>
  <si>
    <t>120 У</t>
  </si>
  <si>
    <t>121 У</t>
  </si>
  <si>
    <t>74.30.11.80.17.00.00</t>
  </si>
  <si>
    <t>49.50.12.10.00.00.00</t>
  </si>
  <si>
    <t>43.22.12.20.13.00.00</t>
  </si>
  <si>
    <t>96.09.19.21.10.00.00</t>
  </si>
  <si>
    <t>95.11.10.31.00.00.00</t>
  </si>
  <si>
    <t>43.21.10.10.30.12.00</t>
  </si>
  <si>
    <t>4 Р</t>
  </si>
  <si>
    <t>5 Р</t>
  </si>
  <si>
    <t>6 Р</t>
  </si>
  <si>
    <t>7 Р</t>
  </si>
  <si>
    <t>27.33.13.00.00.00.07.10.1</t>
  </si>
  <si>
    <t>32.91.19.00.00.00.50.10.1</t>
  </si>
  <si>
    <t>27.40.21.00.00.11.10.40.1</t>
  </si>
  <si>
    <t>20.59.59.00.12.00.00.29.1</t>
  </si>
  <si>
    <t>25.73.30.00.00.14.13.10.1</t>
  </si>
  <si>
    <t>25.71.11.00.00.10.20.10.1</t>
  </si>
  <si>
    <t>Надфиль</t>
  </si>
  <si>
    <t>25.73.30.00.00.11.18.10.1</t>
  </si>
  <si>
    <t>25.73.30.00.00.17.14.10.1</t>
  </si>
  <si>
    <t>25.94.13.00.00.10.26.10.1</t>
  </si>
  <si>
    <t>25.94.13.00.00.10.17.10.1</t>
  </si>
  <si>
    <t>25.73.30.00.00.21.10.12.1</t>
  </si>
  <si>
    <t>Манометр</t>
  </si>
  <si>
    <t>25.73.30.00.00.16.12.16.1</t>
  </si>
  <si>
    <t>25.73.30.00.00.14.20.18.1</t>
  </si>
  <si>
    <t>13.99.19.00.00.00.20.12.1</t>
  </si>
  <si>
    <t>25.73.30.00.00.22.13.10.1</t>
  </si>
  <si>
    <t>22.29.23.00.00.00.11.42.1</t>
  </si>
  <si>
    <t xml:space="preserve">Вантуз </t>
  </si>
  <si>
    <t>22.23.12.00.00.17.12.10.1</t>
  </si>
  <si>
    <t>27.51.24.00.01.01.01.40.1</t>
  </si>
  <si>
    <t>15.12.12.00.00.00.38.30.1</t>
  </si>
  <si>
    <t>715</t>
  </si>
  <si>
    <t>15.20.11.00.00.00.70.12.1</t>
  </si>
  <si>
    <t>14.12.30.00.00.80.16.10.1</t>
  </si>
  <si>
    <t>32.50.42.00.00.00.13.20.1</t>
  </si>
  <si>
    <t>32.99.11.00.00.05.15.10.1</t>
  </si>
  <si>
    <t>27.51.27.00.01.00.00.20.1</t>
  </si>
  <si>
    <t>21.20.24.00.00.00.34.50.1</t>
  </si>
  <si>
    <t>22.19.35.00.00.00.70.10.3</t>
  </si>
  <si>
    <t>26.30.60.00.00.00.26.70.1</t>
  </si>
  <si>
    <t>Хладагент R-407С (Фреон R-407С)</t>
  </si>
  <si>
    <t>20.14.19.00.00.20.60.10.3</t>
  </si>
  <si>
    <t>Дихлорфторметан (Фреон R22)</t>
  </si>
  <si>
    <t>20.14.19.00.00.20.50.10.3</t>
  </si>
  <si>
    <t>20.59.59.00.17.13.10.10.1</t>
  </si>
  <si>
    <t>28.25.14.00.00.00.10.10.1</t>
  </si>
  <si>
    <t xml:space="preserve">Реле </t>
  </si>
  <si>
    <t>27.12.24.19.11.11.11.10.1</t>
  </si>
  <si>
    <t>0,02-0,6МПа ДЕМ 202-1-01-2</t>
  </si>
  <si>
    <t>26.11.40.00.00.14.11.12.1</t>
  </si>
  <si>
    <t>20.11.11.00.00.70.10.30.2</t>
  </si>
  <si>
    <t>класс G5</t>
  </si>
  <si>
    <t>класс G4</t>
  </si>
  <si>
    <t>насосной группы</t>
  </si>
  <si>
    <t>27.12.24.21.11.11.11.10.1</t>
  </si>
  <si>
    <t>22.19.42.00.00.10.20.25.1</t>
  </si>
  <si>
    <t>018</t>
  </si>
  <si>
    <t>Тонна (метрическая)</t>
  </si>
  <si>
    <t>25.93.14.00.00.14.15.10.2</t>
  </si>
  <si>
    <t>Дюбель</t>
  </si>
  <si>
    <t>22.21.29.00.00.50.10.10.1</t>
  </si>
  <si>
    <t>22.21.29.00.00.50.10.11.1</t>
  </si>
  <si>
    <t>Шланг</t>
  </si>
  <si>
    <t>22.21.29.00.00.12.50.16.1</t>
  </si>
  <si>
    <t>муфта</t>
  </si>
  <si>
    <t>21.20.24.00.00.00.34.01.1</t>
  </si>
  <si>
    <t>17.22.11.10.00.00.00.20.4</t>
  </si>
  <si>
    <t>1474 Т</t>
  </si>
  <si>
    <t>22.19.35.00.00.45.20.08.1</t>
  </si>
  <si>
    <t>19.20.29.00.00.20.24.10.1</t>
  </si>
  <si>
    <t>28.29.13.00.00.00.10.14.1</t>
  </si>
  <si>
    <t>17.12.77.20.10.10.10.10.1</t>
  </si>
  <si>
    <t>22.21.29.00.00.10.00.40.1</t>
  </si>
  <si>
    <t>22.21.29.00.00.10.00.30.1</t>
  </si>
  <si>
    <t>21.20.13.00.00.03.60.16.1</t>
  </si>
  <si>
    <t>Лидокаин</t>
  </si>
  <si>
    <t>21.20.13.00.00.03.66.45.1</t>
  </si>
  <si>
    <t>Линекс</t>
  </si>
  <si>
    <t>21.20.11.00.00.00.28.69.1</t>
  </si>
  <si>
    <t>21.20.13.00.00.03.36.15.1</t>
  </si>
  <si>
    <t>21.20.11.00.00.00.22.08.1</t>
  </si>
  <si>
    <t>Мезим Форте</t>
  </si>
  <si>
    <t>Мукалтин</t>
  </si>
  <si>
    <t>21.20.13.00.00.03.42.52.1</t>
  </si>
  <si>
    <t>21.20.13.00.00.03.06.03.1</t>
  </si>
  <si>
    <t>21.20.13.00.00.03.42.60.1</t>
  </si>
  <si>
    <t>21.20.13.00.00.03.16.35.1</t>
  </si>
  <si>
    <t>Оксолиновая мазь</t>
  </si>
  <si>
    <t>21.20.13.00.00.03.70.15.1</t>
  </si>
  <si>
    <t>Пантенол</t>
  </si>
  <si>
    <t>21.20.13.00.00.03.14.05.1</t>
  </si>
  <si>
    <t>Парацетамол</t>
  </si>
  <si>
    <t>21.20.13.00.00.03.99.10.1</t>
  </si>
  <si>
    <t>21.20.13.00.00.03.06.37.1</t>
  </si>
  <si>
    <t>21.20.13.00.00.03.78.15.1</t>
  </si>
  <si>
    <t>21.20.13.00.00.03.87.98.1</t>
  </si>
  <si>
    <t>21.20.24.00.00.00.01.20.1</t>
  </si>
  <si>
    <t>21.20.13.00.00.03.95.20.1</t>
  </si>
  <si>
    <t>21.20.11.00.00.00.26.55.1</t>
  </si>
  <si>
    <t>21.20.11.00.00.00.26.56.1</t>
  </si>
  <si>
    <t>21.20.13.00.00.03.56.20.1</t>
  </si>
  <si>
    <t>21.20.11.00.00.00.25.20.1</t>
  </si>
  <si>
    <t>21.20.13.00.00.03.28.29.1</t>
  </si>
  <si>
    <t>Фестал</t>
  </si>
  <si>
    <t>21.20.13.00.00.03.80.30.1</t>
  </si>
  <si>
    <t>Фуразолидон</t>
  </si>
  <si>
    <t>21.20.13.00.00.03.80.10.1</t>
  </si>
  <si>
    <t>21.20.13.00.00.03.64.30.1</t>
  </si>
  <si>
    <t>Фуросемид</t>
  </si>
  <si>
    <t>21.20.13.00.00.03.32.31.1</t>
  </si>
  <si>
    <t>21.20.13.00.00.03.32.36.1</t>
  </si>
  <si>
    <t>Церукал</t>
  </si>
  <si>
    <t>21.20.11.00.00.00.24.10.1</t>
  </si>
  <si>
    <t xml:space="preserve">Ципролет </t>
  </si>
  <si>
    <t>20.42.16.00.00.00.10.20.1</t>
  </si>
  <si>
    <t>21.20.13.00.00.00.01.10.1</t>
  </si>
  <si>
    <t>21.20.13.00.00.00.01.11.1</t>
  </si>
  <si>
    <t>21.20.13.00.00.03.12.84.1</t>
  </si>
  <si>
    <t>Эффералган</t>
  </si>
  <si>
    <t>21.20.24.00.00.00.32.50.1</t>
  </si>
  <si>
    <t>26.60.12.00.00.02.31.20.1</t>
  </si>
  <si>
    <t>26.60.12.00.00.02.41.10.1</t>
  </si>
  <si>
    <t>14.12.30.00.00.40.10.25.1</t>
  </si>
  <si>
    <t>21.20.24.00.00.00.32.64.1</t>
  </si>
  <si>
    <t>размер 7х14 мм</t>
  </si>
  <si>
    <t>21.20.24.00.00.00.32.65.1</t>
  </si>
  <si>
    <t>размер 5х10 мм</t>
  </si>
  <si>
    <t>68.20.12.00.00.00.03</t>
  </si>
  <si>
    <t>45.20.30.10.00.00.00</t>
  </si>
  <si>
    <t xml:space="preserve">Услуги по мойке машин, полировке и услуги аналогичные </t>
  </si>
  <si>
    <t xml:space="preserve">Комплекс услуг по мойке машин, полировке и услуги аналогичные </t>
  </si>
  <si>
    <t>65.12.21.10.00.00.01</t>
  </si>
  <si>
    <t>65.12.50.40.00.00.02</t>
  </si>
  <si>
    <t>45 У</t>
  </si>
  <si>
    <t>46 У</t>
  </si>
  <si>
    <t>47 У</t>
  </si>
  <si>
    <t>48 У</t>
  </si>
  <si>
    <t>49 У</t>
  </si>
  <si>
    <t>50 У</t>
  </si>
  <si>
    <t>51 У</t>
  </si>
  <si>
    <t>52 У</t>
  </si>
  <si>
    <t>53 У</t>
  </si>
  <si>
    <t>54 У</t>
  </si>
  <si>
    <t>55 У</t>
  </si>
  <si>
    <t>56 У</t>
  </si>
  <si>
    <t>57 У</t>
  </si>
  <si>
    <t>58 У</t>
  </si>
  <si>
    <t>59 У</t>
  </si>
  <si>
    <t>60 У</t>
  </si>
  <si>
    <t>61 У</t>
  </si>
  <si>
    <t>62 У</t>
  </si>
  <si>
    <t>63 У</t>
  </si>
  <si>
    <t>64 У</t>
  </si>
  <si>
    <t>10.32.11.00.00.00.03.10.1</t>
  </si>
  <si>
    <t>10.32.12.00.00.00.03.10.1</t>
  </si>
  <si>
    <t>10.32.16.00.00.00.03.10.1</t>
  </si>
  <si>
    <t>10.32.16.00.00.00.01.20.1</t>
  </si>
  <si>
    <t>10.42.10.00.00.01.10.10.1</t>
  </si>
  <si>
    <t>Маргарин</t>
  </si>
  <si>
    <t>10.41.24.00.00.00.00.10.1</t>
  </si>
  <si>
    <t>27.40.15.00.00.20.10.10.1</t>
  </si>
  <si>
    <t>27.32.13.00.02.01.37.41.1</t>
  </si>
  <si>
    <t>ВВГ 5*2.5</t>
  </si>
  <si>
    <t>ВВГ 5*1.5</t>
  </si>
  <si>
    <t>27.32.13.00.02.01.37.46.1</t>
  </si>
  <si>
    <t>27.32.13.00.02.01.27.29.1</t>
  </si>
  <si>
    <t>АВВГ 3*120+1*70</t>
  </si>
  <si>
    <t>27.32.13.00.02.01.27.28.1</t>
  </si>
  <si>
    <t>АВВГ 3*95+1*50</t>
  </si>
  <si>
    <t>27.32.13.00.02.02.01.01.1</t>
  </si>
  <si>
    <t>14 Т</t>
  </si>
  <si>
    <t>овощные сорта</t>
  </si>
  <si>
    <t>01.13.43.00.00.00.01.10.2</t>
  </si>
  <si>
    <t>01.13.41.00.00.00.01.10.2</t>
  </si>
  <si>
    <t>01.13.32.00.00.00.01.10.2</t>
  </si>
  <si>
    <t>01.13.31.00.00.00.02.10.1</t>
  </si>
  <si>
    <t>01.13.34.00.00.00.01.10.2</t>
  </si>
  <si>
    <t>01.13.39.00.00.00.01.00.1</t>
  </si>
  <si>
    <t>01.13.71.00.00.00.00.01.2</t>
  </si>
  <si>
    <t>01.11.69.00.00.00.01.10.1</t>
  </si>
  <si>
    <t>01.13.42.00.00.00.01.20.2</t>
  </si>
  <si>
    <t>868</t>
  </si>
  <si>
    <t>11.07.11.00.00.00.01.10.1</t>
  </si>
  <si>
    <t>10.62.11.00.00.00.60.10.1</t>
  </si>
  <si>
    <t xml:space="preserve">Фунчоза </t>
  </si>
  <si>
    <t>11.01.10.00.00.12.11.11.1</t>
  </si>
  <si>
    <t>Коньяк</t>
  </si>
  <si>
    <t>11.01.10.00.00.12.11.23.1</t>
  </si>
  <si>
    <t>11.02.12.00.00.01.11.10.1</t>
  </si>
  <si>
    <t>11.02.12.00.00.01.23.30.1</t>
  </si>
  <si>
    <t>11.01.10.00.00.11.12.10.1</t>
  </si>
  <si>
    <t>Особая. Крепкий алкогольный напиток, прозрачный, без мути. Без посторонних включений и осадка. Мягкий вкус. Специфический аромат. Высокосортная водка крепостью 40,0 - 45,0%. V -  до 0,5 литра.</t>
  </si>
  <si>
    <t>11.02.11.00.00.00.01.41.1</t>
  </si>
  <si>
    <t>Шампанское</t>
  </si>
  <si>
    <t>Полусладкое. Прозрачное без осадков и посторонних включений. Цвет - светло-соломенный с оттенками от зеленоватых до золотистых. Букет развитый, гармоничный, соответствующий продолжительности выдержки. Вкус - соответствующий шампанским винам, достаточно полный, гармонизирующий с букетом, без тонов окисленности. При наливе вина в бокал должна образовываться пена и происходить длительное выделение пузырьков двуокиси углерода. Объемная доля этилового спирта - не менее 10,5%. Массовая концентрация сахаров -  55,0 - 65,0 г/дм3. V -  до 0,5 литра.</t>
  </si>
  <si>
    <t>11.05.10.00.00.00.11.12.1</t>
  </si>
  <si>
    <t>Пиво</t>
  </si>
  <si>
    <t>20.41.41.00.00.00.20.20.3</t>
  </si>
  <si>
    <t>20.42.19.00.00.00.06.20.3</t>
  </si>
  <si>
    <t>20.41.32.00.00.00.15.10.1</t>
  </si>
  <si>
    <t>1 Т</t>
  </si>
  <si>
    <t>2 Т</t>
  </si>
  <si>
    <t>3 Т</t>
  </si>
  <si>
    <t>4 Т</t>
  </si>
  <si>
    <t>5 Т</t>
  </si>
  <si>
    <t>6 Т</t>
  </si>
  <si>
    <t>7 Т</t>
  </si>
  <si>
    <t>8 Т</t>
  </si>
  <si>
    <t>9 Т</t>
  </si>
  <si>
    <t>35.11.10.00.00.00.10.10.1</t>
  </si>
  <si>
    <t>Киловатт</t>
  </si>
  <si>
    <t>10 Т</t>
  </si>
  <si>
    <t>11 Т</t>
  </si>
  <si>
    <t>12 Т</t>
  </si>
  <si>
    <t>36.00.12.00.00.00.10.20.1</t>
  </si>
  <si>
    <t>13 Т</t>
  </si>
  <si>
    <t>2 У</t>
  </si>
  <si>
    <t>3 У</t>
  </si>
  <si>
    <t>4 У</t>
  </si>
  <si>
    <t>5 У</t>
  </si>
  <si>
    <t>6 У</t>
  </si>
  <si>
    <t>7 У</t>
  </si>
  <si>
    <t>8 У</t>
  </si>
  <si>
    <t>9 У</t>
  </si>
  <si>
    <t>10 У</t>
  </si>
  <si>
    <t>11 У</t>
  </si>
  <si>
    <t>12 У</t>
  </si>
  <si>
    <t>29 У</t>
  </si>
  <si>
    <t>65 У</t>
  </si>
  <si>
    <t>2 Р</t>
  </si>
  <si>
    <t>3 Р</t>
  </si>
  <si>
    <t>Lexus LX570</t>
  </si>
  <si>
    <t>Комплекс услуг по мойке машин, полировке и химчистке (класс: седан, внедорожник, микроавтобус, автобус)</t>
  </si>
  <si>
    <t>71.20.14.10.00.00.00</t>
  </si>
  <si>
    <t>65.12.49.00.00.00.01</t>
  </si>
  <si>
    <t xml:space="preserve"> Mercedes Benz О-560</t>
  </si>
  <si>
    <t>32.99.15.00.00.00.12.40.1</t>
  </si>
  <si>
    <t>17.23.13.80.00.00.51.10.1</t>
  </si>
  <si>
    <t>Альбом</t>
  </si>
  <si>
    <t>17.23.13.80.00.00.50.17.1</t>
  </si>
  <si>
    <t>17.12.14.11.00.00.00.50.1</t>
  </si>
  <si>
    <t>Гуашь</t>
  </si>
  <si>
    <t>20.60.24.00.00.00.30.30.2</t>
  </si>
  <si>
    <t>32.91.12.00.00.00.13.20.1</t>
  </si>
  <si>
    <t>36.00.20.13.00.00.00</t>
  </si>
  <si>
    <t>37.00.20.11.00.10.00</t>
  </si>
  <si>
    <t>61.10.53.01.00.00.00</t>
  </si>
  <si>
    <t>61.30.20.10.00.00.00</t>
  </si>
  <si>
    <t>38.11.69.10.00.00.00</t>
  </si>
  <si>
    <t>81.21.10.12.00.00.00</t>
  </si>
  <si>
    <t>81.22.12.10.00.00.00</t>
  </si>
  <si>
    <t>81.29.13.10.00.00.00</t>
  </si>
  <si>
    <t>81.29.11.10.00.00.00</t>
  </si>
  <si>
    <t>81.30.10.13.00.00.00</t>
  </si>
  <si>
    <t>69 У</t>
  </si>
  <si>
    <t>96.01.12.10.10.00.00</t>
  </si>
  <si>
    <t>96.01.19.11.14.00.00</t>
  </si>
  <si>
    <t>80.10.12.16.00.00.00</t>
  </si>
  <si>
    <t>73 У</t>
  </si>
  <si>
    <t>75 У</t>
  </si>
  <si>
    <t>43.21.10.10.20.12.00</t>
  </si>
  <si>
    <t>Внешний осмотр составных частей установки на отсутствии механических повреждений, прочности крепления, контроль рабочего положения выключателей и переключателей, исправности световой индикации, наличие пломб на приемно-контрольном устройстве, тестирование.</t>
  </si>
  <si>
    <t>76 У</t>
  </si>
  <si>
    <t>78 У</t>
  </si>
  <si>
    <t>80.20.10.20.00.00.00</t>
  </si>
  <si>
    <t>80 У</t>
  </si>
  <si>
    <t>8 Р</t>
  </si>
  <si>
    <t>33.12.15.12.00.00.00</t>
  </si>
  <si>
    <t>33.20.70.15.10.00.00</t>
  </si>
  <si>
    <t>96.09.19.31.00.00.00</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</si>
  <si>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</si>
  <si>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</si>
  <si>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</si>
  <si>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</si>
  <si>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</si>
  <si>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</si>
  <si>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</si>
  <si>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</si>
  <si>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</si>
  <si>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</si>
  <si>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</si>
  <si>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</si>
  <si>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</si>
  <si>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</si>
  <si>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</si>
  <si>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</si>
  <si>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</si>
  <si>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</si>
  <si>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</si>
  <si>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</si>
  <si>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</si>
  <si>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</si>
  <si>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</si>
  <si>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</si>
  <si>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</si>
  <si>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</si>
  <si>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</si>
  <si>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</si>
  <si>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</si>
  <si>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</si>
  <si>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</si>
  <si>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</si>
  <si>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</si>
  <si>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</si>
  <si>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</si>
  <si>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</si>
  <si>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</si>
  <si>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</si>
  <si>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</si>
  <si>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</si>
  <si>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</si>
  <si>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129 У</t>
  </si>
  <si>
    <t>43.21.10.18.11.00.00</t>
  </si>
  <si>
    <t>33.11.19.26.00.00.00</t>
  </si>
  <si>
    <t>33.11.19.13.00.00.00</t>
  </si>
  <si>
    <t>43.29.19.10.12.00.00</t>
  </si>
  <si>
    <t>95.22.10.10.00.00.00</t>
  </si>
  <si>
    <t>43.99.90.31.00.00.00</t>
  </si>
  <si>
    <t>21 Р</t>
  </si>
  <si>
    <t>43.33.10.11.00.00.00</t>
  </si>
  <si>
    <t>43.99.90.23.11.00.00</t>
  </si>
  <si>
    <t>37.00.11.19.16.00.00</t>
  </si>
  <si>
    <t>38.22.29.16.10.00.00</t>
  </si>
  <si>
    <t>130 У</t>
  </si>
  <si>
    <t>131 У</t>
  </si>
  <si>
    <t>132 У</t>
  </si>
  <si>
    <t>133 У</t>
  </si>
  <si>
    <t>134 У</t>
  </si>
  <si>
    <t>135 У</t>
  </si>
  <si>
    <t>136 У</t>
  </si>
  <si>
    <t>10 Р</t>
  </si>
  <si>
    <t>11 Р</t>
  </si>
  <si>
    <t>13 Р</t>
  </si>
  <si>
    <t>14 Р</t>
  </si>
  <si>
    <t>15 Р</t>
  </si>
  <si>
    <t>16 Р</t>
  </si>
  <si>
    <t>17 Р</t>
  </si>
  <si>
    <t>18 Р</t>
  </si>
  <si>
    <t>27.40.12.00.00.20.60.33.1</t>
  </si>
  <si>
    <t>27.40.12.00.00.20.60.44.1</t>
  </si>
  <si>
    <t>27.40.12.00.00.20.10.44.1</t>
  </si>
  <si>
    <t>25.94.13.00.00.10.24.10.1</t>
  </si>
  <si>
    <t>13.99.19.00.00.00.20.10.1</t>
  </si>
  <si>
    <t>АВВГ 3*6+1*4</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</si>
  <si>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</si>
  <si>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</si>
  <si>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</si>
  <si>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</si>
  <si>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</si>
  <si>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</si>
  <si>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</si>
  <si>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</si>
  <si>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</si>
  <si>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</si>
  <si>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</si>
  <si>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</si>
  <si>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</si>
  <si>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</si>
  <si>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</si>
  <si>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</si>
  <si>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</si>
  <si>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</si>
  <si>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</si>
  <si>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</si>
  <si>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</si>
  <si>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</si>
  <si>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</si>
  <si>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</si>
  <si>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</si>
  <si>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</si>
  <si>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</si>
  <si>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</si>
  <si>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</si>
  <si>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1348 Т</t>
  </si>
  <si>
    <t>1349 Т</t>
  </si>
  <si>
    <t>1350 Т</t>
  </si>
  <si>
    <t>1351 Т</t>
  </si>
  <si>
    <t>1352 Т</t>
  </si>
  <si>
    <t>1353 Т</t>
  </si>
  <si>
    <t>13.92.11.00.00.12.22.20.1</t>
  </si>
  <si>
    <t>13.92.14.00.00.00.12.80.1</t>
  </si>
  <si>
    <t>14.19.42.00.00.00.40.35.1</t>
  </si>
  <si>
    <t>14.14.22.00.00.10.15.10.1</t>
  </si>
  <si>
    <t>Халаты купальные и домашние мужские из хлопчатобумажных тканей</t>
  </si>
  <si>
    <t>15.20.13.00.00.00.22.10.1</t>
  </si>
  <si>
    <t>20.59.59.00.15.00.00.24.1</t>
  </si>
  <si>
    <t>Альгицид</t>
  </si>
  <si>
    <t>20.59.59.00.01.10.00.17.1</t>
  </si>
  <si>
    <t>Флокулянт</t>
  </si>
  <si>
    <t>20.59.59.00.14.00.04.41.1</t>
  </si>
  <si>
    <t>20.13.41.00.30.00.10.80.2</t>
  </si>
  <si>
    <t>22.19.73.00.00.00.40.20.1</t>
  </si>
  <si>
    <t>32.30.15.00.00.00.14.60.1</t>
  </si>
  <si>
    <t>22.19.73.00.00.00.40.30.1</t>
  </si>
  <si>
    <t>15.20.29.20.20.10.10.10.1</t>
  </si>
  <si>
    <t>32.30.11.00.00.30.10.30.1</t>
  </si>
  <si>
    <t>Коньки</t>
  </si>
  <si>
    <t>25.99.24.00.00.11.10.10.1</t>
  </si>
  <si>
    <t>Кубок</t>
  </si>
  <si>
    <t>32.99.11.20.20.20.10.01.1</t>
  </si>
  <si>
    <t>Жилет</t>
  </si>
  <si>
    <t>25.73.10.00.00.10.10.17.1</t>
  </si>
  <si>
    <t>25.73.10.00.00.10.10.22.1</t>
  </si>
  <si>
    <t>25.73.10.00.00.10.10.12.1</t>
  </si>
  <si>
    <t>25.73.10.00.00.15.11.10.1</t>
  </si>
  <si>
    <t>25.73.30.00.00.22.10.10.1</t>
  </si>
  <si>
    <t>навесы мебельные</t>
  </si>
  <si>
    <t>32.91.12.00.00.00.14.18.1</t>
  </si>
  <si>
    <t>22.29.23.00.00.00.10.19.1</t>
  </si>
  <si>
    <t>22.19.72.00.00.00.30.10.1</t>
  </si>
  <si>
    <t>26.51.51.17.11.20.10.11.1</t>
  </si>
  <si>
    <t>Термогигрометр</t>
  </si>
  <si>
    <t>32.91.11.00.00.00.17.20.2</t>
  </si>
  <si>
    <t>Губка</t>
  </si>
  <si>
    <t>25.73.10.00.00.20.22.10.1</t>
  </si>
  <si>
    <t>22.21.29.00.00.51.10.10.1</t>
  </si>
  <si>
    <t>Коннектор</t>
  </si>
  <si>
    <t>25.73.10.00.00.30.10.10.1</t>
  </si>
  <si>
    <t>Секатор</t>
  </si>
  <si>
    <t>25.73.20.00.00.10.21.10.1</t>
  </si>
  <si>
    <t>20.52.10.00.00.00.06.10.3</t>
  </si>
  <si>
    <t>28.29.23.00.00.00.11.10.1</t>
  </si>
  <si>
    <t>Радиатор</t>
  </si>
  <si>
    <t>28.14.20.10.00.00.00.02.1</t>
  </si>
  <si>
    <t>28.14.20.12.00.00.00.01.1</t>
  </si>
  <si>
    <t>13.99.13.00.00.00.71.03.1</t>
  </si>
  <si>
    <t>28.25.11.00.00.00.17.10.1</t>
  </si>
  <si>
    <t>Паронит</t>
  </si>
  <si>
    <t>23.99.11.07.01.00.00.01.2</t>
  </si>
  <si>
    <t>23.99.14.00.00.00.40.11.1</t>
  </si>
  <si>
    <t>28.14.13.15.00.00.00.12.1</t>
  </si>
  <si>
    <t>1525 Т</t>
  </si>
  <si>
    <t>килограмм</t>
  </si>
  <si>
    <t>Картон</t>
  </si>
  <si>
    <t>23.99.11.05.01.00.00.09.1</t>
  </si>
  <si>
    <t>Электрод</t>
  </si>
  <si>
    <t>Фланец</t>
  </si>
  <si>
    <t>22.21.21.00.00.40.21.15.2</t>
  </si>
  <si>
    <t>22.21.21.00.00.40.21.14.2</t>
  </si>
  <si>
    <t>22.21.21.00.00.40.21.13.2</t>
  </si>
  <si>
    <t>22.21.21.00.00.40.21.12.2</t>
  </si>
  <si>
    <t>22.21.21.00.00.40.21.11.2</t>
  </si>
  <si>
    <t>22.21.21.00.00.40.21.10.2</t>
  </si>
  <si>
    <t>24.20.31.01.10.11.16.11.2</t>
  </si>
  <si>
    <t>24.20.31.01.10.11.15.11.2</t>
  </si>
  <si>
    <t>24.10.31.00.00.12.10.11.1</t>
  </si>
  <si>
    <t>28.15.10.00.00.00.11.11.1</t>
  </si>
  <si>
    <t>Муфта</t>
  </si>
  <si>
    <t>24.20.40.00.18.10.10.11.1</t>
  </si>
  <si>
    <t>25.94.11.00.00.12.11.10.1</t>
  </si>
  <si>
    <t>25.93.15.00.00.12.10.10.2</t>
  </si>
  <si>
    <t>ф 50</t>
  </si>
  <si>
    <t>28.14.13.22.00.00.00.53.1</t>
  </si>
  <si>
    <t>ф 40</t>
  </si>
  <si>
    <t>28.14.13.22.00.00.00.52.1</t>
  </si>
  <si>
    <t>ф 32</t>
  </si>
  <si>
    <t>28.14.13.22.00.00.00.51.1</t>
  </si>
  <si>
    <t>ф 25</t>
  </si>
  <si>
    <t>28.14.13.22.00.00.00.69.1</t>
  </si>
  <si>
    <t xml:space="preserve">ф 20 </t>
  </si>
  <si>
    <t>28.14.13.22.00.00.00.68.1</t>
  </si>
  <si>
    <t>28.14.13.22.00.00.00.67.1</t>
  </si>
  <si>
    <t>28.14.11.16.00.00.00.02.1</t>
  </si>
  <si>
    <t>Контргайка</t>
  </si>
  <si>
    <t>28.14.20.34.10.10.13.00.1</t>
  </si>
  <si>
    <t>28.14.13.21.00.00.00.33.1</t>
  </si>
  <si>
    <t>Вентиль</t>
  </si>
  <si>
    <t>22.21.29.00.00.38.10.10.1</t>
  </si>
  <si>
    <t>22.21.29.00.00.17.10.11.1</t>
  </si>
  <si>
    <t>16.29.12.00.00.00.00.25.1</t>
  </si>
  <si>
    <t>23.13.12.00.00.22.22.10.1</t>
  </si>
  <si>
    <t>25.71.14.00.00.59.40.10.1</t>
  </si>
  <si>
    <t>22.29.23.00.00.00.30.10.1</t>
  </si>
  <si>
    <t>22.29.23.00.00.00.28.10.1</t>
  </si>
  <si>
    <t>Стакан</t>
  </si>
  <si>
    <t>22.29.23.00.00.00.13.32.1</t>
  </si>
  <si>
    <t>22.29.23.00.00.00.17.48.1</t>
  </si>
  <si>
    <t>23.13.12.00.00.00.22.43.1</t>
  </si>
  <si>
    <t>Графин</t>
  </si>
  <si>
    <t>23.13.13.00.00.11.12.20.1</t>
  </si>
  <si>
    <t>25.99.12.13.00.00.00.16.1</t>
  </si>
  <si>
    <t>16.29.12.00.00.00.00.05.1</t>
  </si>
  <si>
    <t>25.73.10.00.00.20.16.10.1</t>
  </si>
  <si>
    <t>25.71.11.00.00.10.18.10.2</t>
  </si>
  <si>
    <t>25.71.14.00.00.11.11.10.2</t>
  </si>
  <si>
    <t>23.41.12.00.11.30.50.20.1</t>
  </si>
  <si>
    <t>23.41.12.00.11.30.40.20.1</t>
  </si>
  <si>
    <t>23.41.12.00.11.30.40.10.1</t>
  </si>
  <si>
    <t>23.13.12.00.00.22.12.10.1</t>
  </si>
  <si>
    <t>Бокал</t>
  </si>
  <si>
    <t>Штопор</t>
  </si>
  <si>
    <t>25.71.14.00.00.50.19.10.1</t>
  </si>
  <si>
    <t>10.84.12.00.00.00.04.10.1</t>
  </si>
  <si>
    <t>в упаковке, вес: 200 гр.</t>
  </si>
  <si>
    <t>варенная</t>
  </si>
  <si>
    <t>копченная</t>
  </si>
  <si>
    <t>10.39.22.00.00.00.12.20.1</t>
  </si>
  <si>
    <t>СТ РК 1401-2005</t>
  </si>
  <si>
    <t>10.81.12.00.00.00.33.20.1</t>
  </si>
  <si>
    <t>10.84.12.00.00.00.02.30.1</t>
  </si>
  <si>
    <t>Кетчуп</t>
  </si>
  <si>
    <t>СТ РК 1310-2004</t>
  </si>
  <si>
    <t>11.07.11.00.00.00.01.20.5</t>
  </si>
  <si>
    <t>10.84.12.00.00.00.01.10.2</t>
  </si>
  <si>
    <t>Пленка</t>
  </si>
  <si>
    <t>10.51.11.00.00.00.12.10.2</t>
  </si>
  <si>
    <t>25.73.30.00.00.30.10.17.1</t>
  </si>
  <si>
    <t>68.20.12.00.00.00.07</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</si>
  <si>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</si>
  <si>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</si>
  <si>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</si>
  <si>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</si>
  <si>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</si>
  <si>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</si>
  <si>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</si>
  <si>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</si>
  <si>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</si>
  <si>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</si>
  <si>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</si>
  <si>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</si>
  <si>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</si>
  <si>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</si>
  <si>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</si>
  <si>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</si>
  <si>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</si>
  <si>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</si>
  <si>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</si>
  <si>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</si>
  <si>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</si>
  <si>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</si>
  <si>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</si>
  <si>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</si>
  <si>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</si>
  <si>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</si>
  <si>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</si>
  <si>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</si>
  <si>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</si>
  <si>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</si>
  <si>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</si>
  <si>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</si>
  <si>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</si>
  <si>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</si>
  <si>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</si>
  <si>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</si>
  <si>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</si>
  <si>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</si>
  <si>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</si>
  <si>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</si>
  <si>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</si>
  <si>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</si>
  <si>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</si>
  <si>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</si>
  <si>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</si>
  <si>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</si>
  <si>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</si>
  <si>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</si>
  <si>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</si>
  <si>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</si>
  <si>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</si>
  <si>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</si>
  <si>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</si>
  <si>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</si>
  <si>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</si>
  <si>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</si>
  <si>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</si>
  <si>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</si>
  <si>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</si>
  <si>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</si>
  <si>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</si>
  <si>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</si>
  <si>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</si>
  <si>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</si>
  <si>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</si>
  <si>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</si>
  <si>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</si>
  <si>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</si>
  <si>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</si>
  <si>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</si>
  <si>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</si>
  <si>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</si>
  <si>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</si>
  <si>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</si>
  <si>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</si>
  <si>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</si>
  <si>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</si>
  <si>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</si>
  <si>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</si>
  <si>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</si>
  <si>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</si>
  <si>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</si>
  <si>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</si>
  <si>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</si>
  <si>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</si>
  <si>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</si>
  <si>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</si>
  <si>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</si>
  <si>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</si>
  <si>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</si>
  <si>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</si>
  <si>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</si>
  <si>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</si>
  <si>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</si>
  <si>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</si>
  <si>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</si>
  <si>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</si>
  <si>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</si>
  <si>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</si>
  <si>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</si>
  <si>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</si>
  <si>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</si>
  <si>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</si>
  <si>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</si>
  <si>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</si>
  <si>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</si>
  <si>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</si>
  <si>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</si>
  <si>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</si>
  <si>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</si>
  <si>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</si>
  <si>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</si>
  <si>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</si>
  <si>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</si>
  <si>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</si>
  <si>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</si>
  <si>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</si>
  <si>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</si>
  <si>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</si>
  <si>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</si>
  <si>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</si>
  <si>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</si>
  <si>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</si>
  <si>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</si>
  <si>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</si>
  <si>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</si>
  <si>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</si>
  <si>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</si>
  <si>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</si>
  <si>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</si>
  <si>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</si>
  <si>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</si>
  <si>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</si>
  <si>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</si>
  <si>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</si>
  <si>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</si>
  <si>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</si>
  <si>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</si>
  <si>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</si>
  <si>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</si>
  <si>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</si>
  <si>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</si>
  <si>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</si>
  <si>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</si>
  <si>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</si>
  <si>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</si>
  <si>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</si>
  <si>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</si>
  <si>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</si>
  <si>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</si>
  <si>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</si>
  <si>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</si>
  <si>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</si>
  <si>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</si>
  <si>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</si>
  <si>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</si>
  <si>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</si>
  <si>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</si>
  <si>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</si>
  <si>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</si>
  <si>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</si>
  <si>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</si>
  <si>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</si>
  <si>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</si>
  <si>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</si>
  <si>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</si>
  <si>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</si>
  <si>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</si>
  <si>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</si>
  <si>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</si>
  <si>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</si>
  <si>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</si>
  <si>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</si>
  <si>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</si>
  <si>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</si>
  <si>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</si>
  <si>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</si>
  <si>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</si>
  <si>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</si>
  <si>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</si>
  <si>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</si>
  <si>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</si>
  <si>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</si>
  <si>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</si>
  <si>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</si>
  <si>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</si>
  <si>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</si>
  <si>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</si>
  <si>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</si>
  <si>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</si>
  <si>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</si>
  <si>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</si>
  <si>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</si>
  <si>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</si>
  <si>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</si>
  <si>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</si>
  <si>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</si>
  <si>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</si>
  <si>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</si>
  <si>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</si>
  <si>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</si>
  <si>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</si>
  <si>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</si>
  <si>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</si>
  <si>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</si>
  <si>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</si>
  <si>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</si>
  <si>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</si>
  <si>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</si>
  <si>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</si>
  <si>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</si>
  <si>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</si>
  <si>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</si>
  <si>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</si>
  <si>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</si>
  <si>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</si>
  <si>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</si>
  <si>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19 Р</t>
  </si>
  <si>
    <t>20 Р</t>
  </si>
  <si>
    <t>137 У</t>
  </si>
  <si>
    <t>138 У</t>
  </si>
  <si>
    <t>139 У</t>
  </si>
  <si>
    <t>140 У</t>
  </si>
  <si>
    <t>28.29.13.00.00.00.12.03.1</t>
  </si>
  <si>
    <t>10.39.23.00.00.11.00.10.1</t>
  </si>
  <si>
    <t>14.12.11.00.00.70.10.40.1</t>
  </si>
  <si>
    <t>839</t>
  </si>
  <si>
    <t>14.12.11.00.00.83.11.20.1</t>
  </si>
  <si>
    <t>15.20.13.00.00.00.10.14.1</t>
  </si>
  <si>
    <t>32.99.11.00.00.00.10.10.1</t>
  </si>
  <si>
    <t>Каска</t>
  </si>
  <si>
    <t>14.12.30.00.00.70.10.09.1</t>
  </si>
  <si>
    <t>Бейсболка</t>
  </si>
  <si>
    <t>14.12.30.00.00.70.10.13.1</t>
  </si>
  <si>
    <t>14.12.30.00.00.80.11.11.1</t>
  </si>
  <si>
    <t>Рукавицы специальные</t>
  </si>
  <si>
    <t>14.12.30.00.00.10.10.14.1</t>
  </si>
  <si>
    <t>Футболка</t>
  </si>
  <si>
    <t>15.20.13.00.00.00.10.17.1</t>
  </si>
  <si>
    <t>14.12.30.00.00.50.10.13.1</t>
  </si>
  <si>
    <t>14.12.30.00.00.50.10.11.1</t>
  </si>
  <si>
    <t>14.12.30.00.00.60.17.10.1</t>
  </si>
  <si>
    <t>14.12.30.00.00.60.17.12.1</t>
  </si>
  <si>
    <t>14.12.30.00.00.11.01.16.1</t>
  </si>
  <si>
    <t>14.12.30.00.00.40.10.13.1</t>
  </si>
  <si>
    <t>Халат</t>
  </si>
  <si>
    <t>14.13.14.00.00.10.11.50.1</t>
  </si>
  <si>
    <t>15.20.12.00.00.00.11.10.1</t>
  </si>
  <si>
    <t>15.20.13.00.00.00.22.11.1</t>
  </si>
  <si>
    <t>14.13.12.00.00.10.13.50.1</t>
  </si>
  <si>
    <t>15.20.32.00.00.00.12.45.1</t>
  </si>
  <si>
    <t>15.20.32.00.00.00.12.49.1</t>
  </si>
  <si>
    <t>1574 Т</t>
  </si>
  <si>
    <t>1575 Т</t>
  </si>
  <si>
    <t>1576 Т</t>
  </si>
  <si>
    <t>1577 Т</t>
  </si>
  <si>
    <t>1578 Т</t>
  </si>
  <si>
    <t>1580 Т</t>
  </si>
  <si>
    <t>1581 Т</t>
  </si>
  <si>
    <t>1582 Т</t>
  </si>
  <si>
    <t>1583 Т</t>
  </si>
  <si>
    <t>1584 Т</t>
  </si>
  <si>
    <t>1585 Т</t>
  </si>
  <si>
    <t>1586 Т</t>
  </si>
  <si>
    <t>1587 Т</t>
  </si>
  <si>
    <t>1588 Т</t>
  </si>
  <si>
    <t>1589 Т</t>
  </si>
  <si>
    <t>1590 Т</t>
  </si>
  <si>
    <t>1591 Т</t>
  </si>
  <si>
    <t>1592 Т</t>
  </si>
  <si>
    <t>1593 Т</t>
  </si>
  <si>
    <t>1594 Т</t>
  </si>
  <si>
    <t>1595 Т</t>
  </si>
  <si>
    <t>1597 Т</t>
  </si>
  <si>
    <t>1598 Т</t>
  </si>
  <si>
    <t>1599 Т</t>
  </si>
  <si>
    <t>1600 Т</t>
  </si>
  <si>
    <t>1601 Т</t>
  </si>
  <si>
    <t>1602 Т</t>
  </si>
  <si>
    <t>1603 Т</t>
  </si>
  <si>
    <t>1605 Т</t>
  </si>
  <si>
    <t>1606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</si>
  <si>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</si>
  <si>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</si>
  <si>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</si>
  <si>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</si>
  <si>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</si>
  <si>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</si>
  <si>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</si>
  <si>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</si>
  <si>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</si>
  <si>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</si>
  <si>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</si>
  <si>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</si>
  <si>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</si>
  <si>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</si>
  <si>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</si>
  <si>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</si>
  <si>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</si>
  <si>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</si>
  <si>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</si>
  <si>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</si>
  <si>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</si>
  <si>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</si>
  <si>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1631 Т</t>
  </si>
  <si>
    <t>32.99.21.00.00.00.11.10.1</t>
  </si>
  <si>
    <t>93.11.10.14.00.00.00</t>
  </si>
  <si>
    <t>86.90.19.14.00.00.00</t>
  </si>
  <si>
    <t>141 У</t>
  </si>
  <si>
    <t>79.90.20.10.00.00.00</t>
  </si>
  <si>
    <t>22 Р</t>
  </si>
  <si>
    <t>19 У</t>
  </si>
  <si>
    <t>20 У</t>
  </si>
  <si>
    <t>21 У</t>
  </si>
  <si>
    <t>22 У</t>
  </si>
  <si>
    <t>23 У</t>
  </si>
  <si>
    <t>24 У</t>
  </si>
  <si>
    <t>25 У</t>
  </si>
  <si>
    <t>90 У</t>
  </si>
  <si>
    <t>116 У</t>
  </si>
  <si>
    <t>142 У</t>
  </si>
  <si>
    <t>143 У</t>
  </si>
  <si>
    <t>ЛВО 4х36 IP20</t>
  </si>
  <si>
    <t>ЛВО 2х36 IP20</t>
  </si>
  <si>
    <t>27.40.24.00.00.10.13.20.1</t>
  </si>
  <si>
    <t>08.12.11.00.00.00.10.10.1</t>
  </si>
  <si>
    <t>25.73.30.00.00.14.11.10.1</t>
  </si>
  <si>
    <t>32.91.11.00.00.00.13.10.1</t>
  </si>
  <si>
    <t>22.29.26.00.00.00.10.10.1</t>
  </si>
  <si>
    <t>Бабочка пневмо с амплитудой  качания-бабочка пневмо имеет функция качания, регулируется плавность хода.</t>
  </si>
  <si>
    <t>Бабочка с синхромеханизмом</t>
  </si>
  <si>
    <t>22.29.26.00.00.00.10.11.1</t>
  </si>
  <si>
    <t>15 Т</t>
  </si>
  <si>
    <t>16 Т</t>
  </si>
  <si>
    <t>17 Т</t>
  </si>
  <si>
    <t>18 Т</t>
  </si>
  <si>
    <t>19 Т</t>
  </si>
  <si>
    <t>20 Т</t>
  </si>
  <si>
    <t>21 Т</t>
  </si>
  <si>
    <t>22 Т</t>
  </si>
  <si>
    <t>23 Т</t>
  </si>
  <si>
    <t>24 Т</t>
  </si>
  <si>
    <t>25 Т</t>
  </si>
  <si>
    <t>26 Т</t>
  </si>
  <si>
    <t>27 Т</t>
  </si>
  <si>
    <t>28 Т</t>
  </si>
  <si>
    <t>29 Т</t>
  </si>
  <si>
    <t>30 Т</t>
  </si>
  <si>
    <t>31 Т</t>
  </si>
  <si>
    <t>32 Т</t>
  </si>
  <si>
    <t>33 Т</t>
  </si>
  <si>
    <t>34 Т</t>
  </si>
  <si>
    <t>35 Т</t>
  </si>
  <si>
    <t>36 Т</t>
  </si>
  <si>
    <t>37 Т</t>
  </si>
  <si>
    <t>38 Т</t>
  </si>
  <si>
    <t>39 Т</t>
  </si>
  <si>
    <t>40 Т</t>
  </si>
  <si>
    <t>41 Т</t>
  </si>
  <si>
    <t>42 Т</t>
  </si>
  <si>
    <t>43 Т</t>
  </si>
  <si>
    <t>44 Т</t>
  </si>
  <si>
    <t>45 Т</t>
  </si>
  <si>
    <t>46 Т</t>
  </si>
  <si>
    <t>47 Т</t>
  </si>
  <si>
    <t>48 Т</t>
  </si>
  <si>
    <t>49 Т</t>
  </si>
  <si>
    <t>50 Т</t>
  </si>
  <si>
    <t>51 Т</t>
  </si>
  <si>
    <t>52 Т</t>
  </si>
  <si>
    <t>53 Т</t>
  </si>
  <si>
    <t>54 Т</t>
  </si>
  <si>
    <t>55 Т</t>
  </si>
  <si>
    <t>56 Т</t>
  </si>
  <si>
    <t>57 Т</t>
  </si>
  <si>
    <t>58 Т</t>
  </si>
  <si>
    <t>59 Т</t>
  </si>
  <si>
    <t>60 Т</t>
  </si>
  <si>
    <t>61 Т</t>
  </si>
  <si>
    <t>62 Т</t>
  </si>
  <si>
    <t>63 Т</t>
  </si>
  <si>
    <t>64 Т</t>
  </si>
  <si>
    <t>65 Т</t>
  </si>
  <si>
    <t>66 Т</t>
  </si>
  <si>
    <t>67 Т</t>
  </si>
  <si>
    <t>68 Т</t>
  </si>
  <si>
    <t>69 Т</t>
  </si>
  <si>
    <t>70 Т</t>
  </si>
  <si>
    <t>71 Т</t>
  </si>
  <si>
    <t>72 Т</t>
  </si>
  <si>
    <t>73 Т</t>
  </si>
  <si>
    <t>74 Т</t>
  </si>
  <si>
    <t>75 Т</t>
  </si>
  <si>
    <t>76 Т</t>
  </si>
  <si>
    <t>77 Т</t>
  </si>
  <si>
    <t>78 Т</t>
  </si>
  <si>
    <t>79 Т</t>
  </si>
  <si>
    <t>80 Т</t>
  </si>
  <si>
    <t>81 Т</t>
  </si>
  <si>
    <t>82 Т</t>
  </si>
  <si>
    <t>83 Т</t>
  </si>
  <si>
    <t>84 Т</t>
  </si>
  <si>
    <t>85 Т</t>
  </si>
  <si>
    <t>86 Т</t>
  </si>
  <si>
    <t>87 Т</t>
  </si>
  <si>
    <t>88 Т</t>
  </si>
  <si>
    <t>89 Т</t>
  </si>
  <si>
    <t>90 Т</t>
  </si>
  <si>
    <t>91 Т</t>
  </si>
  <si>
    <t>92 Т</t>
  </si>
  <si>
    <t>93 Т</t>
  </si>
  <si>
    <t>94 Т</t>
  </si>
  <si>
    <t>95 Т</t>
  </si>
  <si>
    <t>96 Т</t>
  </si>
  <si>
    <t>97 Т</t>
  </si>
  <si>
    <t>98 Т</t>
  </si>
  <si>
    <t>99 Т</t>
  </si>
  <si>
    <t>100 Т</t>
  </si>
  <si>
    <t>101 Т</t>
  </si>
  <si>
    <t>102 Т</t>
  </si>
  <si>
    <t>103 Т</t>
  </si>
  <si>
    <t>104 Т</t>
  </si>
  <si>
    <t>105 Т</t>
  </si>
  <si>
    <t>106 Т</t>
  </si>
  <si>
    <t>107 Т</t>
  </si>
  <si>
    <t>108 Т</t>
  </si>
  <si>
    <t>109 Т</t>
  </si>
  <si>
    <t>110 Т</t>
  </si>
  <si>
    <t>111 Т</t>
  </si>
  <si>
    <t>112 Т</t>
  </si>
  <si>
    <t>113 Т</t>
  </si>
  <si>
    <t>114 Т</t>
  </si>
  <si>
    <t>115 Т</t>
  </si>
  <si>
    <t>116 Т</t>
  </si>
  <si>
    <t>117 Т</t>
  </si>
  <si>
    <t>118 Т</t>
  </si>
  <si>
    <t>119 Т</t>
  </si>
  <si>
    <t>120 Т</t>
  </si>
  <si>
    <t>121 Т</t>
  </si>
  <si>
    <t>122 Т</t>
  </si>
  <si>
    <t>123 Т</t>
  </si>
  <si>
    <t>124 Т</t>
  </si>
  <si>
    <t>125 Т</t>
  </si>
  <si>
    <t>126 Т</t>
  </si>
  <si>
    <t>127 Т</t>
  </si>
  <si>
    <t>128 Т</t>
  </si>
  <si>
    <t>129 Т</t>
  </si>
  <si>
    <t>130 Т</t>
  </si>
  <si>
    <t>131 Т</t>
  </si>
  <si>
    <t>132 Т</t>
  </si>
  <si>
    <t>133 Т</t>
  </si>
  <si>
    <t>134 Т</t>
  </si>
  <si>
    <t>135 Т</t>
  </si>
  <si>
    <t>136 Т</t>
  </si>
  <si>
    <t>137 Т</t>
  </si>
  <si>
    <t>138 Т</t>
  </si>
  <si>
    <t>139 Т</t>
  </si>
  <si>
    <t>140 Т</t>
  </si>
  <si>
    <t>141 Т</t>
  </si>
  <si>
    <t>142 Т</t>
  </si>
  <si>
    <t>143 Т</t>
  </si>
  <si>
    <t>144 Т</t>
  </si>
  <si>
    <t>145 Т</t>
  </si>
  <si>
    <t>146 Т</t>
  </si>
  <si>
    <t>147 Т</t>
  </si>
  <si>
    <t>148 Т</t>
  </si>
  <si>
    <t>149 Т</t>
  </si>
  <si>
    <t>150 Т</t>
  </si>
  <si>
    <t>151 Т</t>
  </si>
  <si>
    <t>152 Т</t>
  </si>
  <si>
    <t>153 Т</t>
  </si>
  <si>
    <t>154 Т</t>
  </si>
  <si>
    <t>155 Т</t>
  </si>
  <si>
    <t>156 Т</t>
  </si>
  <si>
    <t>157 Т</t>
  </si>
  <si>
    <t>158 Т</t>
  </si>
  <si>
    <t>159 Т</t>
  </si>
  <si>
    <t>160 Т</t>
  </si>
  <si>
    <t>161 Т</t>
  </si>
  <si>
    <t>162 Т</t>
  </si>
  <si>
    <t>163 Т</t>
  </si>
  <si>
    <t>164 Т</t>
  </si>
  <si>
    <t>165 Т</t>
  </si>
  <si>
    <t>166 Т</t>
  </si>
  <si>
    <t>167 Т</t>
  </si>
  <si>
    <t>168 Т</t>
  </si>
  <si>
    <t>169 Т</t>
  </si>
  <si>
    <t>170 Т</t>
  </si>
  <si>
    <t>171 Т</t>
  </si>
  <si>
    <t>172 Т</t>
  </si>
  <si>
    <t>173 Т</t>
  </si>
  <si>
    <t>174 Т</t>
  </si>
  <si>
    <t>175 Т</t>
  </si>
  <si>
    <t>176 Т</t>
  </si>
  <si>
    <t>177 Т</t>
  </si>
  <si>
    <t>178 Т</t>
  </si>
  <si>
    <t>179 Т</t>
  </si>
  <si>
    <t>180 Т</t>
  </si>
  <si>
    <t>181 Т</t>
  </si>
  <si>
    <t>182 Т</t>
  </si>
  <si>
    <t>183 Т</t>
  </si>
  <si>
    <t>184 Т</t>
  </si>
  <si>
    <t>185 Т</t>
  </si>
  <si>
    <t>186 Т</t>
  </si>
  <si>
    <t>187 Т</t>
  </si>
  <si>
    <t>188 Т</t>
  </si>
  <si>
    <t>189 Т</t>
  </si>
  <si>
    <t>190 Т</t>
  </si>
  <si>
    <t>191 Т</t>
  </si>
  <si>
    <t>192 Т</t>
  </si>
  <si>
    <t>193 Т</t>
  </si>
  <si>
    <t>194 Т</t>
  </si>
  <si>
    <t>195 Т</t>
  </si>
  <si>
    <t>196 Т</t>
  </si>
  <si>
    <t>197 Т</t>
  </si>
  <si>
    <t>198 Т</t>
  </si>
  <si>
    <t>199 Т</t>
  </si>
  <si>
    <t>200 Т</t>
  </si>
  <si>
    <t>201 Т</t>
  </si>
  <si>
    <t>202 Т</t>
  </si>
  <si>
    <t>203 Т</t>
  </si>
  <si>
    <t>204 Т</t>
  </si>
  <si>
    <t>205 Т</t>
  </si>
  <si>
    <t>206 Т</t>
  </si>
  <si>
    <t>207 Т</t>
  </si>
  <si>
    <t>208 Т</t>
  </si>
  <si>
    <t>209 Т</t>
  </si>
  <si>
    <t>210 Т</t>
  </si>
  <si>
    <t>211 Т</t>
  </si>
  <si>
    <t>213 Т</t>
  </si>
  <si>
    <t>214 Т</t>
  </si>
  <si>
    <t>215 Т</t>
  </si>
  <si>
    <t>216 Т</t>
  </si>
  <si>
    <t>217 Т</t>
  </si>
  <si>
    <t>218 Т</t>
  </si>
  <si>
    <t>219 Т</t>
  </si>
  <si>
    <t>220 Т</t>
  </si>
  <si>
    <t>221 Т</t>
  </si>
  <si>
    <t>222 Т</t>
  </si>
  <si>
    <t>223 Т</t>
  </si>
  <si>
    <t>224 Т</t>
  </si>
  <si>
    <t>225 Т</t>
  </si>
  <si>
    <t>226 Т</t>
  </si>
  <si>
    <t>227 Т</t>
  </si>
  <si>
    <t>228 Т</t>
  </si>
  <si>
    <t>229 Т</t>
  </si>
  <si>
    <t>230 Т</t>
  </si>
  <si>
    <t>231 Т</t>
  </si>
  <si>
    <t>232 Т</t>
  </si>
  <si>
    <t>233 Т</t>
  </si>
  <si>
    <t>234 Т</t>
  </si>
  <si>
    <t>235 Т</t>
  </si>
  <si>
    <t>236 Т</t>
  </si>
  <si>
    <t>237 Т</t>
  </si>
  <si>
    <t>238 Т</t>
  </si>
  <si>
    <t>239 Т</t>
  </si>
  <si>
    <t>240 Т</t>
  </si>
  <si>
    <t>241 Т</t>
  </si>
  <si>
    <t>242 Т</t>
  </si>
  <si>
    <t>243 Т</t>
  </si>
  <si>
    <t>244 Т</t>
  </si>
  <si>
    <t>245 Т</t>
  </si>
  <si>
    <t>246 Т</t>
  </si>
  <si>
    <t>247 Т</t>
  </si>
  <si>
    <t>248 Т</t>
  </si>
  <si>
    <t>249 Т</t>
  </si>
  <si>
    <t>250 Т</t>
  </si>
  <si>
    <t>251 Т</t>
  </si>
  <si>
    <t>252 Т</t>
  </si>
  <si>
    <t>253 Т</t>
  </si>
  <si>
    <t>254 Т</t>
  </si>
  <si>
    <t>255 Т</t>
  </si>
  <si>
    <t>256 Т</t>
  </si>
  <si>
    <t>257 Т</t>
  </si>
  <si>
    <t>258 Т</t>
  </si>
  <si>
    <t>259 Т</t>
  </si>
  <si>
    <t>260 Т</t>
  </si>
  <si>
    <t>261 Т</t>
  </si>
  <si>
    <t>262 Т</t>
  </si>
  <si>
    <t>263 Т</t>
  </si>
  <si>
    <t>264 Т</t>
  </si>
  <si>
    <t>265 Т</t>
  </si>
  <si>
    <t>266 Т</t>
  </si>
  <si>
    <t>267 Т</t>
  </si>
  <si>
    <t>268 Т</t>
  </si>
  <si>
    <t>269 Т</t>
  </si>
  <si>
    <t>270 Т</t>
  </si>
  <si>
    <t>271 Т</t>
  </si>
  <si>
    <t>272 Т</t>
  </si>
  <si>
    <t>273 Т</t>
  </si>
  <si>
    <t>274 Т</t>
  </si>
  <si>
    <t>275 Т</t>
  </si>
  <si>
    <t>276 Т</t>
  </si>
  <si>
    <t>277 Т</t>
  </si>
  <si>
    <t>278 Т</t>
  </si>
  <si>
    <t>279 Т</t>
  </si>
  <si>
    <t>280 Т</t>
  </si>
  <si>
    <t>281 Т</t>
  </si>
  <si>
    <t>282 Т</t>
  </si>
  <si>
    <t>283 Т</t>
  </si>
  <si>
    <t>284 Т</t>
  </si>
  <si>
    <t>285 Т</t>
  </si>
  <si>
    <t>286 Т</t>
  </si>
  <si>
    <t>287 Т</t>
  </si>
  <si>
    <t>288 Т</t>
  </si>
  <si>
    <t>289 Т</t>
  </si>
  <si>
    <t>290 Т</t>
  </si>
  <si>
    <t>291 Т</t>
  </si>
  <si>
    <t>292 Т</t>
  </si>
  <si>
    <t>293 Т</t>
  </si>
  <si>
    <t>294 Т</t>
  </si>
  <si>
    <t>295 Т</t>
  </si>
  <si>
    <t>296 Т</t>
  </si>
  <si>
    <t>297 Т</t>
  </si>
  <si>
    <t>298 Т</t>
  </si>
  <si>
    <t>299 Т</t>
  </si>
  <si>
    <t>300 Т</t>
  </si>
  <si>
    <t>301 Т</t>
  </si>
  <si>
    <t>302 Т</t>
  </si>
  <si>
    <t>303 Т</t>
  </si>
  <si>
    <t>304 Т</t>
  </si>
  <si>
    <t>305 Т</t>
  </si>
  <si>
    <t>306 Т</t>
  </si>
  <si>
    <t>307 Т</t>
  </si>
  <si>
    <t>308 Т</t>
  </si>
  <si>
    <t>309 Т</t>
  </si>
  <si>
    <t>310 Т</t>
  </si>
  <si>
    <t>311 Т</t>
  </si>
  <si>
    <t>312 Т</t>
  </si>
  <si>
    <t>313 Т</t>
  </si>
  <si>
    <t>314 Т</t>
  </si>
  <si>
    <t>315 Т</t>
  </si>
  <si>
    <t>316 Т</t>
  </si>
  <si>
    <t>317 Т</t>
  </si>
  <si>
    <t>318 Т</t>
  </si>
  <si>
    <t>319 Т</t>
  </si>
  <si>
    <t>320 Т</t>
  </si>
  <si>
    <t>321 Т</t>
  </si>
  <si>
    <t>322 Т</t>
  </si>
  <si>
    <t>323 Т</t>
  </si>
  <si>
    <t>324 Т</t>
  </si>
  <si>
    <t>325 Т</t>
  </si>
  <si>
    <t>326 Т</t>
  </si>
  <si>
    <t>327 Т</t>
  </si>
  <si>
    <t>329 Т</t>
  </si>
  <si>
    <t>330 Т</t>
  </si>
  <si>
    <t>331 Т</t>
  </si>
  <si>
    <t>332 Т</t>
  </si>
  <si>
    <t>333 Т</t>
  </si>
  <si>
    <t>334 Т</t>
  </si>
  <si>
    <t>335 Т</t>
  </si>
  <si>
    <t>336 Т</t>
  </si>
  <si>
    <t>337 Т</t>
  </si>
  <si>
    <t>338 Т</t>
  </si>
  <si>
    <t>339 Т</t>
  </si>
  <si>
    <t>340 Т</t>
  </si>
  <si>
    <t>341 Т</t>
  </si>
  <si>
    <t>342 Т</t>
  </si>
  <si>
    <t>343 Т</t>
  </si>
  <si>
    <t>344 Т</t>
  </si>
  <si>
    <t>345 Т</t>
  </si>
  <si>
    <t>346 Т</t>
  </si>
  <si>
    <t>347 Т</t>
  </si>
  <si>
    <t>348 Т</t>
  </si>
  <si>
    <t>349 Т</t>
  </si>
  <si>
    <t>350 Т</t>
  </si>
  <si>
    <t>351 Т</t>
  </si>
  <si>
    <t>352 Т</t>
  </si>
  <si>
    <t>353 Т</t>
  </si>
  <si>
    <t>354 Т</t>
  </si>
  <si>
    <t>355 Т</t>
  </si>
  <si>
    <t>356 Т</t>
  </si>
  <si>
    <t>357 Т</t>
  </si>
  <si>
    <t>358 Т</t>
  </si>
  <si>
    <t>359 Т</t>
  </si>
  <si>
    <t>360 Т</t>
  </si>
  <si>
    <t>361 Т</t>
  </si>
  <si>
    <t>362 Т</t>
  </si>
  <si>
    <t>363 Т</t>
  </si>
  <si>
    <t>364 Т</t>
  </si>
  <si>
    <t>365 Т</t>
  </si>
  <si>
    <t>366 Т</t>
  </si>
  <si>
    <t>367 Т</t>
  </si>
  <si>
    <t>368 Т</t>
  </si>
  <si>
    <t>369 Т</t>
  </si>
  <si>
    <t>370 Т</t>
  </si>
  <si>
    <t>371 Т</t>
  </si>
  <si>
    <t>372 Т</t>
  </si>
  <si>
    <t>373 Т</t>
  </si>
  <si>
    <t>374 Т</t>
  </si>
  <si>
    <t>375 Т</t>
  </si>
  <si>
    <t>376 Т</t>
  </si>
  <si>
    <t>377 Т</t>
  </si>
  <si>
    <t>378 Т</t>
  </si>
  <si>
    <t>379 Т</t>
  </si>
  <si>
    <t>380 Т</t>
  </si>
  <si>
    <t>381 Т</t>
  </si>
  <si>
    <t>382 Т</t>
  </si>
  <si>
    <t>383 Т</t>
  </si>
  <si>
    <t>384 Т</t>
  </si>
  <si>
    <t>385 Т</t>
  </si>
  <si>
    <t>386 Т</t>
  </si>
  <si>
    <t>387 Т</t>
  </si>
  <si>
    <t>388 Т</t>
  </si>
  <si>
    <t>389 Т</t>
  </si>
  <si>
    <t>390 Т</t>
  </si>
  <si>
    <t>391 Т</t>
  </si>
  <si>
    <t>392 Т</t>
  </si>
  <si>
    <t>393 Т</t>
  </si>
  <si>
    <t>394 Т</t>
  </si>
  <si>
    <t>395 Т</t>
  </si>
  <si>
    <t>396 Т</t>
  </si>
  <si>
    <t>397 Т</t>
  </si>
  <si>
    <t>398 Т</t>
  </si>
  <si>
    <t>399 Т</t>
  </si>
  <si>
    <t>400 Т</t>
  </si>
  <si>
    <t>401 Т</t>
  </si>
  <si>
    <t>402 Т</t>
  </si>
  <si>
    <t>403 Т</t>
  </si>
  <si>
    <t>404 Т</t>
  </si>
  <si>
    <t>405 Т</t>
  </si>
  <si>
    <t>406 Т</t>
  </si>
  <si>
    <t>407 Т</t>
  </si>
  <si>
    <t>408 Т</t>
  </si>
  <si>
    <t>409 Т</t>
  </si>
  <si>
    <t>410 Т</t>
  </si>
  <si>
    <t>411 Т</t>
  </si>
  <si>
    <t>412 Т</t>
  </si>
  <si>
    <t>413 Т</t>
  </si>
  <si>
    <t>414 Т</t>
  </si>
  <si>
    <t>415 Т</t>
  </si>
  <si>
    <t>416 Т</t>
  </si>
  <si>
    <t>417 Т</t>
  </si>
  <si>
    <t>418 Т</t>
  </si>
  <si>
    <t>419 Т</t>
  </si>
  <si>
    <t>420 Т</t>
  </si>
  <si>
    <t>421 Т</t>
  </si>
  <si>
    <t>422 Т</t>
  </si>
  <si>
    <t>423 Т</t>
  </si>
  <si>
    <t>424 Т</t>
  </si>
  <si>
    <t>425 Т</t>
  </si>
  <si>
    <t>426 Т</t>
  </si>
  <si>
    <t>427 Т</t>
  </si>
  <si>
    <t>428 Т</t>
  </si>
  <si>
    <t>429 Т</t>
  </si>
  <si>
    <t>430 Т</t>
  </si>
  <si>
    <t>431 Т</t>
  </si>
  <si>
    <t>432 Т</t>
  </si>
  <si>
    <t>433 Т</t>
  </si>
  <si>
    <t>434 Т</t>
  </si>
  <si>
    <t>435 Т</t>
  </si>
  <si>
    <t>436 Т</t>
  </si>
  <si>
    <t>437 Т</t>
  </si>
  <si>
    <t>438 Т</t>
  </si>
  <si>
    <t>439 Т</t>
  </si>
  <si>
    <t>440 Т</t>
  </si>
  <si>
    <t>441 Т</t>
  </si>
  <si>
    <t>442 Т</t>
  </si>
  <si>
    <t>443 Т</t>
  </si>
  <si>
    <t>444 Т</t>
  </si>
  <si>
    <t>445 Т</t>
  </si>
  <si>
    <t>446 Т</t>
  </si>
  <si>
    <t>447 Т</t>
  </si>
  <si>
    <t>448 Т</t>
  </si>
  <si>
    <t>449 Т</t>
  </si>
  <si>
    <t>450 Т</t>
  </si>
  <si>
    <t>451 Т</t>
  </si>
  <si>
    <t>452 Т</t>
  </si>
  <si>
    <t>453 Т</t>
  </si>
  <si>
    <t>454 Т</t>
  </si>
  <si>
    <t>455 Т</t>
  </si>
  <si>
    <t>456 Т</t>
  </si>
  <si>
    <t>457 Т</t>
  </si>
  <si>
    <t>458 Т</t>
  </si>
  <si>
    <t>459 Т</t>
  </si>
  <si>
    <t>460 Т</t>
  </si>
  <si>
    <t>461 Т</t>
  </si>
  <si>
    <t>462 Т</t>
  </si>
  <si>
    <t>463 Т</t>
  </si>
  <si>
    <t>464 Т</t>
  </si>
  <si>
    <t>465 Т</t>
  </si>
  <si>
    <t>466 Т</t>
  </si>
  <si>
    <t>467 Т</t>
  </si>
  <si>
    <t>468 Т</t>
  </si>
  <si>
    <t>469 Т</t>
  </si>
  <si>
    <t>470 Т</t>
  </si>
  <si>
    <t>471 Т</t>
  </si>
  <si>
    <t>472 Т</t>
  </si>
  <si>
    <t>473 Т</t>
  </si>
  <si>
    <t>474 Т</t>
  </si>
  <si>
    <t>475 Т</t>
  </si>
  <si>
    <t>476 Т</t>
  </si>
  <si>
    <t>477 Т</t>
  </si>
  <si>
    <t>478 Т</t>
  </si>
  <si>
    <t>479 Т</t>
  </si>
  <si>
    <t>480 Т</t>
  </si>
  <si>
    <t>481 Т</t>
  </si>
  <si>
    <t>482 Т</t>
  </si>
  <si>
    <t>483 Т</t>
  </si>
  <si>
    <t>484 Т</t>
  </si>
  <si>
    <t>485 Т</t>
  </si>
  <si>
    <t>486 Т</t>
  </si>
  <si>
    <t>487 Т</t>
  </si>
  <si>
    <t>488 Т</t>
  </si>
  <si>
    <t>489 Т</t>
  </si>
  <si>
    <t>490 Т</t>
  </si>
  <si>
    <t>491 Т</t>
  </si>
  <si>
    <t>492 Т</t>
  </si>
  <si>
    <t>493 Т</t>
  </si>
  <si>
    <t>494 Т</t>
  </si>
  <si>
    <t>495 Т</t>
  </si>
  <si>
    <t>496 Т</t>
  </si>
  <si>
    <t>497 Т</t>
  </si>
  <si>
    <t>498 Т</t>
  </si>
  <si>
    <t>499 Т</t>
  </si>
  <si>
    <t>500 Т</t>
  </si>
  <si>
    <t>501 Т</t>
  </si>
  <si>
    <t>502 Т</t>
  </si>
  <si>
    <t>503 Т</t>
  </si>
  <si>
    <t>504 Т</t>
  </si>
  <si>
    <t>505 Т</t>
  </si>
  <si>
    <t>506 Т</t>
  </si>
  <si>
    <t>507 Т</t>
  </si>
  <si>
    <t>508 Т</t>
  </si>
  <si>
    <t>509 Т</t>
  </si>
  <si>
    <t>510 Т</t>
  </si>
  <si>
    <t>511 Т</t>
  </si>
  <si>
    <t>512 Т</t>
  </si>
  <si>
    <t>513 Т</t>
  </si>
  <si>
    <t>514 Т</t>
  </si>
  <si>
    <t>515 Т</t>
  </si>
  <si>
    <t>516 Т</t>
  </si>
  <si>
    <t>517 Т</t>
  </si>
  <si>
    <t>518 Т</t>
  </si>
  <si>
    <t>519 Т</t>
  </si>
  <si>
    <t>520 Т</t>
  </si>
  <si>
    <t>521 Т</t>
  </si>
  <si>
    <t>522 Т</t>
  </si>
  <si>
    <t>523 Т</t>
  </si>
  <si>
    <t>524 Т</t>
  </si>
  <si>
    <t>525 Т</t>
  </si>
  <si>
    <t>526 Т</t>
  </si>
  <si>
    <t>527 Т</t>
  </si>
  <si>
    <t>528 Т</t>
  </si>
  <si>
    <t>529 Т</t>
  </si>
  <si>
    <t>530 Т</t>
  </si>
  <si>
    <t>531 Т</t>
  </si>
  <si>
    <t>532 Т</t>
  </si>
  <si>
    <t>533 Т</t>
  </si>
  <si>
    <t>534 Т</t>
  </si>
  <si>
    <t>535 Т</t>
  </si>
  <si>
    <t>536 Т</t>
  </si>
  <si>
    <t>537 Т</t>
  </si>
  <si>
    <t>538 Т</t>
  </si>
  <si>
    <t>539 Т</t>
  </si>
  <si>
    <t>540 Т</t>
  </si>
  <si>
    <t>541 Т</t>
  </si>
  <si>
    <t>542 Т</t>
  </si>
  <si>
    <t>543 Т</t>
  </si>
  <si>
    <t>544 Т</t>
  </si>
  <si>
    <t>545 Т</t>
  </si>
  <si>
    <t>546 Т</t>
  </si>
  <si>
    <t>547 Т</t>
  </si>
  <si>
    <t>548 Т</t>
  </si>
  <si>
    <t>549 Т</t>
  </si>
  <si>
    <t>550 Т</t>
  </si>
  <si>
    <t>551 Т</t>
  </si>
  <si>
    <t>552 Т</t>
  </si>
  <si>
    <t>553 Т</t>
  </si>
  <si>
    <t>554 Т</t>
  </si>
  <si>
    <t>555 Т</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</si>
  <si>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</si>
  <si>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</si>
  <si>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</si>
  <si>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</si>
  <si>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</si>
  <si>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</si>
  <si>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</si>
  <si>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</si>
  <si>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</si>
  <si>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</si>
  <si>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</si>
  <si>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</si>
  <si>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</si>
  <si>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</si>
  <si>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</si>
  <si>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</si>
  <si>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</si>
  <si>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</si>
  <si>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</si>
  <si>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</si>
  <si>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</si>
  <si>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</si>
  <si>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</si>
  <si>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</si>
  <si>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</si>
  <si>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</si>
  <si>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</si>
  <si>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</si>
  <si>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</si>
  <si>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</si>
  <si>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</si>
  <si>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</si>
  <si>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</si>
  <si>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</si>
  <si>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</si>
  <si>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</si>
  <si>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</si>
  <si>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</si>
  <si>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</si>
  <si>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</si>
  <si>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</si>
  <si>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</si>
  <si>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</si>
  <si>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</si>
  <si>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</si>
  <si>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</si>
  <si>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</si>
  <si>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</si>
  <si>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</si>
  <si>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</si>
  <si>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</si>
  <si>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</si>
  <si>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</si>
  <si>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</si>
  <si>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</si>
  <si>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</si>
  <si>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</si>
  <si>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</si>
  <si>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</si>
  <si>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</si>
  <si>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</si>
  <si>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</si>
  <si>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</si>
  <si>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</si>
  <si>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</si>
  <si>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</si>
  <si>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</si>
  <si>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</si>
  <si>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</si>
  <si>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</si>
  <si>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</si>
  <si>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</si>
  <si>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</si>
  <si>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</si>
  <si>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</si>
  <si>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</si>
  <si>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</si>
  <si>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</si>
  <si>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</si>
  <si>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</si>
  <si>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</si>
  <si>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</si>
  <si>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</si>
  <si>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</si>
  <si>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</si>
  <si>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</si>
  <si>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</si>
  <si>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</si>
  <si>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</si>
  <si>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</si>
  <si>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</si>
  <si>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</si>
  <si>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</si>
  <si>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</si>
  <si>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</si>
  <si>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</si>
  <si>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</si>
  <si>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</si>
  <si>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</si>
  <si>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</si>
  <si>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</si>
  <si>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</si>
  <si>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</si>
  <si>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</si>
  <si>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</si>
  <si>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</si>
  <si>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</si>
  <si>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</si>
  <si>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</si>
  <si>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</si>
  <si>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</si>
  <si>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</si>
  <si>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</si>
  <si>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</si>
  <si>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</si>
  <si>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</si>
  <si>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</si>
  <si>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</si>
  <si>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</si>
  <si>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</si>
  <si>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</si>
  <si>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</si>
  <si>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</si>
  <si>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</si>
  <si>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</si>
  <si>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</si>
  <si>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</si>
  <si>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</si>
  <si>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</si>
  <si>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</si>
  <si>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</si>
  <si>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</si>
  <si>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</si>
  <si>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</si>
  <si>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</si>
  <si>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</si>
  <si>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</si>
  <si>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</si>
  <si>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</si>
  <si>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</si>
  <si>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</si>
  <si>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</si>
  <si>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</si>
  <si>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</si>
  <si>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</si>
  <si>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</si>
  <si>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</si>
  <si>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</si>
  <si>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</si>
  <si>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</si>
  <si>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</si>
  <si>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</si>
  <si>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</si>
  <si>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</si>
  <si>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</si>
  <si>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</si>
  <si>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</si>
  <si>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</si>
  <si>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</si>
  <si>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</si>
  <si>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</si>
  <si>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</si>
  <si>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</si>
  <si>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</si>
  <si>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</si>
  <si>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</si>
  <si>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</si>
  <si>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</si>
  <si>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</si>
  <si>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</si>
  <si>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</si>
  <si>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</si>
  <si>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</si>
  <si>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</si>
  <si>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</si>
  <si>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</si>
  <si>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</si>
  <si>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</si>
  <si>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</si>
  <si>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</si>
  <si>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</si>
  <si>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</si>
  <si>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</si>
  <si>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</si>
  <si>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</si>
  <si>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</si>
  <si>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</si>
  <si>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</si>
  <si>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</si>
  <si>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</si>
  <si>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</si>
  <si>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</si>
  <si>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</si>
  <si>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</si>
  <si>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</si>
  <si>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</si>
  <si>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</si>
  <si>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</si>
  <si>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</si>
  <si>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</si>
  <si>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</si>
  <si>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</si>
  <si>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</si>
  <si>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</si>
  <si>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</si>
  <si>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762 Т</t>
  </si>
  <si>
    <t>763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</si>
  <si>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</si>
  <si>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</si>
  <si>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</si>
  <si>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</si>
  <si>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</si>
  <si>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</si>
  <si>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</si>
  <si>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</si>
  <si>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</si>
  <si>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</si>
  <si>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</si>
  <si>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</si>
  <si>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</si>
  <si>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</si>
  <si>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</si>
  <si>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</si>
  <si>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</si>
  <si>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</si>
  <si>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</si>
  <si>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</si>
  <si>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</si>
  <si>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</si>
  <si>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</si>
  <si>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</si>
  <si>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</si>
  <si>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</si>
  <si>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</si>
  <si>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</si>
  <si>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</si>
  <si>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</si>
  <si>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</si>
  <si>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</si>
  <si>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</si>
  <si>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</si>
  <si>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</si>
  <si>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</si>
  <si>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</si>
  <si>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</si>
  <si>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</si>
  <si>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</si>
  <si>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</si>
  <si>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</si>
  <si>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</si>
  <si>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</si>
  <si>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</si>
  <si>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</si>
  <si>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</si>
  <si>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</si>
  <si>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</si>
  <si>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</si>
  <si>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</si>
  <si>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</si>
  <si>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</si>
  <si>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</si>
  <si>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</si>
  <si>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</si>
  <si>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</si>
  <si>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</si>
  <si>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</si>
  <si>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</si>
  <si>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</si>
  <si>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</si>
  <si>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</si>
  <si>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</si>
  <si>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</si>
  <si>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</si>
  <si>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</si>
  <si>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</si>
  <si>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</si>
  <si>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</si>
  <si>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</si>
  <si>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</si>
  <si>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</si>
  <si>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</si>
  <si>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</si>
  <si>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</si>
  <si>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</si>
  <si>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</si>
  <si>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</si>
  <si>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</si>
  <si>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</si>
  <si>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</si>
  <si>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</si>
  <si>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</si>
  <si>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</si>
  <si>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</si>
  <si>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</si>
  <si>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</si>
  <si>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</si>
  <si>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</si>
  <si>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</si>
  <si>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</si>
  <si>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</si>
  <si>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</si>
  <si>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</si>
  <si>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</si>
  <si>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</si>
  <si>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</si>
  <si>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</si>
  <si>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</si>
  <si>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</si>
  <si>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</si>
  <si>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</si>
  <si>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</si>
  <si>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</si>
  <si>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</si>
  <si>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</si>
  <si>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</si>
  <si>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</si>
  <si>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</si>
  <si>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</si>
  <si>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</si>
  <si>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</si>
  <si>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</si>
  <si>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</si>
  <si>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</si>
  <si>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</si>
  <si>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</si>
  <si>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</si>
  <si>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</si>
  <si>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</si>
  <si>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</si>
  <si>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</si>
  <si>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</si>
  <si>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</si>
  <si>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</si>
  <si>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</si>
  <si>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</si>
  <si>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</si>
  <si>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</si>
  <si>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</si>
  <si>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</si>
  <si>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</si>
  <si>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</si>
  <si>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</si>
  <si>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</si>
  <si>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</si>
  <si>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</si>
  <si>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</si>
  <si>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</si>
  <si>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</si>
  <si>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</si>
  <si>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149 У</t>
  </si>
  <si>
    <t>150 У</t>
  </si>
  <si>
    <t>151 У</t>
  </si>
  <si>
    <t>85.59.19.10.00.00.00</t>
  </si>
  <si>
    <t>г.Астана, г.Алматы</t>
  </si>
  <si>
    <t>761 Т</t>
  </si>
  <si>
    <t>764 Т</t>
  </si>
  <si>
    <t>765 Т</t>
  </si>
  <si>
    <t>1579 Т</t>
  </si>
  <si>
    <t>15.20.11.00.00.00.11.11.1</t>
  </si>
  <si>
    <t>14.12.30.00.00.80.10.11.1</t>
  </si>
  <si>
    <t>для защиты от механических воздействий, тип В, ГОСТ 12.4.010-75</t>
  </si>
  <si>
    <t xml:space="preserve">Рукавицы рабочие изготовлены из бязи двунитки суровой (подналадонник Х/Б), отстрочены двойным швом. Тип В.Все швы обработаны оверлоком. </t>
  </si>
  <si>
    <t>14.12.30.00.00.80.10.10.1</t>
  </si>
  <si>
    <t>13.92.29.00.00.00.50.61.1</t>
  </si>
  <si>
    <t>13.92.29.00.00.00.45.10.3</t>
  </si>
  <si>
    <t>32.91.11.00.00.00.15.10.1</t>
  </si>
  <si>
    <t>щетка - утюжок, с ручкой. утюжок, с ручкой</t>
  </si>
  <si>
    <t>30.99.10.00.00.00.15.10.1</t>
  </si>
  <si>
    <t>1633 Т</t>
  </si>
  <si>
    <t>1635 Т</t>
  </si>
  <si>
    <t>Портландцемент</t>
  </si>
  <si>
    <t>25.94.12.00.00.11.10.10.3</t>
  </si>
  <si>
    <t>32.99.80.00.00.00.00.05.1</t>
  </si>
  <si>
    <t>26.51.33.00.00.00.41.04.1</t>
  </si>
  <si>
    <t>25.71.11.00.00.11.10.10.1</t>
  </si>
  <si>
    <t>32.99.11.00.00.00.14.11.1</t>
  </si>
  <si>
    <t>Метр</t>
  </si>
  <si>
    <t>Эмаль</t>
  </si>
  <si>
    <t>20.59.55.00.00.35.10.10.1</t>
  </si>
  <si>
    <t>Вазелин</t>
  </si>
  <si>
    <t>разноцветный</t>
  </si>
  <si>
    <t>Клей</t>
  </si>
  <si>
    <t>Клей канцелярский жидкий</t>
  </si>
  <si>
    <t>Тетрадь</t>
  </si>
  <si>
    <t>Скоба</t>
  </si>
  <si>
    <t>Скобы проволочные для канцелярских целей</t>
  </si>
  <si>
    <t>упаковка</t>
  </si>
  <si>
    <t>устройство для оперативного скрепления листов металлическими скобами</t>
  </si>
  <si>
    <t>скоросшиватель</t>
  </si>
  <si>
    <t>Архивная папка для формата А4., 320x230x40мм, формат А4</t>
  </si>
  <si>
    <t>скоросшиватель бумажный</t>
  </si>
  <si>
    <t>скоросшиватель пластиковый</t>
  </si>
  <si>
    <t>Линейка</t>
  </si>
  <si>
    <t xml:space="preserve">Стикеры </t>
  </si>
  <si>
    <t>с липким краем, для заметок</t>
  </si>
  <si>
    <t>разноцветные</t>
  </si>
  <si>
    <t>с кисточкой</t>
  </si>
  <si>
    <t>Корректор жидкий</t>
  </si>
  <si>
    <t>широкий, свыше 3 см</t>
  </si>
  <si>
    <t>размер 48мм/66м</t>
  </si>
  <si>
    <t>узкий, до 3 см</t>
  </si>
  <si>
    <t>размер 19мм/33м</t>
  </si>
  <si>
    <t>Дырокол</t>
  </si>
  <si>
    <t>механическое устройство для пробивания отверстий в бумаге</t>
  </si>
  <si>
    <t>Ластик</t>
  </si>
  <si>
    <t>Приспособление для стирания написанного (мягкий)</t>
  </si>
  <si>
    <t xml:space="preserve">Точилка </t>
  </si>
  <si>
    <t>Точилка механическая для подтачивания грифельного карандаша</t>
  </si>
  <si>
    <t xml:space="preserve">Ножницы </t>
  </si>
  <si>
    <t>Ножницы с пластиковой ручкой, длина 25 см</t>
  </si>
  <si>
    <t>калькулятор настольный компактный</t>
  </si>
  <si>
    <t>настольный компактный 12 разрядный</t>
  </si>
  <si>
    <t>бумажный, формат А4</t>
  </si>
  <si>
    <t>Конверты</t>
  </si>
  <si>
    <t>Бумага для заметок</t>
  </si>
  <si>
    <t>Формат блока 9х9 см</t>
  </si>
  <si>
    <t>Лоток</t>
  </si>
  <si>
    <t>Лоток для бумаг горизонтальный из пластмассы</t>
  </si>
  <si>
    <t>Лоток для бумаг вертикальный из пластмассы</t>
  </si>
  <si>
    <t>Зажим</t>
  </si>
  <si>
    <t>Зажимы для бумаг. Размер 41 мм</t>
  </si>
  <si>
    <t>Зажимы для бумаг. Размер 32 мм</t>
  </si>
  <si>
    <t>Зажимы для бумаг. Размер 19 мм</t>
  </si>
  <si>
    <t>Нож</t>
  </si>
  <si>
    <t>канцелярский нож предназначенный для разрезания бумаги</t>
  </si>
  <si>
    <t>канцелярские</t>
  </si>
  <si>
    <t>Лист</t>
  </si>
  <si>
    <t>Разбавитель для штриха</t>
  </si>
  <si>
    <t>Уголок (уголки)</t>
  </si>
  <si>
    <t>уголки для бумаг</t>
  </si>
  <si>
    <t>Набор</t>
  </si>
  <si>
    <t>Настольный набор</t>
  </si>
  <si>
    <t xml:space="preserve">канцелярский набор </t>
  </si>
  <si>
    <t>Обложка для переплета</t>
  </si>
  <si>
    <t>формат А4, непрозрачная</t>
  </si>
  <si>
    <t>Мононить</t>
  </si>
  <si>
    <t>полиамидная (капроновая), с размером поперечного сечения 1 мм  </t>
  </si>
  <si>
    <t xml:space="preserve">нить капроновая </t>
  </si>
  <si>
    <t>Бобина</t>
  </si>
  <si>
    <t>Карандаш механический</t>
  </si>
  <si>
    <t>Карандаши механические прочие</t>
  </si>
  <si>
    <t>карандаш автоматический-0,5</t>
  </si>
  <si>
    <t>Блокнот для записей</t>
  </si>
  <si>
    <t>Календарь</t>
  </si>
  <si>
    <t>настенный</t>
  </si>
  <si>
    <t>настольный</t>
  </si>
  <si>
    <t>картон</t>
  </si>
  <si>
    <t>декоративно-отделочная, гипсовая, легкая, СТ РК 1168-2006</t>
  </si>
  <si>
    <t>порожек металлический</t>
  </si>
  <si>
    <t>лента в виде переплетенных стекловолокон для армирования, соединения и укрепления гипсокартонных плит, ДСП, ДВП и других листовых материалов</t>
  </si>
  <si>
    <t>Ламинированное напольное покрытие (ламинат)</t>
  </si>
  <si>
    <t>Рулетка</t>
  </si>
  <si>
    <t>Шуруп</t>
  </si>
  <si>
    <t>ковролан прорезиненный для входных групп</t>
  </si>
  <si>
    <t>Ковролан резиновый</t>
  </si>
  <si>
    <t xml:space="preserve">Навес </t>
  </si>
  <si>
    <t>левые (правые) стальные для деревянных дверей</t>
  </si>
  <si>
    <t>Подстил под ламинат</t>
  </si>
  <si>
    <t>Известь</t>
  </si>
  <si>
    <t>Бур</t>
  </si>
  <si>
    <t>ГОСТ 17016-71, БД1 для бурения отверстий диаметром 18 мм, длина 160 мм</t>
  </si>
  <si>
    <t>эторыхлый, легкий изоляционный, древесно-волокнистый строительный материал из рязряда утеплителей, ширина более 15см</t>
  </si>
  <si>
    <t>уплотнительная резинка для окон</t>
  </si>
  <si>
    <t>Уголок</t>
  </si>
  <si>
    <t>Для использования в металлоконструкциях из алюминия</t>
  </si>
  <si>
    <t>Замок</t>
  </si>
  <si>
    <t>Замки врезные</t>
  </si>
  <si>
    <t>Клей ПВА</t>
  </si>
  <si>
    <t>в пластиковых банках: 1,5 кг</t>
  </si>
  <si>
    <t>Стеклопакет</t>
  </si>
  <si>
    <t>Краска водно-дисперсионная (водоэмульсия)</t>
  </si>
  <si>
    <t>ВД-КЧ-577, Массовая доля нелетучих веществ 55-60%, рН краски ≥6,5, Укрывистость высушенного покрытия ≤180 г/м2, Морозостойкость краски ≥5 циклов, ГОСТ 28196-89</t>
  </si>
  <si>
    <t>ведро пластиковое 25кг</t>
  </si>
  <si>
    <t>Уплотнитель</t>
  </si>
  <si>
    <t>резиновый самоклеящийся</t>
  </si>
  <si>
    <t>вата целлюлозная и полотно из волокна целлюлозного с покрытием или пропиткой</t>
  </si>
  <si>
    <t>Теплоизоляционный материал размер: 7000*50 16,2 м2</t>
  </si>
  <si>
    <t>Насадка</t>
  </si>
  <si>
    <t>широкий</t>
  </si>
  <si>
    <t>Перчатки технические</t>
  </si>
  <si>
    <t>трикотажные,с точечным покрытием ПВХ, хлопчатобумажные</t>
  </si>
  <si>
    <t>Пара</t>
  </si>
  <si>
    <t>лента из нержавеющей стали, ГОСТ 7502-98, шкала номинальной длины: 5 м</t>
  </si>
  <si>
    <t>Нож для резки обоев</t>
  </si>
  <si>
    <t>Отвертка</t>
  </si>
  <si>
    <t>отвертки в наборе</t>
  </si>
  <si>
    <t>Респиратор</t>
  </si>
  <si>
    <t>для защиты от пылей и туманов</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</si>
  <si>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</si>
  <si>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</si>
  <si>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</si>
  <si>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с указанием СТ РК, ГОСТ, ТУ и т.д. </t>
  </si>
  <si>
    <t>Дополнительная характеристика</t>
  </si>
  <si>
    <t>Способ закупок</t>
  </si>
  <si>
    <t>Прогноз казахстанского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</si>
  <si>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</si>
  <si>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</si>
  <si>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</si>
  <si>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</si>
  <si>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</si>
  <si>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</si>
  <si>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</si>
  <si>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</si>
  <si>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</si>
  <si>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</si>
  <si>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</si>
  <si>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</si>
  <si>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</si>
  <si>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</si>
  <si>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</si>
  <si>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</si>
  <si>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ТОО  "КазМунайГаз-Сервис"</t>
  </si>
  <si>
    <t>Электроэнергия</t>
  </si>
  <si>
    <t>ГОСТ 13109-97 для собственного потребления</t>
  </si>
  <si>
    <t>по факту в течение года</t>
  </si>
  <si>
    <t>по карточной системе</t>
  </si>
  <si>
    <t>январь-февраль</t>
  </si>
  <si>
    <t>авансовый платеж - 100%, по заявкам Заказчика</t>
  </si>
  <si>
    <t>неэтилированный и этилированный, произведенный для двигателей с искровым зажиганием: АИ-92</t>
  </si>
  <si>
    <t>неэтилированный и этилированный, произведенный для двигателей с искровым зажиганием: АИ-80</t>
  </si>
  <si>
    <t>Топливо дизельное</t>
  </si>
  <si>
    <t>летнее, плотность при 20 °С не более 860 кг/м3, температура застывания не выше -10°С</t>
  </si>
  <si>
    <t>для котельных наливом</t>
  </si>
  <si>
    <t>по талонной системе</t>
  </si>
  <si>
    <t>Вода непитьевая техническая</t>
  </si>
  <si>
    <t>Вода непитьевая техническая для коммунальных нужд</t>
  </si>
  <si>
    <t>апрель-май</t>
  </si>
  <si>
    <t xml:space="preserve"> метр кубический</t>
  </si>
  <si>
    <t>Бумага</t>
  </si>
  <si>
    <t>формат А4, плотность 80г/м2, 21х29,5 см</t>
  </si>
  <si>
    <t>500 листов</t>
  </si>
  <si>
    <t>февраль-март</t>
  </si>
  <si>
    <t>Одна пачка</t>
  </si>
  <si>
    <t>формат А3, плотность 80г/м2, 420мм</t>
  </si>
  <si>
    <t>Папка пластиковая-регистратор, А4, 50 мм</t>
  </si>
  <si>
    <t>Папка пластиковая-регистратор, А4, 80 мм</t>
  </si>
  <si>
    <t>Папка пластиковая-планшет с зажимом, А4</t>
  </si>
  <si>
    <t>Ежедневник</t>
  </si>
  <si>
    <t>формат А5, датированный</t>
  </si>
  <si>
    <t>с фирменным логотипом Заказчика</t>
  </si>
  <si>
    <t>Файл - вкладыш</t>
  </si>
  <si>
    <t>с перфорацией для документов, размер 235*305мм</t>
  </si>
  <si>
    <t xml:space="preserve">журнал регистрации </t>
  </si>
  <si>
    <t>журнал для регистрации прочих документов</t>
  </si>
  <si>
    <t>Ручка</t>
  </si>
  <si>
    <t>Ручка пластиковая шариковая</t>
  </si>
  <si>
    <t xml:space="preserve"> цвет-синий</t>
  </si>
  <si>
    <t>Ручка пластиковая гелевая</t>
  </si>
  <si>
    <t>цвет-синий</t>
  </si>
  <si>
    <t xml:space="preserve"> цвет-красный</t>
  </si>
  <si>
    <t xml:space="preserve"> цвет-черный</t>
  </si>
  <si>
    <t>Глицин</t>
  </si>
  <si>
    <t xml:space="preserve">Раствор для инъекций в ампулах </t>
  </si>
  <si>
    <t>Твердые таблетки белого цвета</t>
  </si>
  <si>
    <t>Таблетки белого цвета круглой формы</t>
  </si>
  <si>
    <t>Бесцветный раствор в ампулах</t>
  </si>
  <si>
    <t>Непрозрачные капсулы, белый корпус - былая крышечка. Содержимое - белый порошок без запаха</t>
  </si>
  <si>
    <t>Сульфат магния</t>
  </si>
  <si>
    <t>Таблетки, покрытые кишечнорастворимой оболочкой розового цвета, круглые, с двояковыпуклыми поверхностями, с фасками; на изломе возможны коричневые вкрапления</t>
  </si>
  <si>
    <t>Таблетки белого или белого с кремовым оттенком</t>
  </si>
  <si>
    <t>Перекись водорода  </t>
  </si>
  <si>
    <t>Лейкопластырь бактерицидный</t>
  </si>
  <si>
    <t>Тетрациклиновая мазь</t>
  </si>
  <si>
    <t>Мазь желтого цвета. Содержит в 1 г  0,03 г (30 000 ЕД) тетрациклина гидрохлорида</t>
  </si>
  <si>
    <t>Драже белого цвета, глянцевые, круглые, со слабым запахом ванили</t>
  </si>
  <si>
    <t>Таблетки белого или белого с кремовым оттенком цвета</t>
  </si>
  <si>
    <t>Зажимы для бумаг. Размер 25 мм</t>
  </si>
  <si>
    <t>письменный, состоящий из более 5 предметов, из прочих материалов</t>
  </si>
  <si>
    <t>5 цветов</t>
  </si>
  <si>
    <t>общая,48 листов</t>
  </si>
  <si>
    <t>Общая, обложка многокрасочная, мелованный картон, блок из офсета, на двойной евроспирали, клетка 170х203, формат А5, 48 листов.</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</si>
  <si>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</si>
  <si>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Папка пластиковая 20 вкладышей</t>
  </si>
  <si>
    <t>из белой бумаги (блок из бумаг для заметок)</t>
  </si>
  <si>
    <t>из полипропиленовой пленки</t>
  </si>
  <si>
    <t>цвет белый</t>
  </si>
  <si>
    <t>Карандаш цветной</t>
  </si>
  <si>
    <t>в наборе</t>
  </si>
  <si>
    <t>Краска акварельная</t>
  </si>
  <si>
    <t>для рисования</t>
  </si>
  <si>
    <t>общая,96 листов</t>
  </si>
  <si>
    <t>Обложка картон мелованный, ламинированный нижняя обл.- плотный картон; на спирали; клетка 220х295 А4 96 листов</t>
  </si>
  <si>
    <t>Пластилин</t>
  </si>
  <si>
    <t>для черчения (ватман), формат А1, плотность 200 г/м2, размер 610х860 мм</t>
  </si>
  <si>
    <t>из пигментов и клея с добавлением белил</t>
  </si>
  <si>
    <t>краска разноцветная</t>
  </si>
  <si>
    <t>цветная, формат А4</t>
  </si>
  <si>
    <t>Леска</t>
  </si>
  <si>
    <t>Леска из искусственных волокон</t>
  </si>
  <si>
    <t>для бисероплетения</t>
  </si>
  <si>
    <t>Нитки швейные хлопчатобумажные</t>
  </si>
  <si>
    <t>Мел</t>
  </si>
  <si>
    <t>Мелки для письма и рисования</t>
  </si>
  <si>
    <t>цветные</t>
  </si>
  <si>
    <t>Кисть для рисования</t>
  </si>
  <si>
    <t>Материал исполнения - дерево</t>
  </si>
  <si>
    <t>Игла</t>
  </si>
  <si>
    <t>Воздушный фильтр</t>
  </si>
  <si>
    <t>для легковых автомобилей</t>
  </si>
  <si>
    <t>для прочих автомобилей</t>
  </si>
  <si>
    <t xml:space="preserve">для грузовых автомобилей </t>
  </si>
  <si>
    <t xml:space="preserve">Топливный фильтр </t>
  </si>
  <si>
    <t>для легковых автомобилей с двигателем внутреннего сгорания с непосредственным впрыском (инжекторные)</t>
  </si>
  <si>
    <t>тонкой очистки для дизельных двигателей грузовых автомобилей</t>
  </si>
  <si>
    <t>фильтр для очистки воздуха</t>
  </si>
  <si>
    <t>фильтр салона для легковых автомобилей Lexus LX 570</t>
  </si>
  <si>
    <t>фильтр салона для легковых автомобилей Ssang Yong Chairman</t>
  </si>
  <si>
    <t>Тормозные колодки</t>
  </si>
  <si>
    <t xml:space="preserve">для легковых автомобилей, передние </t>
  </si>
  <si>
    <t xml:space="preserve">комплект </t>
  </si>
  <si>
    <t xml:space="preserve">для легковых автомобилей, задние </t>
  </si>
  <si>
    <t>Амортизатор подвески</t>
  </si>
  <si>
    <t>Рычаг</t>
  </si>
  <si>
    <t>Водяной насос (помпа)</t>
  </si>
  <si>
    <t>Радиатор системы охлаждения</t>
  </si>
  <si>
    <t>используется для проворачивания коленчатого вала при пуске двигателя</t>
  </si>
  <si>
    <t>Шаровая опора</t>
  </si>
  <si>
    <t>для подзаряда аккумуляторной батареи и питания всех потребителей при работе двигателя.</t>
  </si>
  <si>
    <t>Лобовое стекло</t>
  </si>
  <si>
    <t>Тормозной диск</t>
  </si>
  <si>
    <t>для прочих автомобилей, передний</t>
  </si>
  <si>
    <t>жидкостный (гидравлический), передней подвески</t>
  </si>
  <si>
    <t>жидкостный (гидравлический), задней подвески</t>
  </si>
  <si>
    <t>Крестовина карданного вала</t>
  </si>
  <si>
    <t>сентябрь-октябрь</t>
  </si>
  <si>
    <t>Шланг тормозной</t>
  </si>
  <si>
    <t>Рулевая тяга</t>
  </si>
  <si>
    <t>насос топливный</t>
  </si>
  <si>
    <t>для дизельного двигателя</t>
  </si>
  <si>
    <t>для грузовых автомобилей</t>
  </si>
  <si>
    <t>Размер:275/65R17. Шина резиновая пневматическая новая  для легковых автомобилей. Конструкция шины: радиальная. Комплектность: бескамерная шина. Номинальный диаметр обода: 17. Летняя шина.</t>
  </si>
  <si>
    <t>Размер:275/65R17.  Шина резиновая пневматическая новая  для легковых автомобилей. Конструкция шины: радиальная. Комплектность: бескамерная шина. Номинальный диаметр обода: 17. Зимняя шипованная шина.</t>
  </si>
  <si>
    <t xml:space="preserve">фильтр масляный </t>
  </si>
  <si>
    <t>фильтр масляный, механический, бумажный</t>
  </si>
  <si>
    <t>для прочих автомобилей, задние</t>
  </si>
  <si>
    <t>Подшипник ступицы</t>
  </si>
  <si>
    <t>Диск сцепления</t>
  </si>
  <si>
    <t>Ремень</t>
  </si>
  <si>
    <t>Ремень клиновый приводный</t>
  </si>
  <si>
    <t xml:space="preserve">тонкой очистки для дизельных двигателей прочих автомобилей </t>
  </si>
  <si>
    <t>Сцепление</t>
  </si>
  <si>
    <t>Мягкое соединение</t>
  </si>
  <si>
    <t>к насосу</t>
  </si>
  <si>
    <t>вентилятора</t>
  </si>
  <si>
    <t>для легковых автомобилей, передний</t>
  </si>
  <si>
    <t>Свеча зажигания</t>
  </si>
  <si>
    <t>на легковые автомобили, короткие, резьба - М16</t>
  </si>
  <si>
    <t>Комплект</t>
  </si>
  <si>
    <t>для грузовых автомобилей, передние</t>
  </si>
  <si>
    <t xml:space="preserve">грубой очистки для дизельных двигателей прочих автомобилей </t>
  </si>
  <si>
    <t>Подшипник выключения сцепления (выжимной подшипник)</t>
  </si>
  <si>
    <t xml:space="preserve"> ремень генератора для  МКСМ 800</t>
  </si>
  <si>
    <t xml:space="preserve">грубой очистки для дизельных двигателей грузовых автомобилей </t>
  </si>
  <si>
    <t>комплект</t>
  </si>
  <si>
    <t>Шланг тормозной для грузовых автомобилей</t>
  </si>
  <si>
    <t>для фильтрования масла или топлива в двигателях внутреннего сгорания прочее</t>
  </si>
  <si>
    <t>Размер:215/60R16.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Летняя шина.</t>
  </si>
  <si>
    <t>Размер:10.00-20. Шины резиновые пневматические новые для автобусов или автомобилей грузовых. Конструкция шины: диагональная.  Индекс категории скорости I (максимальная скорость 100 км/ч). Норма слойности 16. ГОСТ 5513-97.</t>
  </si>
  <si>
    <t>ГОСТ 959-2002 марка 6СТ -190стартерный,  напряжением 12 В, емкостью 190 А*час,  с общей крышкой.</t>
  </si>
  <si>
    <t>ГОСТ 959-2002 марка 6СТ -90А стартерный,  напряжением 12 В, емкостью 90 А*час,  с общей крышкой.</t>
  </si>
  <si>
    <t>ГОСТ 959-2002 марка 6СТ -60 А стартерный,  напряжением 12 В, емкостью 60 А*час,  с общей крышкой.</t>
  </si>
  <si>
    <t>Аптечка универсальная (автомобильная)</t>
  </si>
  <si>
    <t>Сетевой общего назначения, сверхплотный с горизонтальным масштабированием ресурсов (blade), Предназначен для формирования структурированного серверного пула с максимальной плотностью монтажа компонентов. Предполагает постановку в специальные корпуса-полки с централизованной системой сетевых коммуникаций, энергопитания, охлаждения и управления, которые вынесены и обобщены в корзине для уменьшения занимаемого пространства. Корзина (англ. enclosure) — шасси для блейд-серверов, предоставляющая им доступ к общим компонентам.</t>
  </si>
  <si>
    <t>Персональный универсальный, Направлен на решение большинства задач как вычислительных, так и по работе с мультимедиа. Высокая производительность при работе со сложными вычислениями.</t>
  </si>
  <si>
    <t>Лазерный, Цветность - монохромный, формат - А4, скорость печати - менее 20 стр/м, разрешение 600 х 600 dpi</t>
  </si>
  <si>
    <t>Brand name, монохромный, А4, A5, A6, открытки, DL, C5, B5, от 147 x 211 мм до 216 x 356 мм, не менее 266 МГц, 2 Мб, 600 х 600 dpi, 18 стр/мин, бумага (для лазерной печати, обычная, фото, грубая, веленевая), конверты, наклейки, плотная бумага, прозрачные пленки, почтовые открытки, до 163 г/м.кв, USB 2.0, совместимый картридж: CE285A</t>
  </si>
  <si>
    <t>Многофункциональное устройство</t>
  </si>
  <si>
    <t xml:space="preserve">Принтер. Высокое качество получаемой печатной продукции. Главную роль играет функция печати, сканирование - второстепенную (используется в 2-3 раза реже принтера). Лазерная печать. Разрешение принтера - 600 х 600 dpi. </t>
  </si>
  <si>
    <t>Brand name, копирование, печать, сканирование, лазерный, монохромный, A4, A5, A6, B5, почтовые открытки, конверты (C5, DL, B5), не менее 64 Мб, 600 х 600 (принтер), 1200 х 1200 (сканер), 18 стр/мин, бумага (обычная, для лазерной печати), конверты,пленки, этикетки, картон, карточки, сканер - планшетный, устройство автоматической подачи документов, глубина цветного сканирования 24 бит, тип копировального аппарата  - монохромный, факс, USB 2.0, RJ-45, совместимый картридж: CE285A</t>
  </si>
  <si>
    <t>Тонерный. Черный.</t>
  </si>
  <si>
    <t>Картридж оригинальный C9730A от производителя принтера для доукомплектования HP ColorLaserJet 5500, цвет - черный, 13000 страниц А4 при 5% заполнении</t>
  </si>
  <si>
    <t>Картридж оригинальный C9731A от производителя принтера для доукомплектования HP ColorLaserJet 5500, цвет - голубой, 12000 страниц А4 при 5% заполнении</t>
  </si>
  <si>
    <t>Картридж оригинальный C9732A от производителя принтера для доукомплектования HP ColorLaserJet 5500, цвет - желтый, 12000 страниц А4 при 5% заполнении</t>
  </si>
  <si>
    <t>Картридж оригинальный C9733A от производителя принтера для доукомплектования HP ColorLaserJet 5500, цвет - пурпурный, 12000 страниц А4 при 5% заполнении</t>
  </si>
  <si>
    <t>Принт-картридж оригинальный CE740A от производителя принтера для доукомплектования HP ColorLaserJet CP5225DN, цвет - черный, 7000 страниц А4 при 5% заполнении</t>
  </si>
  <si>
    <t>Принт-картридж оригинальный CE741A от производителя принтера для доукомплектования HP ColorLaserJet CP5225DN, цвет - голубой, 7000 страниц А4 при 5% заполнении</t>
  </si>
  <si>
    <t>Принт-картридж оригинальный CE742A от производителя принтера для доукомплектования HP ColorLaserJet CP5225DN, цвет - желтый, 7000 страниц А4 при 5% заполнении</t>
  </si>
  <si>
    <t>Принт-картридж оригинальный CE743A от производителя принтера для доукомплектования HP ColorLaserJet CP5225DN, цвет - пурпурный, 7000 страниц А4 при 5% заполнении</t>
  </si>
  <si>
    <t>Картридж CF210A от производителя принтера для доукомплектования HP LaserJet PRO 200 M251n, цвет - черный, 1600 страниц А4 при 5% заполнении</t>
  </si>
  <si>
    <t>Картридж FX-10 для Canon MF4370, цвет - черный, 2000 страниц А4 при 5% заполнении</t>
  </si>
  <si>
    <t>Картридж CE285A для HP LaserJet Pro P1102, цвет - черный, 1600 страниц А4 при 5% заполнении</t>
  </si>
  <si>
    <t>Сетевой фильтр</t>
  </si>
  <si>
    <t>количество входных разъемов свыше 5-ти, длина шнура от 2 до 5 м</t>
  </si>
  <si>
    <t>Флеш-накопитель</t>
  </si>
  <si>
    <t>Батарейка пальчиковая типа АА</t>
  </si>
  <si>
    <t>Батарейка Крона</t>
  </si>
  <si>
    <t>щелочного типа</t>
  </si>
  <si>
    <t>Коммутационный шнур (патч-корд)</t>
  </si>
  <si>
    <t>длина 3 метра</t>
  </si>
  <si>
    <t>USB2.0 A-B. Для подключения периферийных устройств.</t>
  </si>
  <si>
    <t>Коммутатор сетевой (Switch)</t>
  </si>
  <si>
    <t>Разъем телефонный</t>
  </si>
  <si>
    <t>Коннектор модульный RJ11</t>
  </si>
  <si>
    <t>Коннектор модульный RJ45</t>
  </si>
  <si>
    <t>Емкость - 4,7 Гб, записываемый (однократно), 1 штука</t>
  </si>
  <si>
    <t>Емкость - 700 мб, записываемый (однократно), 1 штука</t>
  </si>
  <si>
    <t>Пленка для ламинирования</t>
  </si>
  <si>
    <t>Оригиналы программных обеспечений прочих</t>
  </si>
  <si>
    <t>Клиентская лицензия на 50 рабочих мест 1С Предприятие 8.x., HASP</t>
  </si>
  <si>
    <t>Смесь сухая строительная</t>
  </si>
  <si>
    <t>Лист гипсокартонный (гипсокартон)</t>
  </si>
  <si>
    <t>влагостойкий (ГКЛВ), размер 2500х1200х9,5 мм, ГОСТ 6266-97</t>
  </si>
  <si>
    <t>лист</t>
  </si>
  <si>
    <t>Клей кафельный</t>
  </si>
  <si>
    <t>стандартный, влагостойкий, морозостойкий, предназначен для настенной и напольной укладки всех видов плитки</t>
  </si>
  <si>
    <t>Плитка</t>
  </si>
  <si>
    <t>метр квадратный</t>
  </si>
  <si>
    <t>Саморез с потайной головкой</t>
  </si>
  <si>
    <t>ХВ-113 белый, массовая доля нелетучих веществ, %, не менее 40±2</t>
  </si>
  <si>
    <t>Рулон</t>
  </si>
  <si>
    <t>Обои виниловые и текстильные на бумажной основе</t>
  </si>
  <si>
    <t xml:space="preserve">метр квадратный </t>
  </si>
  <si>
    <t>плитка</t>
  </si>
  <si>
    <t>Валик малярный</t>
  </si>
  <si>
    <t>Гвоздь</t>
  </si>
  <si>
    <t>Сердцевина замка</t>
  </si>
  <si>
    <t>Сердцевина для врезного замка</t>
  </si>
  <si>
    <t>Доводчик двери</t>
  </si>
  <si>
    <t>Доводчик до 160кг</t>
  </si>
  <si>
    <t>Для межкомнатных дверей (c ключом)</t>
  </si>
  <si>
    <t xml:space="preserve">Растворитель </t>
  </si>
  <si>
    <t xml:space="preserve">смесь летучих органических жидкостей, марка 646, ГОСТ 18188-72 </t>
  </si>
  <si>
    <t>бутылка</t>
  </si>
  <si>
    <t>марки К1-70%-ный раствор в уайт-спирите смеси полимеризованного касторового масла с окисленным или прогретым (обезвоженным) полувысыхающим либо высыхающим маслом с добавлением сиккатива</t>
  </si>
  <si>
    <t>Герметик силиконовый</t>
  </si>
  <si>
    <t>марки У-30М, ГОСТ 13489-79</t>
  </si>
  <si>
    <t>Монтажная пена (пенополиуретановый герметик)</t>
  </si>
  <si>
    <t>однокомпонентная, всесезонная, в аэрозольной упаковке, профессиональная (пистолетная)</t>
  </si>
  <si>
    <t>Шаровой кран, общепромышленного назначения, номинальный диаметр 15 мм ГОСТ 21345-2005</t>
  </si>
  <si>
    <t>Шаровой кран, общепромышленного назначения, номинальный диаметр 20 мм ГОСТ 21345-2005</t>
  </si>
  <si>
    <t>Шаровой кран, общепромышленного назначения, номинальный диаметр 25 мм ГОСТ 21345-2005</t>
  </si>
  <si>
    <t>ГОСТ 28343-89,  кран шаровой стальной фланцевый, условный проход 32 мм</t>
  </si>
  <si>
    <t>ГОСТ 28343-89,  кран шаровой стальной фланцевый, условный проход 40 мм</t>
  </si>
  <si>
    <t>ГОСТ 28343-89,  кран шаровой стальной фланцевый, условный проход 50 мм</t>
  </si>
  <si>
    <t>Пруток</t>
  </si>
  <si>
    <t>Изделие металлическое</t>
  </si>
  <si>
    <t xml:space="preserve">метал для токарных  работ </t>
  </si>
  <si>
    <t>Гайка</t>
  </si>
  <si>
    <t>Изделие из нержавеющей стали</t>
  </si>
  <si>
    <t>метизы в ассортименте</t>
  </si>
  <si>
    <t>Стальная, прямая, ГОСТ 8966-75</t>
  </si>
  <si>
    <t>Полоса</t>
  </si>
  <si>
    <t>стальная 40 х 3, ГОСТ 4405-75</t>
  </si>
  <si>
    <t>Привод</t>
  </si>
  <si>
    <t>Пропан технический</t>
  </si>
  <si>
    <t>Труба</t>
  </si>
  <si>
    <t>Стальная, водогазопроводная, сварная,  обыкновенная, Условный проход - 25 мм, наружный диаметр - 33,5 мм, толщина стенки - 3,2 мм, ГОСТ 3262-75</t>
  </si>
  <si>
    <t>Стальная, водогазопроводная, сварная,  обыкновенная, Условный проход - 32 мм, наружный диаметр - 42,3 мм, толщина стенки - 3,2 мм, ГОСТ 3262-75</t>
  </si>
  <si>
    <t>асбестовый, общего назначения (КАОН-2), толщина - 5,0 мм. ГОСТ 2850-95</t>
  </si>
  <si>
    <t>Шнур</t>
  </si>
  <si>
    <t>Клапан обратный</t>
  </si>
  <si>
    <t>Метр квадратный</t>
  </si>
  <si>
    <t xml:space="preserve">Клей  </t>
  </si>
  <si>
    <t>На основе этилцианакрилата для склеивания в любых сочетаниях фарфор, керамику, дерево, кожу, резину,металл, пробку,картон, большинство пластиков</t>
  </si>
  <si>
    <t>Растворитель</t>
  </si>
  <si>
    <t>Бутылка</t>
  </si>
  <si>
    <t>Песок природный</t>
  </si>
  <si>
    <t>1 класса, мелкий, ГОСТ 8736-93</t>
  </si>
  <si>
    <t>строительный мелкий</t>
  </si>
  <si>
    <t>плечики для гардероба, верхней одежды деревянные на металлическом крючке, крючок вкручен в деревянную основу</t>
  </si>
  <si>
    <t>Веник</t>
  </si>
  <si>
    <t>Из материалов растительного происхождения</t>
  </si>
  <si>
    <t>Веник хозяйственный. Размер: высота- 630 мм, длина - 380 мм.</t>
  </si>
  <si>
    <t>Щетка</t>
  </si>
  <si>
    <t>Щетка пластиковая для ковровых покрытий с ручкой</t>
  </si>
  <si>
    <t>Лопата</t>
  </si>
  <si>
    <t>Лопаты совковые песочные</t>
  </si>
  <si>
    <t>Лопаты снегоуборочные</t>
  </si>
  <si>
    <t>Лопаты копальные остроконечные (штыковые)</t>
  </si>
  <si>
    <t>веерные пластмасовые</t>
  </si>
  <si>
    <t>Рубанок</t>
  </si>
  <si>
    <t>Ручной инструмент, используемый для ручного строгания древесины</t>
  </si>
  <si>
    <t>с ручкой</t>
  </si>
  <si>
    <t>Кисть малярная</t>
  </si>
  <si>
    <t>кисть рогожная, побелочная</t>
  </si>
  <si>
    <t>Ведро</t>
  </si>
  <si>
    <t>Бак пищевой</t>
  </si>
  <si>
    <t>Коврик резиновый</t>
  </si>
  <si>
    <t>Коврик резиновый для ванной комнаты</t>
  </si>
  <si>
    <t>Шторка для ванн</t>
  </si>
  <si>
    <t>для мытья посуды, кухонного оборудования и удаления различных загрязнений с деликатных поверхностей (хромированные, никелированные, тефлоновые, акриловые поверхности)</t>
  </si>
  <si>
    <t>Коса</t>
  </si>
  <si>
    <t>сельскохозяйственный ручной носимый инструмент для скашивания травы</t>
  </si>
  <si>
    <t>шланговый, для систем полива и орошения</t>
  </si>
  <si>
    <t>металлические</t>
  </si>
  <si>
    <t>Ручки для шкафов</t>
  </si>
  <si>
    <t>Ножовка</t>
  </si>
  <si>
    <t>по дереву</t>
  </si>
  <si>
    <t xml:space="preserve">Метла </t>
  </si>
  <si>
    <t xml:space="preserve">Без черенка. Длинна метлы: 70-90 см. </t>
  </si>
  <si>
    <t>по металлу</t>
  </si>
  <si>
    <t>специальные ножи</t>
  </si>
  <si>
    <t>Плоскогубцы</t>
  </si>
  <si>
    <t>Комбинированные</t>
  </si>
  <si>
    <t>Метла</t>
  </si>
  <si>
    <t>Материал изготовления - химическая нить</t>
  </si>
  <si>
    <t>Фурнитура для мебели</t>
  </si>
  <si>
    <t>фурнитура и крепежные изделия</t>
  </si>
  <si>
    <t>задняя спинка из кожи для представительского кресла.</t>
  </si>
  <si>
    <t>колесо обычное пластик, барашек, таблетки</t>
  </si>
  <si>
    <t>фурнитура и соединительные изделия</t>
  </si>
  <si>
    <t>крестовина деревянная без колес</t>
  </si>
  <si>
    <t>крестовина пластиковая без колес</t>
  </si>
  <si>
    <t>крестовина с колесиками пластиковая</t>
  </si>
  <si>
    <t>крестовина металлическая хромированная без колес</t>
  </si>
  <si>
    <t>деревянные подлокотники</t>
  </si>
  <si>
    <t>офисные подлокотники пластиковые</t>
  </si>
  <si>
    <t>представительские подлокотники пластиковые</t>
  </si>
  <si>
    <t>офисные подлокотники хромированные</t>
  </si>
  <si>
    <t>подлокотники модель  Сенатор</t>
  </si>
  <si>
    <t>подлокотники модель "С"</t>
  </si>
  <si>
    <t>Средство для выведения пятен</t>
  </si>
  <si>
    <t>Средство для мытья полов</t>
  </si>
  <si>
    <t>жидкость для мытья  полов</t>
  </si>
  <si>
    <t>Средство для чистки унитаза</t>
  </si>
  <si>
    <t>гелеобразное для чистки и дезинфекции унитаза</t>
  </si>
  <si>
    <t>Чистящее средство</t>
  </si>
  <si>
    <t>против ржавчины</t>
  </si>
  <si>
    <t>порошкообразное, в пластмассовой бутылке, объемом: 400 гр.</t>
  </si>
  <si>
    <t>Средство для мытья стекол</t>
  </si>
  <si>
    <t>предназначен для мытья всех типов стеклянных и зеркальных поверхностей</t>
  </si>
  <si>
    <t>Средство для чистки мебели</t>
  </si>
  <si>
    <t>гелеобразное, для чистки и мойки мебели</t>
  </si>
  <si>
    <t>Средства дезинфицирующие на основе соединений галогенов</t>
  </si>
  <si>
    <t>Средства, содержащие химические вещества, применяемые для дезинфекции: хлор и хлорсодержащие соединения, йод, бром и их соединения</t>
  </si>
  <si>
    <t>дезинфицирующие средство в таблетках:1 таблетка содержит натриевую соль дихлоризоциануровой кислоты с содержанием 1,5 г (44,2%) активного хлора. Пластиковые банки по 300 таблеток.</t>
  </si>
  <si>
    <t>Средство отбеливающее и дезодорирующее</t>
  </si>
  <si>
    <t>предназначено для отбеливания и удаления пятен с белых изделий, дезинфекции различных поверхностей</t>
  </si>
  <si>
    <t>Мыло туалетное</t>
  </si>
  <si>
    <t>твердое, марки "Нейтральное" (Н), ГОСТ 28546-2002</t>
  </si>
  <si>
    <t>Вес 100 г.</t>
  </si>
  <si>
    <t>жидкое, гелеобразное, ГОСТ 23361-78</t>
  </si>
  <si>
    <t>Мыло хозяйственное</t>
  </si>
  <si>
    <t>Средство для мытья ковров</t>
  </si>
  <si>
    <t>Порошок стиральный</t>
  </si>
  <si>
    <t>предназначен для стирки изделий из различных тканей, ГОСТ 25644-96</t>
  </si>
  <si>
    <t>Ручная стирка. Пачка: 450 гр.</t>
  </si>
  <si>
    <t>полироли для мебели</t>
  </si>
  <si>
    <t>Средство для мытья посуды</t>
  </si>
  <si>
    <t>гелеобразное вещество для мытья посуды</t>
  </si>
  <si>
    <t>Освежитель воздуха</t>
  </si>
  <si>
    <t>освежители воздуха и арома-средства, для  устранения неприятного запаха в помещениях (комната, ванна, туалеты)</t>
  </si>
  <si>
    <t>Средство для чистки ванн и раковин</t>
  </si>
  <si>
    <t>Бумага туалетная</t>
  </si>
  <si>
    <t>полотенца гигиенические или косметические</t>
  </si>
  <si>
    <t>многослойные, ширина не менее 160 мм</t>
  </si>
  <si>
    <t>салфетки гигиенические или косметические</t>
  </si>
  <si>
    <t>без пропитки</t>
  </si>
  <si>
    <t>Мешок для мусора</t>
  </si>
  <si>
    <t>Полиэтиленовые мешки для мусора с завязками обычной прочности</t>
  </si>
  <si>
    <t>Полиэтиленовые мешки для мусора обыкновенные (без ручек и завязок) обычной прочности</t>
  </si>
  <si>
    <t>из латекса, хозяйственные</t>
  </si>
  <si>
    <t>пара</t>
  </si>
  <si>
    <t>Тряпка для удаления пыли</t>
  </si>
  <si>
    <t>Тряпки нетканые для удаления пыли</t>
  </si>
  <si>
    <t>Салфетки из микрофибры, сухие. В комплекте 3 шт. (разноцветные).</t>
  </si>
  <si>
    <t>Тряпка для мытья полов</t>
  </si>
  <si>
    <t>тряпка петельная (47 см.), специальная текстильная моечная насадка на швабру</t>
  </si>
  <si>
    <t>Ветошь</t>
  </si>
  <si>
    <t xml:space="preserve">Ветошь обтирочная, хлопчатобумажная, тканая. Обработанные отходы потребления текстильных материалов, выработанных их хлопчатобумажных или лубяных волокон </t>
  </si>
  <si>
    <t>хлопчатобумажная ткань, бесшовные, из вафельного полотна</t>
  </si>
  <si>
    <t>фланелевая, вид отборной шерстяной ткани с ворсом из шерстяной пряжи</t>
  </si>
  <si>
    <t xml:space="preserve">Салфетка </t>
  </si>
  <si>
    <t>Салфетки хлопковые безворсовые</t>
  </si>
  <si>
    <t>Салфетка губчатая. Состав: смесь хлопчатобумажных волокон и целлюлозы. В комплекте 4 шт. (разноцветные).Размер: 18 х 20 см. Вес: 25 гр.</t>
  </si>
  <si>
    <t>Ерш хозяйственный</t>
  </si>
  <si>
    <t>Швабра пластиковая с зажимом для тряпки</t>
  </si>
  <si>
    <t>Швабра деревянная</t>
  </si>
  <si>
    <t>Швабра пластиковая для мытья окон телескопическая</t>
  </si>
  <si>
    <t>Метла полипропиленовая, синтетическая. Длина: 45-50 см.</t>
  </si>
  <si>
    <t>Совок пластиковый для мусора с длинной ручкой</t>
  </si>
  <si>
    <t>Корзина для бумаг</t>
  </si>
  <si>
    <t>Корзина для бумаг, объем 10 л</t>
  </si>
  <si>
    <t xml:space="preserve">Диспенсер сенсорный под бумажное полотенце. Пластиковый корпус, размер: глубина:23см, ширина:35см, высота: 29,5см. Серого цвета, крышка черного цвета. Автоматически выдает лист бумаги, путем поднесения руки к основанию диспенсера. Работает от батареек, количество батареек 4 штуки, серии «D». Вставляется один рулон бумаги, длина рулона 150 метров, ширина: 22см, диаметр отверстия 5см. </t>
  </si>
  <si>
    <t>для посудомоечной машины в таблетках</t>
  </si>
  <si>
    <t>Упаковка : 500 гр.</t>
  </si>
  <si>
    <t>Вес: 25 г.</t>
  </si>
  <si>
    <t>твердое, марки "Детское" (Д), ГОСТ 28546-2002</t>
  </si>
  <si>
    <t>Шампунь</t>
  </si>
  <si>
    <t>Шампунь для волос в одноразовой упаковке</t>
  </si>
  <si>
    <t>Шампунь для волос в пластиковой упаковке</t>
  </si>
  <si>
    <t xml:space="preserve"> объемом: 250 мл.</t>
  </si>
  <si>
    <t>Гель для душа</t>
  </si>
  <si>
    <t>желеобразный, ароматизированный</t>
  </si>
  <si>
    <t>в пластиковой упаковке, объемом: 250 мл.</t>
  </si>
  <si>
    <t>Пена для бритья</t>
  </si>
  <si>
    <t>пены для бритья, содержащие мыло</t>
  </si>
  <si>
    <t>в аэрозолевой бутылке, объемом: 200 мл</t>
  </si>
  <si>
    <t>Лосьон после бритья</t>
  </si>
  <si>
    <t>Туалетная расческа</t>
  </si>
  <si>
    <t>Туалетная расческа пластмассовые, длиной 10-15 см.</t>
  </si>
  <si>
    <t>Щетка зубная</t>
  </si>
  <si>
    <t>Бритва</t>
  </si>
  <si>
    <t>Безопасные обыкновенные (Бритвенный станок)</t>
  </si>
  <si>
    <t>Бритвенный станок с 2-мя лезвиями</t>
  </si>
  <si>
    <t>Салфетка</t>
  </si>
  <si>
    <t>чистящие салфетки, пропитанные специальным составом</t>
  </si>
  <si>
    <t>Салфетки влажные в пластиковых баночках 40-60 шт., однослойные, белые, без запаха.</t>
  </si>
  <si>
    <t>Алюминиевая, ГОСТ 25905-83</t>
  </si>
  <si>
    <t xml:space="preserve">Фольга алюминиевая. Длина: 10м. Фольга изготовлена из пищевого алюминия. Предназначена для запекания и приготовления пищевых продуктов в газовых и электрических печах, на кострах. </t>
  </si>
  <si>
    <t>Пленка из полиэтилентерефталата</t>
  </si>
  <si>
    <t xml:space="preserve">Пищевая стретч-пленка. Размер: 350мм х 200м х 9мкм </t>
  </si>
  <si>
    <t>г.Павлодар, ул. Химкомбинатовская, д.1</t>
  </si>
  <si>
    <t>многослойная, ширина не менее 90 мм, длина не менее 30 м</t>
  </si>
  <si>
    <t xml:space="preserve"> туалетное мыло твердое, вес 75 гр, белое, не должно раскисать, не размокать. </t>
  </si>
  <si>
    <t xml:space="preserve">Порошкообразное с дезинфицирующим эффектом, в пластмассовой бутылке, объемом: 400 гр.  Очищает как свежие, так и глубоко въевшиеся  пятна. </t>
  </si>
  <si>
    <t xml:space="preserve">Объемом: 500 мл. Предназначен для мытья всех типов стеклянных и зеркальных поверхностей.   Средство с нашатырным спиртом, для мытья всех типов стеклянных и зеркальных поверхностей в пластмассовой бутылке с распылителем, не оставляет разводов.  </t>
  </si>
  <si>
    <t xml:space="preserve">Универсальное моющее средство Фасовка пачка: 320 гр. </t>
  </si>
  <si>
    <t>Ткань обтирочная</t>
  </si>
  <si>
    <t>вафельное полотно отбельное, плотность 240 гр/кв.м. х/б 100%, белое, шир.50см, плотность 240 см.</t>
  </si>
  <si>
    <t>Метр погонный</t>
  </si>
  <si>
    <t>Полотно</t>
  </si>
  <si>
    <t>обтирочное, материал - хлопок</t>
  </si>
  <si>
    <t xml:space="preserve">полотно нетканое холстопрошивное. Ширина 1.2-1,6 м. Плотность 210 гр.м.кв. Рулоны по 70 м.   </t>
  </si>
  <si>
    <t xml:space="preserve">Перчатки хозяйственные из 100% латекса,хлорированная поверхность,гипоаллергенное х/б напыление внутри против раздражения кожи рук  , не должны расползаться при использовании. </t>
  </si>
  <si>
    <t>Длина ручки 150 см .</t>
  </si>
  <si>
    <t>Щетка хозяйственная</t>
  </si>
  <si>
    <t>Ерш</t>
  </si>
  <si>
    <t>Тележка уборочная</t>
  </si>
  <si>
    <t>для уборки помещений, на колесиках</t>
  </si>
  <si>
    <t>Держатель</t>
  </si>
  <si>
    <t>Щётка для мытья пола, жесткая щетика в деревянном корпусе, L ножки — 1500 см.</t>
  </si>
  <si>
    <t xml:space="preserve">в пластмассовой бутылке, объемом: 750 мл.  Средство моющее универсальное  с ароматом лимона </t>
  </si>
  <si>
    <t>г.Павлодар, ул. Луговая, д.16</t>
  </si>
  <si>
    <t>Объемом: 500 мл. Средство с нашатырным спиртом в пластмассовой бутылке с распылителем, не оставляет разводов.</t>
  </si>
  <si>
    <t>Средство для мытья ковровых изделий</t>
  </si>
  <si>
    <t>жидкость для чистки ковровых изделий</t>
  </si>
  <si>
    <t>Средство по уходу за изделиями из кожи</t>
  </si>
  <si>
    <t>для очистки и обработки изделий из кожи</t>
  </si>
  <si>
    <t>в пластиковых бутылках: 1 л.</t>
  </si>
  <si>
    <t xml:space="preserve">Салфетка  в коробке (косметическая)
Размеры: 20 см х 20 см
Плотность: 1 м² 2х17 г
Двуслойная, белая, Z-сложения, с тиснением, влагопрочная, с большой впитывающей способностью, состав: 100% целлюлоза. </t>
  </si>
  <si>
    <t>Шпатель</t>
  </si>
  <si>
    <t>порошкообразное для чистки ванн и раковин</t>
  </si>
  <si>
    <t>Автомат. Пачка: 1 кг</t>
  </si>
  <si>
    <t>пластиковое круглое</t>
  </si>
  <si>
    <t>22.29.23.00.00.00.20.10.1</t>
  </si>
  <si>
    <t>Совок пластиковый для мусора</t>
  </si>
  <si>
    <t>Перчатки мужские</t>
  </si>
  <si>
    <t>трикотажные, хлопчатобумажные</t>
  </si>
  <si>
    <t>Таблетки № 10, содержащие резерпина - 0,1 мг, непрессола - 10 мг, гипотиазида - 10 мг и калия хлорида - 0,6 г</t>
  </si>
  <si>
    <t>март-апрель</t>
  </si>
  <si>
    <t>Раствор для инъекций</t>
  </si>
  <si>
    <t>Спрей назальный дозированный - бесцветный прозрачный раствор без запаха</t>
  </si>
  <si>
    <t>Уголь активированный</t>
  </si>
  <si>
    <t>Таблетки белого или белого с желтоватым оттенком цвета</t>
  </si>
  <si>
    <t>Таблетки (пастилы) для рассасывания</t>
  </si>
  <si>
    <t>Бальзам "Спасатель"</t>
  </si>
  <si>
    <t>Баьзам, обладающий заживляющим эффектом</t>
  </si>
  <si>
    <t>Аэрозоль  для местного применения дозированный 1доза/1флакон</t>
  </si>
  <si>
    <t>Таблетки диаметром 8 мм и толщиной 2,7 - 3,6 мм</t>
  </si>
  <si>
    <t>Костюм мужской</t>
  </si>
  <si>
    <t>Для защиты от производственных загрязнений. Комплект мужской из хлопчатобумажной ткани  с химическими волокнами. Утепленный.  Состоит из куртки и брюк или куртки и полукомбинезона. ГОСТ 27575-87</t>
  </si>
  <si>
    <t>Состоит из куртки и брюк. С фирменным логотипом Заказчика</t>
  </si>
  <si>
    <t>Костюм брезентовый для сварщика. Состоит из куртки и полукомбинезона.</t>
  </si>
  <si>
    <t>Костюм изолирующий</t>
  </si>
  <si>
    <t xml:space="preserve">для защиты от химических факторов. ГОСТ 12.4.064-84. </t>
  </si>
  <si>
    <t>Ботинки мужские</t>
  </si>
  <si>
    <t>из юфтевой кожи, на подошве из резины, кожи или полимерных материалов,  ГОСТ 26167-2005</t>
  </si>
  <si>
    <t>Материал изготовления - пластмасса</t>
  </si>
  <si>
    <t>неводопроницаемые, с подошвой и верхом из резины или материалов полимерных</t>
  </si>
  <si>
    <t>спортивный головной убор</t>
  </si>
  <si>
    <t>трикотажная, полушерстяная</t>
  </si>
  <si>
    <t>сапоги резиновые</t>
  </si>
  <si>
    <t>для защиты от повышенных температур, тип В, ГОСТ 12.4.010-75</t>
  </si>
  <si>
    <t>зимние,утепленные, ткань-3-х нитка. Ватин утепленный</t>
  </si>
  <si>
    <t>с короткими рукавами</t>
  </si>
  <si>
    <t>Туфли мужские</t>
  </si>
  <si>
    <t>Рубашка</t>
  </si>
  <si>
    <t>с длинным рукавом, мужская</t>
  </si>
  <si>
    <t>с длинным рукавом, женская</t>
  </si>
  <si>
    <t>мужской, многофункциональный</t>
  </si>
  <si>
    <t>женский, многофункциональный</t>
  </si>
  <si>
    <t>Бандана (косынка)</t>
  </si>
  <si>
    <t>Косынка для посудомойщиц и кухонных рабочих..</t>
  </si>
  <si>
    <t>Костюм брючный женский</t>
  </si>
  <si>
    <t>Костюмы женские брючные трикотажные из прочей пряжи , ГОСТ 17037-85. Состоит из жакета и брюк</t>
  </si>
  <si>
    <t>Туфли открытые женские</t>
  </si>
  <si>
    <t>балетки для уборщиц</t>
  </si>
  <si>
    <t>Тапочки женские</t>
  </si>
  <si>
    <t>закрытые, типа чувяков,   верх из кожи,  на подошве из резины, кожи или полимерных материалов, ГОСТ 1135-2005</t>
  </si>
  <si>
    <t>детская, с фирменным логотипом Заказчика, цвет:белый, желтый, синий.</t>
  </si>
  <si>
    <t>летний головной убор универсальный головной убор с жестким козырьком и планкой, регулирующий размер. Ткань - смесовая, ВО, полиэфир - 67%, хлопок - 33%. Безразмерная. Плотность 210 г/м2. Детская, с фирменным логотипом Заказчика, цвет: белый, желтый, синий.</t>
  </si>
  <si>
    <t>Белые, круглые, плоские таблетки, с риской на одной стороне, с гладкой поверхностью и цельными, скошенными краями</t>
  </si>
  <si>
    <t>Белые или почти белые круглые двояковыпуклые таблетки с гладкой поверхностью с обеих сторон, покрытые оболочкой. Вид на изломе – белая со слегка желтоватым оттенком масса</t>
  </si>
  <si>
    <t>Сироп для детей в виде слегка вязкого раствора желто-коричневого цвета, с карамельно-ванильным запахом</t>
  </si>
  <si>
    <t>не стерильная, гигроскопическая, гигиеническая</t>
  </si>
  <si>
    <t>стерильная, гигроскопическая, гигиеническая</t>
  </si>
  <si>
    <t>Бинт</t>
  </si>
  <si>
    <t>стерильный</t>
  </si>
  <si>
    <t>нестерильный</t>
  </si>
  <si>
    <t>Бинт эластичный</t>
  </si>
  <si>
    <t>Бинт, вязаный из хлопчатобумажных нитей или тканей с применением эластомерных материалов, обладающий способностью растягиваться</t>
  </si>
  <si>
    <t>Перчатки</t>
  </si>
  <si>
    <t>медицинские, стерильные</t>
  </si>
  <si>
    <t>Неинвазивные. На основе метода Н.С. Короткова. Приборы с элементами, облегчающими проведение измерения. С этой целью используют пневмокомпрессоры, клапаны управления скоростью выпуска воздуха из манжеты, электронные фонендоскопы.</t>
  </si>
  <si>
    <t>Медицинский. Ртутный.</t>
  </si>
  <si>
    <t>Сок томатный</t>
  </si>
  <si>
    <t>Концентрированный с добавками сахара. Сок, полученный из съедобных частей доброкачественных томатов, несброженный или подвергнутый молочно-кислому брожению. СТ РК 1578-2006</t>
  </si>
  <si>
    <t>Сок апельсиновый</t>
  </si>
  <si>
    <t>Концентрированный с добавками сахара. Сок, полученный из доброкачественных  спелых, свежих или сохраненных свежими благодаря охлаждению апельсинов, несброженный, но способный к брожению.</t>
  </si>
  <si>
    <t>Сок яблочный</t>
  </si>
  <si>
    <t>Концентрированный с добавками сахара. Сок, полученный из доброкачественных  спелых, свежих или сохраненных свежими благодаря охлаждению яблок, несброженный, но способный к брожению.</t>
  </si>
  <si>
    <t xml:space="preserve">Сок яблочный </t>
  </si>
  <si>
    <t>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t>
  </si>
  <si>
    <t>Сок яблочный натуральный с трубочкой. Объем: 0,2 л.</t>
  </si>
  <si>
    <t>Твердый, пластичный пищевой жир, который по составу, структуре, калорийности, внешнему виду, вкусу и запаху сходен с животным (сливочным) маслом. Низкокалорийный (с массовой долей жира 40-60%).</t>
  </si>
  <si>
    <t>Масло подсолнечное</t>
  </si>
  <si>
    <t>Темно-желтого цвета и имеет сильный специфический запах, при хранении образует осадок. Нерафинированное пищевое. СТ РК 1428-2005.</t>
  </si>
  <si>
    <t>Яйца куриные в скорлупе, свежие</t>
  </si>
  <si>
    <t xml:space="preserve">Диетические яйца первой категории (1) — от 55 до 64,9 г. </t>
  </si>
  <si>
    <t>Холодный соус, приготовленный из оливкового масла, яичного желтка, уксуса и/или лимонного сока, сахара, поваренной соли, иногда горчицы и других приправ. Высококалорийные. Массовая доля жира от 55%; воды менее 35%.</t>
  </si>
  <si>
    <t>упаковка: ПЭТ – пакет, объемом: 820гр.</t>
  </si>
  <si>
    <t>Сорт высший выход ядра не менее 30%</t>
  </si>
  <si>
    <t>Орехи грецкие</t>
  </si>
  <si>
    <t>Сорт высший выход ядра не менее 50%, поверхность ядра гладкая, ребра малозаметные</t>
  </si>
  <si>
    <t>Фисташки</t>
  </si>
  <si>
    <t>Фундук</t>
  </si>
  <si>
    <t>орехи культурных сортов орешника фундука, предназначенные для потребления в свежем виде и промышленной переработки ГОСТ 16834-81</t>
  </si>
  <si>
    <t>100 % натуральный растворимый, в металлической банке, объемом: 250 г.</t>
  </si>
  <si>
    <t>Крупа из овса</t>
  </si>
  <si>
    <t>Овсяная плющеная крупа. Высшего сорта. Наличие доброкачественного ядра не менее 99%, в том числе колотых ядер не более 0,5%. Необрушенных зерен не более 0,4%, Сорной примеси не более 0,3%, мучки не более 0,3%</t>
  </si>
  <si>
    <t>Крупа овсяная Геркулес. Овсянные хлопья</t>
  </si>
  <si>
    <t>Гречиха</t>
  </si>
  <si>
    <t>Зерно гречихи заготовляемое для хранения класс 1: содержание ядра не менее71%</t>
  </si>
  <si>
    <t>Крупа из кукурузы</t>
  </si>
  <si>
    <t>Крупа кукурузная шлифованная №1. Диаметр зерна 4-3 мм</t>
  </si>
  <si>
    <t>Крупа манная</t>
  </si>
  <si>
    <t>Крупа манная марки "Т" вырабатывают из твердых сортов пшеницы. Частицы размером 1- 1,5 мм</t>
  </si>
  <si>
    <t>Перловая крупа</t>
  </si>
  <si>
    <t>Перловая крупа №1. Удлиненное ядро с закругленными концами. С диаметром 3,5 - 3,0 мм</t>
  </si>
  <si>
    <t>Крупа пшеничная</t>
  </si>
  <si>
    <t>Артек - это мелкодробленное зерно пшеницы размером 1-1,5 мм</t>
  </si>
  <si>
    <t>Рис очищенный</t>
  </si>
  <si>
    <t>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t>
  </si>
  <si>
    <t>Смеси пряностей</t>
  </si>
  <si>
    <t>Уксус</t>
  </si>
  <si>
    <t>Столовый из кислоты уксусной лесохимической. Водный раствор (3-15%-ный) пищевой уксусной кислоты.</t>
  </si>
  <si>
    <t>Мед натуральный</t>
  </si>
  <si>
    <t>Гречишный Цветочный Мед. Получают из нектара, который собран преимущественно на гречихе</t>
  </si>
  <si>
    <t>Пшеничная мука</t>
  </si>
  <si>
    <t>Из мягких сортов пшеницы. Высший сорт. Тонкоизмельченные (0,1-0,2 мм) частицы эндосперма</t>
  </si>
  <si>
    <t>Сахар-песок</t>
  </si>
  <si>
    <t>Соль</t>
  </si>
  <si>
    <t>Пищевая йодированная. Белое кристаллическое минеральное вещество.</t>
  </si>
  <si>
    <t>Чай</t>
  </si>
  <si>
    <t>Черный (ферментированный)  или чай частично ферментированный ароматизированный в первичных упаковках массой не более 3 кг.</t>
  </si>
  <si>
    <t>В упаковке, вес: 500 гр.</t>
  </si>
  <si>
    <t>Кефир</t>
  </si>
  <si>
    <t>Масло</t>
  </si>
  <si>
    <t>Молоко</t>
  </si>
  <si>
    <t>Сыр</t>
  </si>
  <si>
    <t>Полутвердый из коровьего молока. С массовой долей влаги в обезжиренном веществе от 54,0 до 69,0% включительно. СТ РК 1063-2002</t>
  </si>
  <si>
    <t>Творог</t>
  </si>
  <si>
    <t>Кумыс</t>
  </si>
  <si>
    <t>Чистый, кисломолочый вкус, специфический для напитка запах. Консистенция - напоминает жидкий кефир с пузырьками газа, цвет -  молочно - белый с легким сероватым оттенком. СТ РК 1004-98</t>
  </si>
  <si>
    <t>Лососевых. Зернистая. Продукция, полученная из икры-зерна рыб семейства лососевых, обработанная поваренной солью или смесью поваренной соли с пищевыми добавками.</t>
  </si>
  <si>
    <t>Крабовые палочки</t>
  </si>
  <si>
    <t>Продукт, создаваемый искусственно из обработанного рыбного белка сурими или измельчённого мяса белой рыбы. По форме и цвету напоминает мясо крабьей клешни.</t>
  </si>
  <si>
    <t>Рыба (кроме сельди)</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</si>
  <si>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 - плотная, присущая рыбе данного вида.</t>
  </si>
  <si>
    <t>Рыба свежая или охлажденная, пресноводная, обработанная</t>
  </si>
  <si>
    <t>Карповые (сазан, карась, карп, лещ, плотва, толстолобик). Ткани должны быть упругие. Окрас естественный. Допускается появление в жабрах  рыб слабого кисловатого запаха. Без внутренностей.</t>
  </si>
  <si>
    <t>Сельдь</t>
  </si>
  <si>
    <t>Мороженая неразделанная. Содержит 0,1% кальция, 0,27% фосфора, 0,06 мг% йода. Сочное плотное мясо, не имеет повреждений на коже.</t>
  </si>
  <si>
    <t>Куры</t>
  </si>
  <si>
    <t>Должны быть хорошо обескровлены, чистые. Без посторонних включений; без посторонних запахов; без фекальных загрязнений; без видимых кровяных сгустков; без остатков кишечника и клоаки, трахеи, пищевода, зрелых репродуктивных органов, без холодильных ожогов, пятен от разлитой желчи. Запах - свойственный свежему мясу данного вида птицы. Цвет мышечной ткани -  от бледно-розового до розового. Кожа без разрывов. Костная система без переломов и деформаций. Мороженые: тушки  I категории.</t>
  </si>
  <si>
    <t>Баранина</t>
  </si>
  <si>
    <t>Мясо плотное. Внешний вид мяса сухой, а мясной сок, выделяемый в разрезе - прозрачный.  Мясо хорошо обескровлено, консистенция жира - плотная и не липкая.   Продукт имеет специфический запах. Окрас - от светло-красного до красно-коричневого, жир - от белого до желтого. Охлажденное. Четвертина  I категории.</t>
  </si>
  <si>
    <t>Говядина</t>
  </si>
  <si>
    <t>Мясо плотное.  Окрас красный, жировых прослоек – белый, кремовый или желтый. Внешний вид мяса сухой, а мясной сок, выделяемый в разрезе - прозрачный. Запах мяса  натуральный, без примесей и постороннего дурного оттенка. Мясо хорошо обескровлено, консистенция жира - плотная и не липкая. Корочка на мясе - тонкая бледно-розового или красноватого цвета. Охлажденное. Четвертина  I категории.</t>
  </si>
  <si>
    <t>Конина</t>
  </si>
  <si>
    <t>Мясо без постороннего запаха и ослизнения поверхности. Не допускается наличие остатков внутренних органов, шкуры, сгустков крови, бахромок мышечной и жировой ткани, загрязнений, кровоподтеков и побитостей. Охлажденное. Четвертина  I категории.</t>
  </si>
  <si>
    <t>Колбасы (колбаски)</t>
  </si>
  <si>
    <t>Чистая сухая поверхность, без пятен, слипов, повреждений оболочки, наплывов фарша. Консистенция плотная. Запах и вкус -  приятные, свойственные данному виду продукта, с выраженным ароматом пряностей, копчения, без посторонних привкуса и запаха; вкус слегка острый, в меру соленый. Варено-копченые.</t>
  </si>
  <si>
    <t>Чистая сухая поверхность, без пятен, слипов, повреждений оболочки, наплывов фарша. Консистенция упругая. Запах и вкус -  свойственные данному виду продукта, с выраженным ароматом пряностей, копчения и запахом чеснока, без посторонних привкуса и запаха; вкус слегка острый, в меру соленый.  Полукопченые.</t>
  </si>
  <si>
    <t>Сардельки</t>
  </si>
  <si>
    <t>Чистая сухая поверхность, без пятен, слипов, повреждений оболочки. Запах и вкус -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+/- 4мм.</t>
  </si>
  <si>
    <t>Нитевидные макаронные изделия, из пшеничной муки</t>
  </si>
  <si>
    <t>Макароны</t>
  </si>
  <si>
    <t>Трубчатые макаронные изделия в форме длинной прямой трубки с прямым или воднообразным срезом. Изготовленные из пшеничной муки  высшего сорта, включая с добавками.</t>
  </si>
  <si>
    <t>Сухари</t>
  </si>
  <si>
    <t>Хлеб свежий</t>
  </si>
  <si>
    <t>Вафли</t>
  </si>
  <si>
    <t>Вкус и запах свойственный данному наименованию вафель, без постороннего привкуса и запаха. Поверхность с четким рисунком, края с ровным обрезом без подтеков. Должны иметь одинаковый размер и правильную форму, установленную для данного наименования. Начинка не должна выступать за края. Цвет - от светло-желтого до желтого. Начинка однородной консистенции, без крупинок и комочков. С жировыми начинками.</t>
  </si>
  <si>
    <t>Конфеты шоколадные</t>
  </si>
  <si>
    <t>Сахаристые кондитерские изделия мягкой консистенции, состоящие из корпуса (начинки) и шоколадной глазури. высококалорийные изделия, содержащие 40-70% сахара. С начинкой между слоями вафель.</t>
  </si>
  <si>
    <t>Печенье</t>
  </si>
  <si>
    <t>Поверхность гладкая с четким рисунком. Цвет свойственный данному наименованию печенья, различных оттенков равномерный. Вкус и запах - свойственный данному наименованию печенья, без посторонних запаха и привкуса. Сахарное.</t>
  </si>
  <si>
    <t xml:space="preserve"> с ароматом топленого молока. Энергетическая ценность 446 ккал. В 100 г продукта содержится: Белков 7,5 г., жиров 16,6 г, углеводов 65,9 г,
Состав: мука пшеничная, маргарин, сахар, крахмал, порошок яичный, разрыхлители: Е500, Е503; соль поваренная, эмульгатор-лецитин Е322, ароматизатор молоко топленое – идентичный натуральному.</t>
  </si>
  <si>
    <t>Грибы-шампиньоны</t>
  </si>
  <si>
    <t>Плодовые тела различных размеров — от 3—5 (Agaricus comtulus) до 20—25 см (Agaricus arvensis). Шляпка массивная, плотная. Поверхность гладкая, либо покрыта тёмными чешуйками; цвет — от белого до буроватого и коричневого. Ножка центральная, ровная, плотная, реже рыхлая или полая внутри. Мякоть — различных оттенков белого цвета.  Обычно имеет выраженный «грибной», либо «анисовый» запах.</t>
  </si>
  <si>
    <t>Оливки (маслины)</t>
  </si>
  <si>
    <t>Немороженые, консервированные без уксуса или уксусной кислоты. Залитые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t>
  </si>
  <si>
    <t>Томаты</t>
  </si>
  <si>
    <t>Консервированные с применения уксуса или кислоты уксусной. Залитые раствором поваренной соли и/или сахара, уксуса или кислоты уксусной, пряностей или их экстрактов, с добавлением или без добавления пищевого растительного масла и зелени.</t>
  </si>
  <si>
    <t>Огурцы</t>
  </si>
  <si>
    <t>Пудра сахарная</t>
  </si>
  <si>
    <t>Однородная сыпучая масса измельченных кристалов размером не более 0,2 мм. Цвет - белый, чистый. Вкус и запах - сладкий, без посторонних  привкуса и запаха, как в сухом сахаре,так и в его водном растворе. Полученная из сахара свекловичного.</t>
  </si>
  <si>
    <t>Кукуруза сахарная</t>
  </si>
  <si>
    <t>Немороженая,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t>
  </si>
  <si>
    <t>Томатная паста</t>
  </si>
  <si>
    <t>состав продукта: томаты, вода, сахар, соль.  в стеклянной банке: 850 гр.</t>
  </si>
  <si>
    <t>Абрикос</t>
  </si>
  <si>
    <t>Свежие абрикосы культурных сортов, заготовляемые (закупаемые), отгружаемые (поставляемые) и реализуемые для потребления в свежем виде и для промышленной переработки ГОСТ 21832-76</t>
  </si>
  <si>
    <t>Ананасы</t>
  </si>
  <si>
    <t>Соплодие ананаса состоит из отдельных сросшихся сочных плодиков, сидящих на центральном стержне, пронизывающем плод от основания до верхушки, на которой находится розетка в виде пучка листьев (султан)</t>
  </si>
  <si>
    <t>Виноград столовый для потребления в свежем виде</t>
  </si>
  <si>
    <t>Актинидия китайская (деликатесная ) ягода, мякоть обычно зелёная или жёлтая.</t>
  </si>
  <si>
    <t>Абрикосы</t>
  </si>
  <si>
    <t>Абрикосы сушеные (курага). Продукты переработки абрикосов, целые, нарезаные, изготовленные из свежих целых, нарезаных абрикосов, подготовленных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t>
  </si>
  <si>
    <t>Груши свежие</t>
  </si>
  <si>
    <t>Сорт 1, размер по наибольшему поперечному диаметру  не менее  55мм</t>
  </si>
  <si>
    <t>1 категории (по поперечному диаметру 60 и более мм) ГОСТ 4429-82</t>
  </si>
  <si>
    <t>Персик</t>
  </si>
  <si>
    <t>Сорт высший: размер по наибольшему поперечному диаметру при реализации до 1.08  не менее 56мм, после 1.08 -50мм</t>
  </si>
  <si>
    <t>Яблоки свежие</t>
  </si>
  <si>
    <t>Класс 1: размер по наибольшему поперечному диаметру не менее 55 мм</t>
  </si>
  <si>
    <t>Апельсин  рубчатый</t>
  </si>
  <si>
    <t>Многогнездный, многосемянный  плод, имеются сорта бессемянными плодами. Мякоть плодов сладкая. Масса плодов от200 до 500г.  Нижняя часть плода апельсина похожа на выпуклый пупок. Рубчик на самом деле маленький плод, сросшийся с большим апельсином.</t>
  </si>
  <si>
    <t>Бананы</t>
  </si>
  <si>
    <t>1 класс, размеры плодов по длине не менее 19см, в поперечном диаметре 3-4см, количество плодов в кисти 4-9шт (ГОСТ 51603-2000)</t>
  </si>
  <si>
    <t>Баклажаны</t>
  </si>
  <si>
    <t>Плоды продолговатые сорт первый</t>
  </si>
  <si>
    <t>Черешня</t>
  </si>
  <si>
    <t>Свежая черешня культурных сортов, заготовляемая , поставляемая и реализуемая для потребления в свежем виде и для промышленной переработки ГОСТ 21922-76</t>
  </si>
  <si>
    <t>Чернослив</t>
  </si>
  <si>
    <t>Сушеный. Продукты переработки слив, целые, нарезаные, изготовленные из свежих целых, нарезаных  слив, подготовленных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t>
  </si>
  <si>
    <t>Горох сухой</t>
  </si>
  <si>
    <t>Зерно гороха заготовляемое на хранение, класс 1</t>
  </si>
  <si>
    <t>черный, отборный (виноград сушеный)</t>
  </si>
  <si>
    <t>Желтый, отборный (виноград сушеный)</t>
  </si>
  <si>
    <t>Листья и стебли укропа</t>
  </si>
  <si>
    <t>Стебель одиночный, прямой, ветвистый или почти простой, высотой 40—120 см, тонко бороздчатый, неопушенный, тёмно-зелёный, в верхней части ветвистый, между ветвями изогнутый. Листья трижды-четыреждыперистые, яйцевидные, дольки последнего порядка линейно-нитевидные или щетиновидные. Нижние листья на черешках расширенных в продолговатое влагалище длиной 1,5—2 см; верхние листья сидячие, влагалищные.</t>
  </si>
  <si>
    <t>Капуста белокочанная</t>
  </si>
  <si>
    <t>Капуста свежая белокочанная раннеспелая реализуемая до 15 августа</t>
  </si>
  <si>
    <t>Лук</t>
  </si>
  <si>
    <t>Класс 1 размер луковиц по наибольшему поперечному диаметру не менее 4см</t>
  </si>
  <si>
    <t>Морковь</t>
  </si>
  <si>
    <t>Плоды экстра класса: размер плодов по наибольшему поперечному диаметру (или массе) 2-4,5см (75-200г)</t>
  </si>
  <si>
    <t>Огурцы открытого и закрытого грунта короткоплодные 1 гр -не более 11см, 2гр не более 14</t>
  </si>
  <si>
    <t>Перец сладкий</t>
  </si>
  <si>
    <t>Перец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t>
  </si>
  <si>
    <t>Класс экстра размер плодов (по наибольшему поперечному диаметру) мелкоплодные не менее 4см, других форм (кроме вишневидных) – не менее 5см</t>
  </si>
  <si>
    <t>Редис</t>
  </si>
  <si>
    <t>Корнеплоды, толщиной до 3 см и покрыты тонкой кожей, окрашенной чаще в красный, розовый или бело-розовый цвет используется в свежем виде</t>
  </si>
  <si>
    <t>Свекла сахарная</t>
  </si>
  <si>
    <t>Корнеплоды сахарной свеклы для производства сахара  ГОСТ 17421-82</t>
  </si>
  <si>
    <t>Фасоль овощная</t>
  </si>
  <si>
    <t>Незрелые зерна сортов фасоли сахарной для консервирования</t>
  </si>
  <si>
    <t>Чеснок</t>
  </si>
  <si>
    <t>Сорт обыкновенный: размер луковиц по наибольшему поперечному диаметру не менее 25мм</t>
  </si>
  <si>
    <t>Вода</t>
  </si>
  <si>
    <t>Минеральная природная питьевая столовая негазированная. Ионно-солевой и газовый состав, повышенное содержание биологически активных компонентов. С минерализацией не менее 1 г/дм3 или при меньшей минерализации, содержащие биологически активные микрокомпоненты в количестве не ниже бальнеологических норм.</t>
  </si>
  <si>
    <t>в пластиковой бутылке объемом 0,5 л.</t>
  </si>
  <si>
    <t>Минеральная природная питьевая столовая газированная. Ионно-солевой и газовый состав, повышенное содержание биологически активных компонентов. С минерализацией не менее 1 г/дм3 или при меньшей минерализации, содержащие биологически активные микрокомпоненты в количестве не ниже бальнеологических норм. V -  до 0,5 литра.</t>
  </si>
  <si>
    <t>в стекляной бутылке объемом 0,33 л.</t>
  </si>
  <si>
    <t>Соевый. Жидкость очень тёмного цвета с характерным резким запахом. Содержит множество минеральных элементов, витаминов и аминокислот.</t>
  </si>
  <si>
    <t>Крахмальная китайская лапша полупрозрачного цвета</t>
  </si>
  <si>
    <t>Арахис</t>
  </si>
  <si>
    <t>Обжаренный, соленый или обработанный другим способом. Должны быть сухими и иметь характерную форму. Без следов деятельности насекомых, иметь естественный запах.</t>
  </si>
  <si>
    <t>Ординарный. Прозрачный без осадка и посторонних включений. Цвет - от светло-золотистого до светло-коричневого с золотистым оттенком. Вкус и букет - характерный для коньяка данного типа без посторонних привкуса и запаха. Крепость 40,0 - 42,0%. Из коньячных спиртов, выдержанных от 3 до 5 лет. V -  до 0,5 литра.</t>
  </si>
  <si>
    <t>Марочный. Прозрачный без осадка и посторонних включений. Цвет - от светло-золотистого до светло-коричневого с золотистым оттенком. Вкус и букет - характерный для коньяка данного типа без посторонних привкуса и запаха. Крепость 40,0 - 47,0%. Из коньячных спиртов со средним сроком выдержки свыше 6 лет. V - свыше 1 литра.</t>
  </si>
  <si>
    <t>Вино</t>
  </si>
  <si>
    <t>Тип алкогольных напитков, изготавливаемых путём полного или неполного сбраживания сусла или мезги с добавлением в вино спиртосодержащих продуктов перегонки. Сладкое. Содержание спирта 15-17%, сахара - до 14-20%. Красное. Для приготовления используют предварительно раздавленные виноградные ягоды. V - 0,5 - 1 литр.</t>
  </si>
  <si>
    <t>Водка</t>
  </si>
  <si>
    <t>Светлое. Объемная доля спирта не менее 3,2%. Прозрачная жидкость без осадка и посторонних включений. Чистый вкус и аромат сброженного солодового напитка с хмелевой горечью и хмелевым ароматом без посторонних запахов и привкусов. ГОСТ 3473-78. V -  до 0,5 литра.</t>
  </si>
  <si>
    <t>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1%, но не более 3% жирности  пастеризованное. СТ РК 1760-2008</t>
  </si>
  <si>
    <t>В мягкой упаковке объемом 1 литр</t>
  </si>
  <si>
    <t xml:space="preserve">Вода  (кроме вод минеральных) </t>
  </si>
  <si>
    <t>Питьевая природная негазированная. Прозрачная. Без посторонних привкусов и запахов. V выше 5 литров.</t>
  </si>
  <si>
    <t>Вода питьевая в бутылях по 19л.</t>
  </si>
  <si>
    <t>Питьевая природная негазированная. Прозрачная. Без посторонних привкусов и запахов. V -  до 0,5 литра.</t>
  </si>
  <si>
    <t>в стекляной бутылке объемом 0,25 л.</t>
  </si>
  <si>
    <t>Питьевая природная негазированная. Прозрачная. Без посторонних привкусов и запахов. V - 0,5 - 1 литр.</t>
  </si>
  <si>
    <t>Адаптер</t>
  </si>
  <si>
    <t>из полипропилена с  наружней резьбой</t>
  </si>
  <si>
    <t>вентиль полипропиленовый</t>
  </si>
  <si>
    <t>Запорный вентиль диафрагменный (мембранный) для перекрывании потоков сред при небольших температурах (до 100-150°С),  муфтовый материал Полипропелен.      диаметр ф 20</t>
  </si>
  <si>
    <t>Запорный вентиль диафрагменный (мембранный) для перекрывании потоков сред при небольших температурах (до 100-150°С),  муфтовый материал Полипропелен. диаметр ф 25</t>
  </si>
  <si>
    <t>Задвижка</t>
  </si>
  <si>
    <t>Задижка чугунная, давление P - 1,6 Мпа, тип соединения к трубопроводу - фланцевое ГОСТ 9698-86</t>
  </si>
  <si>
    <t>Затвор</t>
  </si>
  <si>
    <t>для задвижки</t>
  </si>
  <si>
    <t>Кислород</t>
  </si>
  <si>
    <t>ГОСТ 8961-75, условный проход от 8 до 80 мм</t>
  </si>
  <si>
    <t>Клапан регулирующий запорный</t>
  </si>
  <si>
    <t>Клапан запорный угловой</t>
  </si>
  <si>
    <t>Кран шаровый</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</si>
  <si>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</si>
  <si>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</si>
  <si>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</si>
  <si>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</si>
  <si>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</si>
  <si>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</si>
  <si>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</si>
  <si>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r>
      <t xml:space="preserve">и буквенным обозначением и добавлением дополнительной нумерации. </t>
    </r>
    <r>
      <rPr>
        <b/>
        <sz val="10"/>
        <rFont val="Times New Roman"/>
        <family val="1"/>
        <charset val="204"/>
      </rPr>
      <t>Пример: для изменения строки 2 Т, измененная строка нумеруется как 2-1 Т, при последующем изменении нумерация будет 2-2 Т и т.д.</t>
    </r>
  </si>
  <si>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</si>
  <si>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</si>
  <si>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</si>
  <si>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r>
      <t xml:space="preserve">Код ТРУ . Указывается код товара, работы или услуги  на уровне не менее 6 символов из кодов КПВЭД / ЕНС ТРУ. </t>
    </r>
    <r>
      <rPr>
        <b/>
        <sz val="10"/>
        <rFont val="Times New Roman"/>
        <family val="1"/>
        <charset val="204"/>
      </rPr>
      <t>Пример: 01.11.12</t>
    </r>
  </si>
  <si>
    <t>Наименование ТРУ. Не допускается в наименовании ТРУ указывать его характеристику (ГОСТ, СТ, ТУ, марка, модель, размер, цвет и т.д.).</t>
  </si>
  <si>
    <t>Краткая характеристика ТРУ с указанием СТ РК, ГОСТ, ТУ и т.д.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</si>
  <si>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</si>
  <si>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</si>
  <si>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казахстанского содержания. Указывается прогноз казахстанского содержания в закупках товаров, работ или услуг. Не допускается указание прогноза в виде 0-100%.</t>
  </si>
  <si>
    <t>Код КАТО места осуществления закупки.</t>
  </si>
  <si>
    <r>
      <t xml:space="preserve">Место (адрес) осуществления закупок. Указывается место проведения закупок. </t>
    </r>
    <r>
      <rPr>
        <b/>
        <sz val="10"/>
        <rFont val="Times New Roman"/>
        <family val="1"/>
        <charset val="204"/>
      </rPr>
      <t xml:space="preserve">Пример: г. Астана, ул. Абая, 23 офис 142; Карагандинская обл. г. Караганда, ул. Бухар Жырау 17, офис 14. </t>
    </r>
  </si>
  <si>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</si>
  <si>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r>
      <t xml:space="preserve">Регион, место поставки товара, выполнения работ, оказания услуг. Указывается  как регион, так и место поставки ТРУ. </t>
    </r>
    <r>
      <rPr>
        <b/>
        <sz val="10"/>
        <rFont val="Times New Roman"/>
        <family val="1"/>
        <charset val="204"/>
      </rPr>
      <t>Пример: для товаров - Акмолинская область, г. Степногорск,</t>
    </r>
    <r>
      <rPr>
        <sz val="10"/>
        <rFont val="Times New Roman"/>
        <family val="1"/>
        <charset val="204"/>
      </rPr>
      <t xml:space="preserve"> </t>
    </r>
    <r>
      <rPr>
        <b/>
        <sz val="10"/>
        <rFont val="Times New Roman"/>
        <family val="1"/>
        <charset val="204"/>
      </rPr>
      <t xml:space="preserve">склад ГМЗ или Акмолинская область,  ст. К-Боровое, для работ или услуг - г. Астана </t>
    </r>
  </si>
  <si>
    <r>
      <t xml:space="preserve">Условия поставки по ИНКОТЕРМС 2010. </t>
    </r>
    <r>
      <rPr>
        <b/>
        <sz val="10"/>
        <rFont val="Times New Roman"/>
        <family val="1"/>
        <charset val="204"/>
      </rPr>
      <t>Пример: DDP</t>
    </r>
    <r>
      <rPr>
        <sz val="10"/>
        <rFont val="Times New Roman"/>
        <family val="1"/>
        <charset val="204"/>
      </rPr>
      <t xml:space="preserve">    </t>
    </r>
    <r>
      <rPr>
        <b/>
        <sz val="11"/>
        <rFont val="Times New Roman"/>
        <family val="1"/>
        <charset val="204"/>
      </rPr>
      <t/>
    </r>
  </si>
  <si>
    <t>Набивка</t>
  </si>
  <si>
    <t>сальниковая, графитовая, изготовленная из нитей графитовых, армированных хлопчатобумажными нитями</t>
  </si>
  <si>
    <t>общего назначения, марка - ПОН, толщина - 0,4 мм. ГОСТ 481-80</t>
  </si>
  <si>
    <t>Пластина</t>
  </si>
  <si>
    <t>для теплообменного оборудования</t>
  </si>
  <si>
    <t>Кольцо-прокладка</t>
  </si>
  <si>
    <t>ПрАП</t>
  </si>
  <si>
    <t>Пружина</t>
  </si>
  <si>
    <t>Предназначена для накапливания и поглощения механической энергии</t>
  </si>
  <si>
    <t>Привод электрический многооборотный</t>
  </si>
  <si>
    <t>реагенты для чистки теплообменников</t>
  </si>
  <si>
    <t>Уплотнение механическое</t>
  </si>
  <si>
    <t>уплотнение механическое</t>
  </si>
  <si>
    <t>торцевые уплотнения насоса</t>
  </si>
  <si>
    <t>Целлюлозная изоляция</t>
  </si>
  <si>
    <t>из волоконной целлюлозы</t>
  </si>
  <si>
    <t>техническая теплоизоляция предназначена для поверхностей с положительными и отрицательными температурами (с учетом допустимого диапазона температур)</t>
  </si>
  <si>
    <t>фильтр масляный, механический, войлочный</t>
  </si>
  <si>
    <t>Низкотемпературная смазка</t>
  </si>
  <si>
    <t>Смазка Циатим-203, внешний вид однородная мазь темно-коричневого или желто-коричневого цвета зернистость, температура каплепадения, °С, не ниже  160, пенетрация при 25 °С , мм•10-1 250-300, вязкость эффективная, Па•с (П )  при 50 °С и среднем градиенте ск</t>
  </si>
  <si>
    <t>Рукав</t>
  </si>
  <si>
    <t>Рукав резиновый напорный класса В (II), 16 - 10атм</t>
  </si>
  <si>
    <t>Арматура для бачка унитаза</t>
  </si>
  <si>
    <t>с нижним подводом</t>
  </si>
  <si>
    <t>с боковым подводом</t>
  </si>
  <si>
    <t>Гофрированная труба</t>
  </si>
  <si>
    <t>Гофрированная труба сливная для унитаза 90-130</t>
  </si>
  <si>
    <t>Гофрированная труба сливная для раковины 32*40</t>
  </si>
  <si>
    <t>Каболка (канат смоляной)</t>
  </si>
  <si>
    <t xml:space="preserve">унитазный сливной кнопочный (евростандарт) </t>
  </si>
  <si>
    <t>Растительные волокна</t>
  </si>
  <si>
    <t>Лен трепаный (подмотка), ГОСТ 10330-76</t>
  </si>
  <si>
    <t>попловок для насоса</t>
  </si>
  <si>
    <t>Прокладка</t>
  </si>
  <si>
    <t>Умывальник</t>
  </si>
  <si>
    <t>полукруглый фарфоровый умывальник без спинки. ГОСТ 30493-96</t>
  </si>
  <si>
    <t xml:space="preserve">Датчик-реле давления </t>
  </si>
  <si>
    <t>Смеситель для умывальника</t>
  </si>
  <si>
    <t>Гидроксид натрия (натр едкий, сода каустическая)</t>
  </si>
  <si>
    <t>марки ТР, 98,5% ГОСТ 2263-79</t>
  </si>
  <si>
    <t>Соль поваренная техническая</t>
  </si>
  <si>
    <t>Соль техническая - хлорид натрия (поваренная соль) для производственных целей</t>
  </si>
  <si>
    <t>Крышка-сиденье для унитаза</t>
  </si>
  <si>
    <t>Отвод</t>
  </si>
  <si>
    <t>тройник</t>
  </si>
  <si>
    <t>тройник из поливинилхлорида равносторонний 90 градусов, диаметр в мм 50</t>
  </si>
  <si>
    <t>Хомут</t>
  </si>
  <si>
    <t>Шланг гибкий</t>
  </si>
  <si>
    <t>для смесителя</t>
  </si>
  <si>
    <t>для сливного бачка унитаза</t>
  </si>
  <si>
    <t>Болт фундаментный</t>
  </si>
  <si>
    <t>анкерный</t>
  </si>
  <si>
    <t>Заклепка</t>
  </si>
  <si>
    <t>Изделия из алюминия</t>
  </si>
  <si>
    <t>температуры</t>
  </si>
  <si>
    <t>оборудование и аппараты для фильтрования или очистки воздуха высокоэффективные</t>
  </si>
  <si>
    <t>Азот газообразный</t>
  </si>
  <si>
    <t>повышенной чистоты, 1-сорт (99,99%), ГОСТ 9293-74</t>
  </si>
  <si>
    <t>Один баллон</t>
  </si>
  <si>
    <t>Припой</t>
  </si>
  <si>
    <t>указательное</t>
  </si>
  <si>
    <t>Сварочный флюс</t>
  </si>
  <si>
    <t>гранулированный порошок с размером зерен 0,2–4 мм, предназначенный для подачи в зону горения дуги при сварке</t>
  </si>
  <si>
    <t>Зеотропная смесь хладагентов R32 (23%), R125 (25%) и R134a (52%). Многокомпонентный бесцветный газ без запаха. Температура кипения изменяется в зависимости от давления от +60 до -60°С. При нормальном атмосферном давлении (101 кПа) кипит при температуре -43,8°С</t>
  </si>
  <si>
    <t>Кран пожарный</t>
  </si>
  <si>
    <t>внутренний муфтовый</t>
  </si>
  <si>
    <t>Пожарный рукав</t>
  </si>
  <si>
    <t>Пожарный рукав, внут. диам. 51,0.  ГОСТ 7877-75</t>
  </si>
  <si>
    <t>Аптечка первой помощи для предприятий в металлическом корпусе</t>
  </si>
  <si>
    <t>Аптечка первой помощи, для организаций, предприятий и учреждений  (расчет на 100 чел-к). В металлическом навесном шкафчике с порошковой окраской, запирается на ключ (размеры шкафчика 300 х 380х 160 мм)</t>
  </si>
  <si>
    <t>Маска сварочная</t>
  </si>
  <si>
    <t>средство индивидуальной защиты сварщика</t>
  </si>
  <si>
    <t>Защитные очки</t>
  </si>
  <si>
    <t>Очки защитные (кроме солнцезащитных) и аналогичные оптические приборы из пластмасс</t>
  </si>
  <si>
    <t>Сапоги мужские</t>
  </si>
  <si>
    <t>водонепроницаемые, верх и подошва из поливинилхлорида, кислото-, щелоче-, масло- и бензостойкие</t>
  </si>
  <si>
    <t>Сумка для рабочего инструмента</t>
  </si>
  <si>
    <t>с лицевой поверхностью из текстильных материалов</t>
  </si>
  <si>
    <t>Электрочайник</t>
  </si>
  <si>
    <t>Скрытый нагревательный элемент. Объем от 2 и более литров.</t>
  </si>
  <si>
    <t>полипропиленовый с пластиковой ручкой большой</t>
  </si>
  <si>
    <t xml:space="preserve">Зубило </t>
  </si>
  <si>
    <t>ГОСТ 7211-86, тип 1 с державкой плоскоовального сечения, конусной рабочей и ударной частью по ширине</t>
  </si>
  <si>
    <t>ГОСТ 16214-86. Работоспособна при t° от -30°С до +50°С в условиях неагрессивных сред.</t>
  </si>
  <si>
    <t>Газовый ключ</t>
  </si>
  <si>
    <t>Ключ гаечный</t>
  </si>
  <si>
    <t>ГОСТ 7275-75, размер зева 50 мм</t>
  </si>
  <si>
    <t>Молоток</t>
  </si>
  <si>
    <t>Слесарный</t>
  </si>
  <si>
    <t>Набор головок</t>
  </si>
  <si>
    <t>ГОСТ 25604-83, тип А с внутренним шестигранным зевом реазмерами от 3,2 до 80 мм</t>
  </si>
  <si>
    <t>Набор инструментов для автомобилей</t>
  </si>
  <si>
    <t>Метчик</t>
  </si>
  <si>
    <t>применяют для нарезания внутренних резьб</t>
  </si>
  <si>
    <t>Набор надфилей</t>
  </si>
  <si>
    <t>Напильник</t>
  </si>
  <si>
    <t>Пассатижи</t>
  </si>
  <si>
    <t>Диэлектрические</t>
  </si>
  <si>
    <t>Тест система</t>
  </si>
  <si>
    <t>Тест система для определения щелочности</t>
  </si>
  <si>
    <t>Трос</t>
  </si>
  <si>
    <t>Трос сантехнический (гибкий вал) для прочистки канализации</t>
  </si>
  <si>
    <t>Фонарь</t>
  </si>
  <si>
    <t>металлическая,двурядная</t>
  </si>
  <si>
    <t>Удлинитель</t>
  </si>
  <si>
    <t>электрический, на катушке</t>
  </si>
  <si>
    <t>винтовой, для открывания бутылок</t>
  </si>
  <si>
    <t>Средний стаканы из стекла машинной обработки. Высота свыше 100 мм до 200 мм включительно,  диаметр или длина свыше 100 мм до 150 мм включительно, полная вместимость свыше  100 см3 до 500 см3 включительно. ГОСТ 30407-96</t>
  </si>
  <si>
    <t>"Хайбол", объем: 250-300 мл</t>
  </si>
  <si>
    <t>Сковорода</t>
  </si>
  <si>
    <t>Тарелка</t>
  </si>
  <si>
    <t xml:space="preserve">плоская полуфарфоровая тарелка (тарелка глубиной не более 25 мм, измеренной от самой нижней точки до горизонтальной плоскости, проходящей через точку перелива) </t>
  </si>
  <si>
    <t>Тарелки закусочные. Диаметром 200 - 210 мм.</t>
  </si>
  <si>
    <t xml:space="preserve">полая полуфарфоровая тарелка (тарелка глубиной более 25 мм, измеренной от самой нижней точки до горизонтальной плоскости, проходящей через точку перелива) </t>
  </si>
  <si>
    <t>Тарелки под первое блюдо. Диаметром более 250 мм.</t>
  </si>
  <si>
    <t xml:space="preserve">Салатница </t>
  </si>
  <si>
    <t>средняя полуфарфоровая салатница (салатница диаметром или длиной от 175 мм до 250 мм включительно, вместимостью от 250 до 600см3 включительно)</t>
  </si>
  <si>
    <t>Лопатка</t>
  </si>
  <si>
    <t xml:space="preserve">из нержавеющей стали. Имеет форму, напоминающую плоский совок, для перекладывания мясных и овощных блюд, паштета, кондитерских изделий </t>
  </si>
  <si>
    <t>кухонные ножи</t>
  </si>
  <si>
    <t>Топор</t>
  </si>
  <si>
    <t>Поварской топор</t>
  </si>
  <si>
    <t xml:space="preserve">Разделочная доска </t>
  </si>
  <si>
    <t>вместимостью 2,5л</t>
  </si>
  <si>
    <t>графин из стекла для воды.  ГОСТ 30407-96</t>
  </si>
  <si>
    <t>Объем: 1 л.</t>
  </si>
  <si>
    <t>Рюмка</t>
  </si>
  <si>
    <t>Рюмка из стекла машинной обработки на длинной ножке. ГОСТ 30407-96</t>
  </si>
  <si>
    <t>Белье столовое из хлопка</t>
  </si>
  <si>
    <t>Банкетные скатерти из шелковой ткани. Размеры: 4 х 2,2 м</t>
  </si>
  <si>
    <t>Тарелка пластиковая круглая одноразовая десертная</t>
  </si>
  <si>
    <t>Стакан пластиковый одноразовый для холодных напитков 150 мл</t>
  </si>
  <si>
    <t>Ложка одноразовая столовая</t>
  </si>
  <si>
    <t>Ложка пластиковая одноразовая столовая, длина 16 см</t>
  </si>
  <si>
    <t>Вилка одноразовая</t>
  </si>
  <si>
    <t>Вилка пластиковая одноразовая , длина 16 см</t>
  </si>
  <si>
    <t xml:space="preserve">Терка </t>
  </si>
  <si>
    <t>для овощей и фруктов, материал рабочей поверхности из нержавеющей стали</t>
  </si>
  <si>
    <t>Средний бокал из стекла машинной обработки. Высота свыше 100 мм до 200 мм включительно,  диаметр или длина свыше 100 мм до 150 мм включительно, полная вместимость свыше  100 см3 до 500 см3 включительно. ГОСТ 30407-96</t>
  </si>
  <si>
    <t>Хлебница</t>
  </si>
  <si>
    <t>плетеная</t>
  </si>
  <si>
    <t>Металлогалогенная лампа</t>
  </si>
  <si>
    <t>Металлогалогенная лампа, мощность 400 Вт</t>
  </si>
  <si>
    <t>Лампа люминесцентная, тип цоколя G13, мощность 36 Ватт</t>
  </si>
  <si>
    <t>Галогенная лампа накаливания, тип цоколя R7S, мощность 100 Вт</t>
  </si>
  <si>
    <t>Лампа накаливания</t>
  </si>
  <si>
    <t>для трубчатых люминесцентных ламп, тип - 65С-220, ГОСТ 8799-90</t>
  </si>
  <si>
    <t>для трубчатых люминесцентных ламп, тип - 20С-127-2, ГОСТ 8799-90</t>
  </si>
  <si>
    <t>Лампа люминесцентная, тип цоколя G13, мощность 18 Ватт</t>
  </si>
  <si>
    <t>Галогенная лампа накаливания, тип цоколя E14, мощность 400 Вт</t>
  </si>
  <si>
    <t>Галогенная лампа накаливания, тип цоколя G4, мощность 50 Вт</t>
  </si>
  <si>
    <t>Лампа люминесцентная, тип цоколя G24-d-2, мощность 26 Ватт</t>
  </si>
  <si>
    <t>Лампа люминесцентная, тип цоколя G24-d-2, мощность 13 Ватт</t>
  </si>
  <si>
    <t>Лампа люминесцентная, тип цоколя G24-d-2, мощность 18 Ватт</t>
  </si>
  <si>
    <t>Лампа люминесцентная, тип цоколя G13, мощность 21 Ватт</t>
  </si>
  <si>
    <t>Лампа люминесцентная, тип цоколя G13, мощность 35 Ватт</t>
  </si>
  <si>
    <t>Светильник</t>
  </si>
  <si>
    <t>Розетка</t>
  </si>
  <si>
    <t>однополюсный,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</si>
  <si>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для люминисцентных ламп</t>
  </si>
  <si>
    <t>Лампа дуговая ртутная</t>
  </si>
  <si>
    <t>Лампа дуговая ртутная, ДРЛ-250</t>
  </si>
  <si>
    <t>Галогенная лампа накаливания, тип цоколя E14, мощность 40 Вт</t>
  </si>
  <si>
    <t>Галогенная лампа накаливания, тип цоколя E14, мощность 60 Вт</t>
  </si>
  <si>
    <t>Галогенная лампа накаливания, тип цоколя E27, мощность 80 Вт</t>
  </si>
  <si>
    <t>Галогенная лампа накаливания, тип цоколя GU6.35, мощность 50 Вт</t>
  </si>
  <si>
    <t>Галогенная лампа накаливания, тип цоколя R7S, мощность 150 Вт</t>
  </si>
  <si>
    <t>ГОСТ 17677-82, источник света (лампа) Н - накаливания общего назначения</t>
  </si>
  <si>
    <t>С1а - двухполюсная, без заземляющего контакта, расчитана на силу тока не более 10/16 А, напряжение - 250 В. ГОСТ 7396.1-89</t>
  </si>
  <si>
    <t>Переключатель мгновенного действия</t>
  </si>
  <si>
    <t>для коммутации электрических цепей постоянного и переменного тока. Серии ТВ</t>
  </si>
  <si>
    <t>прочий</t>
  </si>
  <si>
    <t>Коробка электромонтажная пластмассовая КЭМ 1 - диаметр вводимых кабелей - 12 мм., количество вводов или модулей - 3.</t>
  </si>
  <si>
    <t>Коробка электромонтажная пластмассовая КЭМ 4 - диаметр вводимых кабелей - 20 мм., количество вводов или модулей - 4.</t>
  </si>
  <si>
    <t>Галогенная лампа накаливания, тип цоколя E27, мощность 70 Вт</t>
  </si>
  <si>
    <t>ГОСТ 8607-82, светильники встраиваемые</t>
  </si>
  <si>
    <t>С люминесцентной лампой</t>
  </si>
  <si>
    <t>ГОСТ 8607-82, светильники настенные</t>
  </si>
  <si>
    <t>Указательный знак</t>
  </si>
  <si>
    <t>Лампа дуговая ртутная, ДРЛ-125</t>
  </si>
  <si>
    <t>RJ-11, количество жил - 4</t>
  </si>
  <si>
    <t>Провод</t>
  </si>
  <si>
    <t>Пускорегулирующий аппарат для газоразрядных источников света</t>
  </si>
  <si>
    <t>Галогенная лампа накаливания, тип цоколя E27, мощность 40 Вт</t>
  </si>
  <si>
    <t>Галогенная лампа накаливания, тип цоколя E27, мощность 100 Вт</t>
  </si>
  <si>
    <t>Галогенная лампа накаливания, тип цоколя E27, мощность 60 Вт</t>
  </si>
  <si>
    <t>Галогенная лампа накаливания, тип цоколя G4, мощность 100 Вт</t>
  </si>
  <si>
    <t>Набор электромонтера</t>
  </si>
  <si>
    <t>Изолента хлопчатобумажная</t>
  </si>
  <si>
    <t>односторонняя, ГОСТ 2162-97</t>
  </si>
  <si>
    <t>Маска</t>
  </si>
  <si>
    <t>июнь-июль</t>
  </si>
  <si>
    <t>Пуховые одеяла, двухспальные, размером 200*220 см, ГОСТ 30332-95</t>
  </si>
  <si>
    <t>Шапка</t>
  </si>
  <si>
    <t>мужская из шерстяных тканей</t>
  </si>
  <si>
    <t>для сауны</t>
  </si>
  <si>
    <t>Халат мужской</t>
  </si>
  <si>
    <t>махровый</t>
  </si>
  <si>
    <t>Тапочки мужские</t>
  </si>
  <si>
    <t>закрытые, типа чувяков,   верх из кожи,  на подошве из резины, кожи или полимерных материалов, ГОСТ 1135-2005</t>
  </si>
  <si>
    <t>кожаные</t>
  </si>
  <si>
    <t>вещество, используемое для уничтожения водорослей</t>
  </si>
  <si>
    <t>Темная янтарная жидкость, полиамин в органическом растворителе</t>
  </si>
  <si>
    <t>Флокулянт в гранулах для всех типов песочных и навесных фильтров</t>
  </si>
  <si>
    <t>Таблетки для тестера</t>
  </si>
  <si>
    <t>для определение свободного хлора</t>
  </si>
  <si>
    <t>Бисульфат натрия (кислый сернокислый натрий)</t>
  </si>
  <si>
    <t>чистый для анализа (ч.д.а.), ГОСТ 6053-77</t>
  </si>
  <si>
    <t>РН-минус порошкообразный</t>
  </si>
  <si>
    <t>Футбольный мяч</t>
  </si>
  <si>
    <t>Футбольный резиновый мяч</t>
  </si>
  <si>
    <t>Мячи</t>
  </si>
  <si>
    <t>Мячи прочие</t>
  </si>
  <si>
    <t>для мини-футбола</t>
  </si>
  <si>
    <t>инвентарь для гимнастики</t>
  </si>
  <si>
    <t>Баскетбольный мяч</t>
  </si>
  <si>
    <t>Баскетбольный резиновый мяч</t>
  </si>
  <si>
    <t>волейбольный мяч</t>
  </si>
  <si>
    <t>Кроссовки</t>
  </si>
  <si>
    <t>спортивные летние мужские</t>
  </si>
  <si>
    <t>Зонт от дождя и солнца</t>
  </si>
  <si>
    <t>Зонты садовые или аналогичные зонты</t>
  </si>
  <si>
    <t xml:space="preserve">мужской </t>
  </si>
  <si>
    <t>Коньки для фигурного катания</t>
  </si>
  <si>
    <t>мужские</t>
  </si>
  <si>
    <t>женские</t>
  </si>
  <si>
    <t>Спортивные</t>
  </si>
  <si>
    <t>спасательный</t>
  </si>
  <si>
    <t>подростковый</t>
  </si>
  <si>
    <t>Аптечка первой помощи</t>
  </si>
  <si>
    <t>медицинская</t>
  </si>
  <si>
    <r>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Срок поставки товаров может корректироваться Заказчиком не чаще одного раза в полугодие. </t>
    </r>
    <r>
      <rPr>
        <b/>
        <sz val="10"/>
        <rFont val="Times New Roman"/>
        <family val="1"/>
        <charset val="204"/>
      </rPr>
      <t xml:space="preserve">Пример: поставка ежемесячно партиями не менее 30 тонн с апреля по декабрь месяц. </t>
    </r>
    <r>
      <rPr>
        <sz val="10"/>
        <rFont val="Times New Roman"/>
        <family val="1"/>
        <charset val="204"/>
      </rPr>
      <t xml:space="preserve"> </t>
    </r>
  </si>
  <si>
    <r>
      <t xml:space="preserve">Условия оплаты. </t>
    </r>
    <r>
      <rPr>
        <b/>
        <sz val="10"/>
        <rFont val="Times New Roman"/>
        <family val="1"/>
        <charset val="204"/>
      </rPr>
      <t xml:space="preserve">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r>
  </si>
  <si>
    <t>Код единицы измерения по МКЕИ. Не заполняется по работам, услугам</t>
  </si>
  <si>
    <t>Единица измерения. Наименование единиц измерения товаров указывается согласно МКЕИ.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</si>
  <si>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</si>
  <si>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</si>
  <si>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Сумма, планируемая для закупок ТРУ без НДС,  тенге. Сумма, планируемая для закупок ТРУ с НДС,  тенге. По долгосрочным закупкам в данных графах отражается вся сумма закупки без НДС и с НДС, соответственно.</t>
  </si>
  <si>
    <r>
      <t xml:space="preserve">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t>
    </r>
    <r>
      <rPr>
        <b/>
        <sz val="10"/>
        <rFont val="Times New Roman"/>
        <family val="1"/>
        <charset val="204"/>
      </rPr>
      <t>ОТП</t>
    </r>
    <r>
      <rPr>
        <sz val="10"/>
        <rFont val="Times New Roman"/>
        <family val="1"/>
        <charset val="204"/>
      </rPr>
      <t xml:space="preserve">, для организаций инвалидов - </t>
    </r>
    <r>
      <rPr>
        <b/>
        <sz val="10"/>
        <rFont val="Times New Roman"/>
        <family val="1"/>
        <charset val="204"/>
      </rPr>
      <t>ОИН</t>
    </r>
    <r>
      <rPr>
        <sz val="10"/>
        <rFont val="Times New Roman"/>
        <family val="1"/>
        <charset val="204"/>
      </rPr>
      <t xml:space="preserve">, для отечественных предпринимателей - </t>
    </r>
    <r>
      <rPr>
        <b/>
        <sz val="10"/>
        <rFont val="Times New Roman"/>
        <family val="1"/>
        <charset val="204"/>
      </rPr>
      <t>ОП</t>
    </r>
  </si>
  <si>
    <r>
      <t xml:space="preserve">Год закупки. Указывается фактический год проведения закупки (за исключением среднесрочного планирования). В случае, если осуществляется долгосрочная или "переходящая" (закуп ТРУ, поставка по которому переходит с одного календарного года на другой по продолжительности не превышающая 12 месяцев и отраженный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долгосрочный или "переходящий", с указанием соответствующих годов. </t>
    </r>
    <r>
      <rPr>
        <b/>
        <sz val="10"/>
        <rFont val="Times New Roman"/>
        <family val="1"/>
        <charset val="204"/>
      </rPr>
      <t>Пример: для долгосрочной закупки - долгосрочный, 2010 (год осуществления закупки) - 2012 (год окончания срока действия долгосрочного договора), для "переходящей" закупки - "переходящий", 05.2010 (месяц и год заключения договора) - 03.2011 (месяц и год окончания действия договора).</t>
    </r>
  </si>
  <si>
    <r>
      <t xml:space="preserve">Примечание. Указывается графа, в которой произошли изменения по соответствующей строке плана закупок. </t>
    </r>
    <r>
      <rPr>
        <b/>
        <sz val="10"/>
        <rFont val="Times New Roman"/>
        <family val="1"/>
        <charset val="204"/>
      </rPr>
      <t>Пример - 18.</t>
    </r>
    <r>
      <rPr>
        <sz val="10"/>
        <rFont val="Times New Roman"/>
        <family val="1"/>
        <charset val="204"/>
      </rPr>
      <t xml:space="preserve"> </t>
    </r>
  </si>
  <si>
    <t>Полуботинки мужские</t>
  </si>
  <si>
    <t>Полукомбинезон мужской</t>
  </si>
  <si>
    <t>Полукомбинезоны мужские  трикотажные из прочей пряжи . ГОСТ 17037-85</t>
  </si>
  <si>
    <t xml:space="preserve">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голубой. </t>
  </si>
  <si>
    <t>Сапоги резиновые формовые женские</t>
  </si>
  <si>
    <t>общего назначения укороченные, резиновый верх, внутренняя текстильная подкладка, резиновая рифленая подошва с каблуком, ГОСТ 5375-79</t>
  </si>
  <si>
    <t>Сапоги резиновые общего назначения, резиновый верх, внутренняя текстильная подкладка, резиновая рифленая подошва с каблуком, ГОСТ 5375-79 Защитные свойства:  от скольжения: по мокрым по обледенелым поверхностям (Сл), по зажиренным поверхностям (Сж);  от пониженных температур до -40ºС (Тн40); от нефти, нефтепродуктов, масел (Нс, Нм); от общих производственных загрязнений (З).</t>
  </si>
  <si>
    <t xml:space="preserve">Ботинки кожаные с жестким подноском или сапоги кожаные с жестким подноско.м Верх: союзка, берцы, задинка - натуральная кожа, фигурная мягкая вставка и глухой противопылевый клапан из искусственной кожи, основная стелька из штробельного материала, комфортная вкладная стелька из кожкартона дублированного волокниной, подкладка из нетканого материала, внутренний металлический подносок до 200Дж, удобная колодка анатомической формы. Подошва: маслобензостойкость, кислотощелочестойкость, повышенная износоустойчивость, высокое сопротивление к скольжению, температурный диапазон использования -30°С +100°С, самоочищающийся профиль ходовой поверхности.ботинки  , нескользкая литая подошва. Метод крепления подошвы - литьевой. </t>
  </si>
  <si>
    <t>Полуботинки кожаные с жестким подноском, нескользкая литая подошва. ГОСТ 12.4.137-84. Верх: союзка, берцы, задинка - натуральная кожа, глухой противопылевый клапан из искусственной кожи, основная стелька из штробельного материала, комфортная вкладная стелька из кожкартона дублированного волокниной, подкладка из нетканого материала "Кинг", внутренний металлический подносок до 200Дж, удобная колодка анатомической формы.</t>
  </si>
  <si>
    <t xml:space="preserve">Перчатки трикотажные,с точечным покрытием ПВХ, хлопчатобумажныес защитой  от механических воздействий. Предотварщающие истирание при работе с мелкими металлическими деталями. </t>
  </si>
  <si>
    <t>для защиты от механических воздействий, тип Б, ГОСТ 12.4.010-75</t>
  </si>
  <si>
    <t xml:space="preserve"> Рукавицы суконные.</t>
  </si>
  <si>
    <t>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0,8мм;
значение рН - не менее 3,5;содержание вымывающихся компонентов - не более 6 %.</t>
  </si>
  <si>
    <t>итого по товарам</t>
  </si>
  <si>
    <t xml:space="preserve">2. Работы </t>
  </si>
  <si>
    <t>оплата по факту выполнения работ</t>
  </si>
  <si>
    <t>Ремонт, технический уход и обслуживание лифтов</t>
  </si>
  <si>
    <t>Ремонт, технический уход и обслуживание лифтов и лифтовых шахт</t>
  </si>
  <si>
    <t>Ремонт и обслуживание источников питания</t>
  </si>
  <si>
    <t>Ремонт и техническое обслуживание источников питания для офисной техники</t>
  </si>
  <si>
    <t>Текущий ремонт катера</t>
  </si>
  <si>
    <t>Работы монтажные по обслуживанию систем освещения здания</t>
  </si>
  <si>
    <t>Работы монтажные по обслуживанию систем архитектурного освещения здания</t>
  </si>
  <si>
    <t>Текущее обслуживание котлов и радиаторов центрального отопления</t>
  </si>
  <si>
    <t>Текущее обслуживание насосов теплого и холодоснабжения,  теплообенников, приборов учета, монометров.</t>
  </si>
  <si>
    <t xml:space="preserve">Капитальный ремонт трубопроводов </t>
  </si>
  <si>
    <t>Работы по восстановлению исправности и полного или близкого к полному восстановлению ресурса технологических трубопроводов и входящих в его состав устройств с заменой или восстановлением любых элементов, включая базовые, и их регулировка.</t>
  </si>
  <si>
    <t>Ремонт, настройка и проверка приборов</t>
  </si>
  <si>
    <t>Замена деталей приборов. Приведение показателей приборов к нормативным.</t>
  </si>
  <si>
    <t xml:space="preserve">Ремонт, настройка и проверка приборов столового оборудования </t>
  </si>
  <si>
    <t>Ремонт, настройка и проверка приборов  учета, манометров, термометров.</t>
  </si>
  <si>
    <t>Ремонт и обслуживание бытовых приборов</t>
  </si>
  <si>
    <t>Ремонт и техническое обслуживание бытовых приборов (диагностика, чистка, замена комплектующих и др.)</t>
  </si>
  <si>
    <t xml:space="preserve">Капитальный ремонт замены оконных и дверных блоков </t>
  </si>
  <si>
    <t>Разборка и демонтаж старых оконных и дверных блоков. Устройство новых оконных и дверных блоков из стеклопластика</t>
  </si>
  <si>
    <t>Текущий ремонт дверных блоков с заменой замков в количестве 1084 шт. Ежемесячно -6% от общего количества (замена замков,обналички), замена дверей (металлических ) в цокольном этаже и технических помещениях. Разборка и демонтаж старых оконных блоков. Устройство новых оконных блоков из стеклопластика.</t>
  </si>
  <si>
    <t>Работы по облицовке наружных стен кирпичом, декоративной бетонной плиткой</t>
  </si>
  <si>
    <t xml:space="preserve"> Замена треснувших мраморных и гранитных плиток правого берега р. Иртыш, расположенных вблизь административно - бытового здания ВФ АО КазТрансОйл» в г. Павлодар</t>
  </si>
  <si>
    <t>Ремонт и техническое обслуживание холодильных установок и бытовых приборов (диагностика, чистка, замена комплектующих и др.)</t>
  </si>
  <si>
    <t xml:space="preserve">3. Услуги </t>
  </si>
  <si>
    <t>оплата по факту оказания услуг</t>
  </si>
  <si>
    <t>Услуги по водоснабжению и водоотведению</t>
  </si>
  <si>
    <t>Услуги транспортирования по трубопроводам газа горючего природного</t>
  </si>
  <si>
    <t>Услуги по откачиванию сточных вод</t>
  </si>
  <si>
    <t>Откачка сточных вод</t>
  </si>
  <si>
    <t>Услуги по распространению программ по инфраструктуре кабельной</t>
  </si>
  <si>
    <t>Услуги по распространению программ по инфраструктуре кабельной, на абонентской основе</t>
  </si>
  <si>
    <t>Услуги по вывозу твердо-бытовых отходов</t>
  </si>
  <si>
    <t>Услуги погрузки отходов на мусоровоз и разгрузка в специально отведенных местах</t>
  </si>
  <si>
    <t>Услуги по общей уборке зданий</t>
  </si>
  <si>
    <t>мойка окон, фасада административных зданий</t>
  </si>
  <si>
    <t>Услуги по уходу за рыбами</t>
  </si>
  <si>
    <t>Комплекс услуг по уходу за рыбами (обработка аквариума, чистка, корм и др.)</t>
  </si>
  <si>
    <t>Услуги по эксплуатации плавательных бассейнов</t>
  </si>
  <si>
    <t>Услуги по уборке специализированной</t>
  </si>
  <si>
    <t>Уборка с использованием специализированного оборудования и материалов</t>
  </si>
  <si>
    <t>Услуги по дератизации</t>
  </si>
  <si>
    <t>Уничтожение грызунов, включая крыс, мышей, полёвок и других с применением пищевых ядов (в виде приманок), капканов, газообразных ядов, ультразвуковых установок для отпугивания</t>
  </si>
  <si>
    <t>Услуги по дезинсекции</t>
  </si>
  <si>
    <t>Уничтожение заражённых насекомых с помощью специальных химических средств, путем воздействия горячей воды с паром или с помощью биологических средств (микробов)</t>
  </si>
  <si>
    <t>Услуги по дезинфекции</t>
  </si>
  <si>
    <t>Уничтожение возбудителей инфекционных заболеваний и разрушение токсинов на объектах внешней среды</t>
  </si>
  <si>
    <t>Услуги по благоустройству, пейзажному планированию</t>
  </si>
  <si>
    <t>Услуги по сухой чистке</t>
  </si>
  <si>
    <t>Сухая (химическая) чистка текстильных изделий прочих</t>
  </si>
  <si>
    <t>Услуги прачечных по стирке  текстильных изделий прочих</t>
  </si>
  <si>
    <t>Услуги прачечных по стирке текстильных изделий прочих</t>
  </si>
  <si>
    <t>Услуги по уборке и удалению снега</t>
  </si>
  <si>
    <t>Уборка  снега и льда</t>
  </si>
  <si>
    <t>Услуги по вневедомственной охране стационарных объектов, а также персонала и имущества расположенных на этих объектах, от противоправных посягательств</t>
  </si>
  <si>
    <t>Услуги по техническому обслуживанию пожарной сигнализации</t>
  </si>
  <si>
    <t>Услуги по обеспечению пожарной безопасности</t>
  </si>
  <si>
    <t>Обеспечение пожарной безопасности</t>
  </si>
  <si>
    <t xml:space="preserve">Услуги по техническому обслуживанию приборов учета тепловой энергии </t>
  </si>
  <si>
    <t>Техническое обслуживание приборов учета тепловой энергии</t>
  </si>
  <si>
    <t>Сервисное обслуживание систем учета тепловой энергии и автоматизированных систем учета регулирования</t>
  </si>
  <si>
    <t>Услуги по техническому обслуживанию системы видеонаблюдения</t>
  </si>
  <si>
    <t>Услуги по организации праздничных мероприятий</t>
  </si>
  <si>
    <t>Устный перевод с других языков на другие языки, включая последовательный и синхронный перевод с применением специального оборудования</t>
  </si>
  <si>
    <t>Услуги по предоставлению оборудования для синхронного перевода, звуко и аудио записи, предоставление услуг переводчиков</t>
  </si>
  <si>
    <t>Услуги по судейству, в т.ч. с предоставлением ценных призов, наград, экипировки, спортивной атрибутики для спортивных мероприятий (спартакиад, соревнований и др.), предоставление спортивных, ледовых, универсальных и др. залов для проведения спортивных мероприятий.</t>
  </si>
  <si>
    <t>Услуги гостиниц</t>
  </si>
  <si>
    <t>Услуги по бронированию и предоставлению номеров в гостинице</t>
  </si>
  <si>
    <t>Составление цветочных композиций по индивидуальным заказам</t>
  </si>
  <si>
    <t>Организация конференций, брифингов, собраний, совещаний, заседаний, официальных встреч, тим-билдингов, выставок с предоставлением необходимого технического оборудования, мебели, залов</t>
  </si>
  <si>
    <t>Услуги по печатанию</t>
  </si>
  <si>
    <t xml:space="preserve">Услуги по изготовлению печатной продукции и имиджевой продукции (для других организаций) </t>
  </si>
  <si>
    <t>Услуги сопровождения в аэропорту</t>
  </si>
  <si>
    <t>Встреча и обслуживание зоне ВИП, СИП в аэропорту</t>
  </si>
  <si>
    <t>Пользование услугами VIP (CIP) залов аэропортов</t>
  </si>
  <si>
    <t>Получение и сохранение статичного цветного изображения на светочувствительном материале при помощи фотокамеры</t>
  </si>
  <si>
    <t>Запись и обработка визуального или аудиовизуального материала</t>
  </si>
  <si>
    <t>Реклама на радио и телевидении, наружная реклама</t>
  </si>
  <si>
    <t>Приобретение пропусков на выставки</t>
  </si>
  <si>
    <t>Праздничное оформление зданий и сооружений</t>
  </si>
  <si>
    <t>Услуги по проведению ревизий финансовых (аудита)</t>
  </si>
  <si>
    <t>Аудит отдельной и консолидированной финансовой отчетности ТОО "КазМунайГаз-Сервис"</t>
  </si>
  <si>
    <t>Услуги по администрированию и техническому обслуживанию прикладного программного обеспечения</t>
  </si>
  <si>
    <t>Администрирование и техническое обслуживание программного обеспечения прикладного</t>
  </si>
  <si>
    <t>Услуги телефонной связи</t>
  </si>
  <si>
    <t>Услуги фиксированной местной, междугородней, международной телефонной связи  - доступ и пользование</t>
  </si>
  <si>
    <t xml:space="preserve">Услуги по доступу к Интернету </t>
  </si>
  <si>
    <t>Услуги, направленные на предоставление доступа к Интернету широкополосному по сетям проводным</t>
  </si>
  <si>
    <t>Услуги мобильной связи - доступ и пользование</t>
  </si>
  <si>
    <t xml:space="preserve">Услуги мобильной связи </t>
  </si>
  <si>
    <t>актив карты</t>
  </si>
  <si>
    <t>Услуги по предоставлению лицензий на право использования антивирусного программного обеспечения, которые дают право использовать данное программное обеспечение на ЭВМ лицензиата. При этом лицензиат не получает каких-либо авторских или имущественных прав</t>
  </si>
  <si>
    <t>Услуги по продлению лицензии на программу корпоративной антивирусной защиты</t>
  </si>
  <si>
    <t>Услуги по обновлению юридической базы</t>
  </si>
  <si>
    <t>Услуги по техническому обслуживанию и ремонту машин и оборудования офисных</t>
  </si>
  <si>
    <t>Услуги по техническому обслуживанию и ремонту машин и оборудования офисных.</t>
  </si>
  <si>
    <t>Обслуживание оргтехники, ремонт и заправка картриджей</t>
  </si>
  <si>
    <t>отправка служебной корреспонденции  по экспресс-доставке, по  Республике Казахстан,  странам СНГ и дальнего зарубежья</t>
  </si>
  <si>
    <t>Услуги почтовые прочие, связанные с письмами</t>
  </si>
  <si>
    <t>Отправка служебной корреспонденции</t>
  </si>
  <si>
    <t>на предмет соответствия требованиям международных стандартов, включая аудит</t>
  </si>
  <si>
    <t>Услуги стоянок для автотранспортных средств</t>
  </si>
  <si>
    <t>Услуги стоянок для автотранспортных средств, включая мойку для автотранспорта Представительства в г. Алматы</t>
  </si>
  <si>
    <t>Услуги по аренде легковых автомобилей с водителем</t>
  </si>
  <si>
    <t xml:space="preserve">Услуги взятого напрокат автомобиля с водителем, кроме услуг такси. </t>
  </si>
  <si>
    <t>Услуги парковок для транспортных средств на улицах, на дорогах, в общественных местах</t>
  </si>
  <si>
    <t>Услуги парковок для транспортных средств в аэропорту г.Алматы</t>
  </si>
  <si>
    <t>авансовый платеж - 100%</t>
  </si>
  <si>
    <t>Услуги по аренде офисных помещений</t>
  </si>
  <si>
    <t>на территории ТОО "Павлодарский нефтехимический завод"</t>
  </si>
  <si>
    <t>Услуги по аренде складских помещений</t>
  </si>
  <si>
    <t>Услуги по эстетическому оформлению</t>
  </si>
  <si>
    <t>в том числе на газеты и журналы</t>
  </si>
  <si>
    <t>Услуги по аренде гаража</t>
  </si>
  <si>
    <t>Аренда 2 машиномест для автобусов на зимнее время (январь-март, ноябрь-декабрь) в отапливаемом паркинге, на правом берегу г. Астана</t>
  </si>
  <si>
    <t xml:space="preserve">Услуги по педагогическому отряду для детей, приезжающих на отдых в ОК "Сункар" </t>
  </si>
  <si>
    <t>Услуги по техническому контролю (осмотру) дорожных транспортных средств</t>
  </si>
  <si>
    <t>365 дней с даты заключения договора</t>
  </si>
  <si>
    <t>Услуги по страхованию (обязательному) гражданско-правовой ответственности автовладельца</t>
  </si>
  <si>
    <t>Услуги по страхованию (обязательному) гражданско-правовой ответственности владельцев автотранспортных средств, перевозчиков, предприятий</t>
  </si>
  <si>
    <t>Услуги по страхованию ответственности перевозчика</t>
  </si>
  <si>
    <t>Услуги по страхованию ответственности перевозчика перед пассажиром</t>
  </si>
  <si>
    <t>Услуги по страхованию имущества</t>
  </si>
  <si>
    <t>Услуги по страхованию административного здания "Изумрудный квартал", блок Б, расположенного по адресу: г.Астана, пр.Кунаева, д.8</t>
  </si>
  <si>
    <t>Услуги по страхованию административного здания, расположенного по адресу: г.Астана, пр.Республики, д.32</t>
  </si>
  <si>
    <t>Утилизация люминесцентных ламп</t>
  </si>
  <si>
    <t>Услуги по оценке 100%  доли участия в уставном капитале ООО "КМГ-Сервис" Грузия</t>
  </si>
  <si>
    <t>Турецкая Республика, г.Стамбул</t>
  </si>
  <si>
    <t>Услуги по оценке 75%  пакета акций АК “Aysir Turizm ve Insaat A.S.” (Турция)</t>
  </si>
  <si>
    <t>Услуги по оценке недвижимого имущества</t>
  </si>
  <si>
    <t xml:space="preserve">Услуги по оценке недвижимого имущества </t>
  </si>
  <si>
    <t>Услуги по оценке бизнес-центра в г. Ташкент, Республики Узбекистан</t>
  </si>
  <si>
    <t>Услуги по оценке 100%  доли участия в уставном капитале ОсОО «Алтын Толкын»</t>
  </si>
  <si>
    <t>Республика Кыргызстан, село Бает</t>
  </si>
  <si>
    <t>Услуги по финансовым консультациям</t>
  </si>
  <si>
    <t>Услуги по осуществлению тестирования на обесценение активов Товарищества "КазМунайГаз-Сервис"</t>
  </si>
  <si>
    <t>Услуги по размещению объявлений в печатных изданиях</t>
  </si>
  <si>
    <t>Услуги по письменному переводу с других языков на другие языки</t>
  </si>
  <si>
    <t>Письменный перевод с других языков на другие языки</t>
  </si>
  <si>
    <t>Услуги по техническому обслуживанию системы вентиляции и кондиционирования</t>
  </si>
  <si>
    <t>Услуги по обслуживанию раздвижных дверей</t>
  </si>
  <si>
    <t>Обслуживание раздвижных дверей</t>
  </si>
  <si>
    <t>Услуги по техническому обслуживанию и очистке канализационных систем, сливных и дренажных труб</t>
  </si>
  <si>
    <t>Техническое обслуживание и очистка канализационных систем, сливных и дренажных труб</t>
  </si>
  <si>
    <t>Услуги по демеркуризации ртутьсодержащих ламп</t>
  </si>
  <si>
    <t>Услуги учреждений санитарно-эпидемиологической службы</t>
  </si>
  <si>
    <t>Экскурсионные туристические услуги</t>
  </si>
  <si>
    <t>Обслуживание программы 1С: Бухгалтерия</t>
  </si>
  <si>
    <t>Услуги образовательные по подготовке, переподготовке и повышению квалификации работников</t>
  </si>
  <si>
    <t>итого по услугам</t>
  </si>
  <si>
    <t>Всего:</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</si>
  <si>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</si>
  <si>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</si>
  <si>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формируется с учетом фактических и нормативных остатков товарно-материальных ценностей на складах на начало и конец планируемого периода в разрезе товарной номенклатуры по каждому наименованию товара.</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</si>
  <si>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</si>
  <si>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</si>
  <si>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</si>
  <si>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</si>
  <si>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</si>
  <si>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г.Астана, г.Алматы, г.Актау, г.Атырау, г.Москва</t>
  </si>
  <si>
    <t>Проведение инспекционного аудита системы менеджмента качества и ресертификационного аудита систем экологического менеджмента и менеджмента в области профессиональной безопасности и охраны труда на соответствие требованиям международных стандартов МС ИСО 9001-2008, ИСО 14001-2004, OHSAS 18001-2007</t>
  </si>
  <si>
    <t>Проведение инспекционного аудита системы менеджмента качества и ресертификационного аудита систем экологического менеджмента и менеджмента в области профессиональной безопасности и охраны труда на соответствие требованиям государственных стандартов СТ РК ИСО 9001-2009, СТ РК ИСО 14001-2006, СТ РК OHSAS 18001-2008</t>
  </si>
  <si>
    <t xml:space="preserve"> г.Астана, пр.Республики, 32</t>
  </si>
  <si>
    <t>авансовый платеж - 20%, оставшаяся часть по факту оказания услуг</t>
  </si>
  <si>
    <t>Размер:195/70R15C. Шина резиновая пневматическая новая  для легковых автомобилей. Конструкция шины: радиальная. Комплектность: бескамерная шина. Номинальный диаметр обода: 15. Зимняя шипованная шина.</t>
  </si>
  <si>
    <t>22.11.17.11.14.12.11.07.1</t>
  </si>
  <si>
    <t>Шина категории "С" для Ивеко.</t>
  </si>
  <si>
    <t>22.11.17.11.15.12.11.40.1</t>
  </si>
  <si>
    <t>Размер: 205/65 R16. Шина резиновая пневматическая новая  для легковых автомобилей. Конструкция шины: радиальная. Комплектность: бескамерная шина. Номинальный диаметр обода: 16. Зимняя шипованная шина.</t>
  </si>
  <si>
    <t>штука</t>
  </si>
  <si>
    <t>Общая, обложка многокрасочная, мелованный картон, блок из офсета, на двойной евроспирали, клетка 170х203, формат А5, 96 листов.</t>
  </si>
  <si>
    <t>21.20.13.00.00.03.78.10.1</t>
  </si>
  <si>
    <t>Лоперамид</t>
  </si>
  <si>
    <t>№25</t>
  </si>
  <si>
    <t>№6</t>
  </si>
  <si>
    <t>21.20.13.00.00.03.56.77.1</t>
  </si>
  <si>
    <t>Диметинден</t>
  </si>
  <si>
    <t>гель для наружного применения</t>
  </si>
  <si>
    <t>21.20.13.00.00.03.12.92.1</t>
  </si>
  <si>
    <t>Дротаверин</t>
  </si>
  <si>
    <t>21.20.13.00.00.03.12.93.1</t>
  </si>
  <si>
    <t>21.20.13.00.00.03.56.27.1</t>
  </si>
  <si>
    <t>Цетиризин</t>
  </si>
  <si>
    <t>13.96.16.00.00.00.60.10.1</t>
  </si>
  <si>
    <t>Брезент (парусина)</t>
  </si>
  <si>
    <t>Брезент. Плотная льняная, полульняная или хлопчатобумажная ткань, вырабатываемая из толстой пряжи. Часто пропитывается огнеупорными или водоотталкивающими и противогнилостными составами. Плотность не менее 300г/м</t>
  </si>
  <si>
    <t>1000 А</t>
  </si>
  <si>
    <t>630 А</t>
  </si>
  <si>
    <t>40 м</t>
  </si>
  <si>
    <t>Комплект элементов масляного фильтра для Камаз 452803</t>
  </si>
  <si>
    <t>212 Т</t>
  </si>
  <si>
    <t>957 Т</t>
  </si>
  <si>
    <t>1347 Т</t>
  </si>
  <si>
    <t>1803 Т</t>
  </si>
  <si>
    <t>1877 Т</t>
  </si>
  <si>
    <t>1878 Т</t>
  </si>
  <si>
    <t>1879 Т</t>
  </si>
  <si>
    <t>127 У</t>
  </si>
  <si>
    <t>170 У</t>
  </si>
  <si>
    <t>Приложение №1 к Инструкции о порядке составления и представления отчетности по вопросам закупок,</t>
  </si>
  <si>
    <t>утвержденной решением Правлением АО "Самрук-Казына (протокол № ____ от ______)</t>
  </si>
  <si>
    <t>1880 Т</t>
  </si>
  <si>
    <t>Корнеплоды сахарной свеклы для производства сахара  ГОСТ 17421-82</t>
  </si>
  <si>
    <t xml:space="preserve">Пульт управления фанкойла   TMS810FE </t>
  </si>
  <si>
    <t>28.25.12.00.00.10.10.10.1</t>
  </si>
  <si>
    <t>Пульт управления</t>
  </si>
  <si>
    <t>для систем кондиционирования</t>
  </si>
  <si>
    <t>68.31.16.10.01.00.00</t>
  </si>
  <si>
    <t>устройство для вытаскивания скоб от степлера. Устройство состоит из двух противостоящих клинов на оси.6</t>
  </si>
  <si>
    <t>25.99.23.00.00.11.10.15.1</t>
  </si>
  <si>
    <t>Варенье</t>
  </si>
  <si>
    <t>из смородины</t>
  </si>
  <si>
    <t>10.39.22.00.00.00.13.10.1</t>
  </si>
  <si>
    <t>Зерно гороха для консервирования, сорт высший: степень зрелости по финометру 29-45град</t>
  </si>
  <si>
    <t>Изюм</t>
  </si>
  <si>
    <t>10.20.26.00.00.00.02.10.1</t>
  </si>
  <si>
    <t>Икра рыб</t>
  </si>
  <si>
    <t>Вкус и запах - кисломолочный, характерный для добавок. Вкус и цвет - характерный для добавок. Консистенция и внешний вид - однородная, с нарушенным или ненарушенным сгустком. Допускается газообразование, вызванное действием микрофлоры кефирных грибков. С пищевыми продуктами и пищевыми добавками.</t>
  </si>
  <si>
    <t>Сорта поздние (убираемый и реализуемый после 1 сентября) экстра, 1 и 2 класса</t>
  </si>
  <si>
    <t>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стерилизованное. СТ РК 1760-2008</t>
  </si>
  <si>
    <t>Огурцы и корнишоны</t>
  </si>
  <si>
    <t>Помидоры (томаты)</t>
  </si>
  <si>
    <t>Витаминизированный. Вкус и запах - сладкий.</t>
  </si>
  <si>
    <t>10.72.11.00.00.00.00.60.1</t>
  </si>
  <si>
    <t>хлебобулочное изделие, разрезанное и высушенное. Цвет, запах и вкус свойственный виду товара.</t>
  </si>
  <si>
    <t>в одной пачке 1 кг</t>
  </si>
  <si>
    <t>СТ РК 1400-2005</t>
  </si>
  <si>
    <t>Натуральное вино, полученное в результате полного сбраживания сусла или мезги. Сухое. Содержание спирта 9-14%, сахара - до 0,3%. Белое. Для получения используют только виноградный сок. V - 0,5 - 1 литр.</t>
  </si>
  <si>
    <t>хлопчатобумажный. Состоит из рубашки, брюк, колпака и фартука.</t>
  </si>
  <si>
    <t>14.12.30.00.00.70.10.18.1</t>
  </si>
  <si>
    <t>Колпак</t>
  </si>
  <si>
    <t>поварской белый</t>
  </si>
  <si>
    <t>женский, тип Б. ГОСТ 24760-81</t>
  </si>
  <si>
    <t>14.12.11.00.00.70.10.10.1</t>
  </si>
  <si>
    <t>Костюм женский</t>
  </si>
  <si>
    <t>Для защиты от производственных загрязнений. Комплект женский из хлопчатобумажной ткани. 100% хлопок, летний.  Состоит из куртки и брюк или куртки и полукомбинезона. ГОСТ 27574-87</t>
  </si>
  <si>
    <t>15.20.13.00.00.00.10.15.1</t>
  </si>
  <si>
    <t>Эпинефрин</t>
  </si>
  <si>
    <t>Прозрачная, от бесцветного до слегка желтого цвета, жидкость с запахом</t>
  </si>
  <si>
    <t>Лейкопластырь бактерицидный, пропитанный раствором антисептиков</t>
  </si>
  <si>
    <t>21.20.13.00.00.03.12.81.1</t>
  </si>
  <si>
    <t>Принадлежности столовые и кухонные деревянные</t>
  </si>
  <si>
    <t>Предметы домашней утвари</t>
  </si>
  <si>
    <t>25.73.30.00.00.21.13.15.1</t>
  </si>
  <si>
    <t>Лом-ледоруб: специальная топорообразная заточка одного или двух концов (используется дворниками для скола льда).</t>
  </si>
  <si>
    <t>Режущий инструмент, рабочим органом является клинок — полоса твёрдого материала (обычно металла) с лезвием на одной или нескольких сторонах</t>
  </si>
  <si>
    <t>универсальные, для подъема на железобетонные опоры трапецеидального сече­ния воздушных линий электропередач</t>
  </si>
  <si>
    <t>Ковер  диэлектрический резиновый первой группы длиной от 1000мм до 8000мм, шириной от 500мм до 1200мм.  ГОСТ 4997-75</t>
  </si>
  <si>
    <t>Пластина ТМКЩ 3х 1000х 1000 ГОСТ 7338-90. Формовая тепломорозокислотощелочестойкая резиновая пластина. Вид упаковки: рулон или лист.</t>
  </si>
  <si>
    <t>Однокомпонентный бесцветный газ со слабым запахом хлороформа. В зависимости от давления имеет температуру кипения от +10 до -70°С и температуру конденсации не выше +50°С. При нормальном атмосферном давлении кипит при температуре -30°С</t>
  </si>
  <si>
    <t>Однокомпонентный бесцветный газ со слабым запахом хлороформа. Температура кипения изменяется в зависимости от давления от +90 до -70°С. При нормальном атмосферном давлении (100-105кПа) кипит при температуре -26,5°С.</t>
  </si>
  <si>
    <t>для уплотнения систем со средами общепромышленного типа, а также систем с сильнодействующими агрессивными средами (концентрированные и разбавленные растворы кислот и щелочей), 15 мм</t>
  </si>
  <si>
    <t>льняная или состоящая из другого волокнистого материала (натурального или искусственного) прядь, пропитанная при необходимости антисептиком (антисептическим веществом), сплетенная специальным образом</t>
  </si>
  <si>
    <t>Клапан обратный стальной, условное давление P -1,6 Мпа, тип присоединения к трубопроводу - фланцевое  ГОСТ 27477-87</t>
  </si>
  <si>
    <t>ручной электрический инструмент, обычно аккумуляторный. Предназначен для заворачивания или отворачивания шурупов, винтов и сверления отверстий.</t>
  </si>
  <si>
    <t>ВВГ 5*16</t>
  </si>
  <si>
    <t>10 А</t>
  </si>
  <si>
    <t>16 А</t>
  </si>
  <si>
    <t>25 А</t>
  </si>
  <si>
    <t>32 А</t>
  </si>
  <si>
    <t>40 А</t>
  </si>
  <si>
    <t>Датчик температуры</t>
  </si>
  <si>
    <t>охлаждающей жидкости</t>
  </si>
  <si>
    <t>27.12.24.12.11.11.11.30.1</t>
  </si>
  <si>
    <t>промежуточное типа РП</t>
  </si>
  <si>
    <t>Вентилятор шкафа управления 150*150, 19W/18W, 0.12A</t>
  </si>
  <si>
    <t>Вентилятор</t>
  </si>
  <si>
    <t>служит для создания направленного потока воздуха через сердцевину радиатора</t>
  </si>
  <si>
    <t>27.12.31.20.11.11.11.10.1</t>
  </si>
  <si>
    <t>серии ПМЛ нереверсивный без термореле, величина пускателя в зависимости от номинального тока 10А</t>
  </si>
  <si>
    <t>Лампа дуговая ртутная, ДРЛ-400</t>
  </si>
  <si>
    <t>серии ПМЛ реверсивный с тепловым реле, номинальный ток 25 А</t>
  </si>
  <si>
    <t>27.12.31.20.12.12.11.40.1</t>
  </si>
  <si>
    <t>серии ПМЕ, реверсивные, с реле</t>
  </si>
  <si>
    <t>однополюсный, с тепловым размыкателем (расцепитель), типа С, для размыкания осветительных цепей и установок с умеренными пусковыми токами (двигатели и трансформаторы).</t>
  </si>
  <si>
    <t>63 А</t>
  </si>
  <si>
    <t>100 А</t>
  </si>
  <si>
    <t>125 А</t>
  </si>
  <si>
    <t>160 А</t>
  </si>
  <si>
    <t>250 А</t>
  </si>
  <si>
    <t>27.12.22.11.14.11.11.10.1</t>
  </si>
  <si>
    <t>трехполюсный, с тепловым размыкателем (расцепитель), типа А, для размыкания цепей с большой протяженностью электропроводки и для защиты полупроводниковых устройств .</t>
  </si>
  <si>
    <t>ГОСТ 17677-82, источник света (лампа) Л - прямые трубчатые люминисцентные</t>
  </si>
  <si>
    <t>4*18 IP 20</t>
  </si>
  <si>
    <t>2*18 IP 20</t>
  </si>
  <si>
    <t xml:space="preserve">27.90.12.00.00.02.00.01.1 </t>
  </si>
  <si>
    <t>Коробка</t>
  </si>
  <si>
    <t>распаечная 100*55 KSC 11-306</t>
  </si>
  <si>
    <t>22.23.14.00.00.82.13.15.2</t>
  </si>
  <si>
    <t>кабель-канал с двойным замком в полиэтилене, размеры 25х25</t>
  </si>
  <si>
    <t>22.23.14.00.00.82.14.16.2</t>
  </si>
  <si>
    <t>кабель-канал с одним замком, перфорированный, размеры 40х16</t>
  </si>
  <si>
    <t>22.23.14.00.00.82.15.21.1</t>
  </si>
  <si>
    <t>кабель-канал с двойным замком, перфорированный, размеры 100х60</t>
  </si>
  <si>
    <t>Внутренний угол для кабель-канала 12х12 </t>
  </si>
  <si>
    <t>термоусадочная перфорированная пленка из полиэтилена высокого давления , толщина 25 мкм</t>
  </si>
  <si>
    <t>27.12.21.11.11.11.21.10.1</t>
  </si>
  <si>
    <t>Предохранитель плавкий</t>
  </si>
  <si>
    <t>номинальный ток 100 А, для защиты оборудования от высокого напряжения и короткого замыкания</t>
  </si>
  <si>
    <t>27.12.10.16.15.01.04.00.1</t>
  </si>
  <si>
    <t>Предохранитель электрический 5x20 250V F4A</t>
  </si>
  <si>
    <t>Галогенная лампа накаливания, тип цоколя G9, мощность 40 Ватт</t>
  </si>
  <si>
    <t>26.51.52.22.01.01.01.01.1</t>
  </si>
  <si>
    <t>Датчик перепада (разности) давления</t>
  </si>
  <si>
    <t>верхний предел измерения давления 0,06 кПа</t>
  </si>
  <si>
    <t>Экстрагированные эфирные масла</t>
  </si>
  <si>
    <t>получают из природного клеточного растительного сырья (обычно пряных или ароматических растений) экстракцией или органическим растворителем</t>
  </si>
  <si>
    <t>Сто миллилитров</t>
  </si>
  <si>
    <t>32.30.15.00.00.00.21.55.1</t>
  </si>
  <si>
    <t>32.30.15.00.00.00.14.01.1</t>
  </si>
  <si>
    <t>Для волос. Концетратор (с насадкой концентратором).</t>
  </si>
  <si>
    <t>электронный</t>
  </si>
  <si>
    <t>ракетки</t>
  </si>
  <si>
    <t>32.30.15.00.00.00.12.10.1</t>
  </si>
  <si>
    <t>Оборудование и инвентарь для настольного тенниса</t>
  </si>
  <si>
    <t>Ракетки, шарики и сетки для настольного тенниса</t>
  </si>
  <si>
    <t>Услуги по устному переводу с других языков на другие языки</t>
  </si>
  <si>
    <t>Услуги в области содействия проведению спортивно-оздоровительных мероприятий</t>
  </si>
  <si>
    <t>Эта группировка включает  услуги, связанные с проведением различных соревнований и спартакиады</t>
  </si>
  <si>
    <t>53.10.11.30.12.00.00</t>
  </si>
  <si>
    <t>Услуги по подписке на периодические издания</t>
  </si>
  <si>
    <t>74.20.23.20.00.00.00</t>
  </si>
  <si>
    <t>Услуги по видеосъемке событий</t>
  </si>
  <si>
    <t>Услуги по участию в мероприятиях</t>
  </si>
  <si>
    <t>Оплата взноса за участие в мероприятиях (выставки, конференции, программы, форумы, симпозиумы и др.)  и оплата других расходов связанных с такими мероприятиями</t>
  </si>
  <si>
    <t>Наблюдательный аудит системы менеджмента на соответствие требованиям международных стандартов</t>
  </si>
  <si>
    <t>01.11.62.00.00.00.01.10.2</t>
  </si>
  <si>
    <t>Работы инженерные по проектированию</t>
  </si>
  <si>
    <t>Разработка проектно-сметной документации</t>
  </si>
  <si>
    <t>71.12.19.05.00.00.00</t>
  </si>
  <si>
    <t>18,20,21</t>
  </si>
  <si>
    <t xml:space="preserve">18,20,21 </t>
  </si>
  <si>
    <t>1301-1 Т</t>
  </si>
  <si>
    <t>исключена</t>
  </si>
  <si>
    <t>116-1 У</t>
  </si>
  <si>
    <t>20,21</t>
  </si>
  <si>
    <t>1-1 Т</t>
  </si>
  <si>
    <t>5-1 Т</t>
  </si>
  <si>
    <t>11-1 У</t>
  </si>
  <si>
    <t>12-1 У</t>
  </si>
  <si>
    <t>январь, февраль-март</t>
  </si>
  <si>
    <t>Аренда 23 машиномест на зимнее время (январь-март, ноябрь-декабрь) в отапливаемом паркинге, на левом берегу г. Астана</t>
  </si>
  <si>
    <t>6,20,21</t>
  </si>
  <si>
    <t>146-1 У</t>
  </si>
  <si>
    <t>571-1 Т</t>
  </si>
  <si>
    <t>576-1 Т</t>
  </si>
  <si>
    <t>583-1 Т</t>
  </si>
  <si>
    <t>585-1 Т</t>
  </si>
  <si>
    <t>18,19,20,21</t>
  </si>
  <si>
    <t>586-1 Т</t>
  </si>
  <si>
    <t>19,20,21</t>
  </si>
  <si>
    <t>646-1 Т</t>
  </si>
  <si>
    <t>со щеткой-сметкой, механический сбрасыватель, ручка 67 см, резиновая кромка</t>
  </si>
  <si>
    <t>6, 18,20,21</t>
  </si>
  <si>
    <t>648-1 Т</t>
  </si>
  <si>
    <t>638-1 Т</t>
  </si>
  <si>
    <t>641-1 Т</t>
  </si>
  <si>
    <t>642-1 Т</t>
  </si>
  <si>
    <t>625-1 Т</t>
  </si>
  <si>
    <t>629-1 Т</t>
  </si>
  <si>
    <t>631-1 Т</t>
  </si>
  <si>
    <t>Услуги по оценке долей участия в юридических лицах</t>
  </si>
  <si>
    <t>74.90.12.20.18.20.10</t>
  </si>
  <si>
    <t>Услуги по оценке стоимости ценных бумаг</t>
  </si>
  <si>
    <t>74.90.12.20.18.00.00</t>
  </si>
  <si>
    <t>Порошокобразное.Средство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</si>
  <si>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637-1 Т</t>
  </si>
  <si>
    <t>643-1 Т</t>
  </si>
  <si>
    <t>632-1 Т</t>
  </si>
  <si>
    <t>Гель пятновыводитель для всех видов тканей, очень эффективен от всех видов пятен. В пластиковой упаковке, объемом 1000 мл</t>
  </si>
  <si>
    <t>616-1 Т</t>
  </si>
  <si>
    <t>623-1 Т</t>
  </si>
  <si>
    <t>630-1 Т</t>
  </si>
  <si>
    <t>636-1 Т</t>
  </si>
  <si>
    <t>Тряпки из микрофибры, сухие. В комплекте 3 шт. Размер: 20х40 см. (разноцветные).</t>
  </si>
  <si>
    <t>640-1 Т</t>
  </si>
  <si>
    <t>Цвет серый , черный.</t>
  </si>
  <si>
    <t>щетка металлическая шириной 23 см, длиной ворса 11 см, на деревянной ручке</t>
  </si>
  <si>
    <t>639-1 Т</t>
  </si>
  <si>
    <t>839-1 Т</t>
  </si>
  <si>
    <t>837-1 Т</t>
  </si>
  <si>
    <t>79-1 У</t>
  </si>
  <si>
    <t>22.11.17.11.18.12.11.17.1</t>
  </si>
  <si>
    <t>для легковых автомобилей, пневматическая, радиальная, размер 235*45R19, бескамерная, зимняя, шипованная</t>
  </si>
  <si>
    <t>1881 Т</t>
  </si>
  <si>
    <t>1882 Т</t>
  </si>
  <si>
    <t>31.01.12.00.00.02.06.01.1</t>
  </si>
  <si>
    <t>Стол</t>
  </si>
  <si>
    <t>стол для конференц зала</t>
  </si>
  <si>
    <t>Стул для конференц-зала, цвет черный</t>
  </si>
  <si>
    <t>31.00.11.00.00.01.01.09.1</t>
  </si>
  <si>
    <t>Стул</t>
  </si>
  <si>
    <t>Металлический каркас. Сиденье и спинка из кожезаменителя.</t>
  </si>
  <si>
    <t>994-1 Т</t>
  </si>
  <si>
    <t>1001-1 Т</t>
  </si>
  <si>
    <t>1002-1 Т</t>
  </si>
  <si>
    <t>1069-1 Т</t>
  </si>
  <si>
    <t>1070-1 Т</t>
  </si>
  <si>
    <t>1071-1Т</t>
  </si>
  <si>
    <t>1072-1 Т</t>
  </si>
  <si>
    <t>1073-1 Т</t>
  </si>
  <si>
    <t>1075-1 Т</t>
  </si>
  <si>
    <t>1089-1 Т</t>
  </si>
  <si>
    <t>1090-1 Т</t>
  </si>
  <si>
    <t>1093-1 Т</t>
  </si>
  <si>
    <t>1094-1 Т</t>
  </si>
  <si>
    <t>1125-1 Т</t>
  </si>
  <si>
    <t>1126-1 Т</t>
  </si>
  <si>
    <t>1128-1 Т</t>
  </si>
  <si>
    <t>1134-1 Т</t>
  </si>
  <si>
    <t>1135-1 Т</t>
  </si>
  <si>
    <t>1136-1 Т</t>
  </si>
  <si>
    <t>1144-1 Т</t>
  </si>
  <si>
    <t>1145 -1Т</t>
  </si>
  <si>
    <t>1146-1 Т</t>
  </si>
  <si>
    <t>1151-1 Т</t>
  </si>
  <si>
    <t>1153-1 Т</t>
  </si>
  <si>
    <t>1154-1 Т</t>
  </si>
  <si>
    <t>1340-1 Т</t>
  </si>
  <si>
    <t>1341-1 Т</t>
  </si>
  <si>
    <t>1373-1 Т</t>
  </si>
  <si>
    <t>1390-1 Т</t>
  </si>
  <si>
    <t>1400-1 Т</t>
  </si>
  <si>
    <t>1404-1 Т</t>
  </si>
  <si>
    <t>1407-1 Т</t>
  </si>
  <si>
    <t>1412-1 Т</t>
  </si>
  <si>
    <t>1415-1 Т</t>
  </si>
  <si>
    <t>1424-1 Т</t>
  </si>
  <si>
    <t>1432-1 Т</t>
  </si>
  <si>
    <t>1442-1 Т</t>
  </si>
  <si>
    <t>1474-1 Т</t>
  </si>
  <si>
    <t>1476-1 Т</t>
  </si>
  <si>
    <t>1478-1 Т</t>
  </si>
  <si>
    <t>1479-1 Т</t>
  </si>
  <si>
    <t>1488-1 Т</t>
  </si>
  <si>
    <t>1504-1 Т</t>
  </si>
  <si>
    <t>1505-1 Т</t>
  </si>
  <si>
    <t>1507-1 Т</t>
  </si>
  <si>
    <t>1509-1 Т</t>
  </si>
  <si>
    <t>1512-1 Т</t>
  </si>
  <si>
    <t>1515-1 Т</t>
  </si>
  <si>
    <t>1516-1 Т</t>
  </si>
  <si>
    <t>1531-1 Т</t>
  </si>
  <si>
    <t>1533-1 Т</t>
  </si>
  <si>
    <t>1536-1 Т</t>
  </si>
  <si>
    <t>1537-1 Т</t>
  </si>
  <si>
    <t>1539-1 Т</t>
  </si>
  <si>
    <t>1554-1 Т</t>
  </si>
  <si>
    <t>1558-1 Т</t>
  </si>
  <si>
    <t>1560-1 Т</t>
  </si>
  <si>
    <t>1561-1 Т</t>
  </si>
  <si>
    <t>1564-1 Т</t>
  </si>
  <si>
    <t>1566-1 Т</t>
  </si>
  <si>
    <t>1567-1 Т</t>
  </si>
  <si>
    <t>1568-1 Т</t>
  </si>
  <si>
    <t>1569-1 Т</t>
  </si>
  <si>
    <t>1570-1 Т</t>
  </si>
  <si>
    <t>1571-1 Т</t>
  </si>
  <si>
    <t>1572-1 Т</t>
  </si>
  <si>
    <t>1575-1 Т</t>
  </si>
  <si>
    <t>1577-1 Т</t>
  </si>
  <si>
    <t>1579-1 Т</t>
  </si>
  <si>
    <t>1580-1 Т</t>
  </si>
  <si>
    <t>1581-1 Т</t>
  </si>
  <si>
    <t>1582-1 Т</t>
  </si>
  <si>
    <t>1583-1 Т</t>
  </si>
  <si>
    <t>1584-1 Т</t>
  </si>
  <si>
    <t>1585-1 Т</t>
  </si>
  <si>
    <t>1586-1 Т</t>
  </si>
  <si>
    <t>1587-1 Т</t>
  </si>
  <si>
    <t>1589-1 Т</t>
  </si>
  <si>
    <t>1590-1 Т</t>
  </si>
  <si>
    <t>1591-1 Т</t>
  </si>
  <si>
    <t>1592-1 Т</t>
  </si>
  <si>
    <t>1593-1 Т</t>
  </si>
  <si>
    <t>1594-1 Т</t>
  </si>
  <si>
    <t>1595-1 Т</t>
  </si>
  <si>
    <t>1602-1 Т</t>
  </si>
  <si>
    <t>1607-1 Т</t>
  </si>
  <si>
    <t>1608-1 Т</t>
  </si>
  <si>
    <t>1614-1 Т</t>
  </si>
  <si>
    <t>1615-1 Т</t>
  </si>
  <si>
    <t>1619-1 Т</t>
  </si>
  <si>
    <t>1649-1 Т</t>
  </si>
  <si>
    <t>1650-1 Т</t>
  </si>
  <si>
    <t>1651-1 Т</t>
  </si>
  <si>
    <t>1652-1 Т</t>
  </si>
  <si>
    <t>1653-1 Т</t>
  </si>
  <si>
    <t>1654-1 Т</t>
  </si>
  <si>
    <t>1658-1 Т</t>
  </si>
  <si>
    <t>1659-1 Т</t>
  </si>
  <si>
    <t>1660-1 Т</t>
  </si>
  <si>
    <t>1661-1 Т</t>
  </si>
  <si>
    <t>1662-1 Т</t>
  </si>
  <si>
    <t>1663-1 Т</t>
  </si>
  <si>
    <t>1664-1 Т</t>
  </si>
  <si>
    <t>1667-1 Т</t>
  </si>
  <si>
    <t>1668-1 Т</t>
  </si>
  <si>
    <t>1669-1 Т</t>
  </si>
  <si>
    <t>1670-1 Т</t>
  </si>
  <si>
    <t>1673-1 Т</t>
  </si>
  <si>
    <t>1675-1 Т</t>
  </si>
  <si>
    <t>1676-1 Т</t>
  </si>
  <si>
    <t>1677-1 Т</t>
  </si>
  <si>
    <t>334-1 Т</t>
  </si>
  <si>
    <t>ведро пластиковое круглое с крышкой 10л.,  с контрольной пломбой, ГОСТ Р50962-97.</t>
  </si>
  <si>
    <t>ведро пластиковое круглое, с крышкой, 5 л ГОСТ Р50962-96, с контрольной пломбой (круглое), диаметр крышки  225 мм</t>
  </si>
  <si>
    <t xml:space="preserve">Полиэтиленовые мешки для утилизации мусорных отходов обычной прочности Объем: 30 л, размер 530 х 670 мм.,  в рулоне 30 штук. </t>
  </si>
  <si>
    <t>863-1 Т</t>
  </si>
  <si>
    <t xml:space="preserve">Костюм из ткани смешанной с вложением капронового волокна (не более 15%)  с  масловодоотталкивающей пропиткой (Куртка, брюки или полукомбинезон)  из ткани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С нашивкой логотипом на спинке и передней полочке Перед пошивом произвести замеры персонала индивидуально.  </t>
  </si>
  <si>
    <t>864-1 Т</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</si>
  <si>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 нашивкой логотипом передней полочке. Перед пошивом произвести замеры персонала индивидуально.</t>
  </si>
  <si>
    <t>865-1 Т</t>
  </si>
  <si>
    <t>3,4,5,6</t>
  </si>
  <si>
    <t>14.12.30.10.01.01.01.01.1</t>
  </si>
  <si>
    <t>хлопчатобумажный, спецодежда медицинская (хирургическая) состоит из блузы и брюк, женский</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</si>
  <si>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голубой.  Требование к ткани  для спецодежды - плотность 360 гр/м2, согласно ГОСТ 11209-85. Перед пошивом произвести замеры персонала индивидуально. С нашивкой логотипом на спинке и передней полочке</t>
  </si>
  <si>
    <t>869-1 Т</t>
  </si>
  <si>
    <t>872-1 Т</t>
  </si>
  <si>
    <t xml:space="preserve">  Усиленная стальная рама из двух цельногнутых труб диаметром 32 мм поддерживает кузов снизу и выдерживает нагрузку до 200 кг
    Опора специальной конструкции изготовлена из стальной трубы диаметром 28 мм и надежно поддерживая кузов спереди.
    Резиновое пневматическое колесо диаметром 400 мм со стальным ободом на стальных подшипниках.</t>
  </si>
  <si>
    <t>1463-1 Т</t>
  </si>
  <si>
    <t xml:space="preserve">Носилки строительные деревянные с
металлическим дном, с деревянными ручками, пропитанные специальным веществом, предотвращающим  процесс гниения. Длина, см 76; Ширина, см 56. Ударопрочные, долговечные, не боятся перепада температур. </t>
  </si>
  <si>
    <t>12-1 Р</t>
  </si>
  <si>
    <t>15-1 Р</t>
  </si>
  <si>
    <t>1883 Т</t>
  </si>
  <si>
    <t>14.12.11.00.00.60.10.15.1</t>
  </si>
  <si>
    <t>летний, состоит из куртки и полукомбинезона</t>
  </si>
  <si>
    <t>14.12.11.00.00.60.11.20.1</t>
  </si>
  <si>
    <t>Куртка</t>
  </si>
  <si>
    <t>Куртки рабочие мужские, зимние, утепленные</t>
  </si>
  <si>
    <t>1884 Т</t>
  </si>
  <si>
    <t>Костюм летний : рубашка с коротким рукавом  и брюки.  Состав ткани: 100 % хлопок. Цвет рубашки голубой, цвет брюк темно-серый или синий. С нашивкой логотипом на спинке и передней полочке</t>
  </si>
  <si>
    <t>куртка, утепленная из ткани хлопчатобумажной с масловодоотталкивающей пропиткой, подкладка отстегивающаяся, устойчивая к ветру (не продувается). Требование к ткани для спецодежды согласно ГОСТ 11209-85. С нашивкой логотипом на спинке и передней полочке</t>
  </si>
  <si>
    <t>708-1 Т</t>
  </si>
  <si>
    <t>1885 Т</t>
  </si>
  <si>
    <t>14.12.30.00.00.80.15.18.1</t>
  </si>
  <si>
    <t>Рукавицы комбинированные (основа - прочная хлопчатобумажная  ткань, наладонник - брезент)</t>
  </si>
  <si>
    <t>1886 Т</t>
  </si>
  <si>
    <t>Подлокотники хромированные. Для кресел представительского класса</t>
  </si>
  <si>
    <t>1679-1 Т</t>
  </si>
  <si>
    <t>1680-1 Т</t>
  </si>
  <si>
    <t>1682-1 Т</t>
  </si>
  <si>
    <t>1683-1 Т</t>
  </si>
  <si>
    <t>1684-1 Т</t>
  </si>
  <si>
    <t>1685-1 Т</t>
  </si>
  <si>
    <t>1686-1 Т</t>
  </si>
  <si>
    <t>1689-1 Т</t>
  </si>
  <si>
    <t>1690-1 Т</t>
  </si>
  <si>
    <t>1688-1 Т</t>
  </si>
  <si>
    <t>1692-1 Т</t>
  </si>
  <si>
    <t>1693-1 Т</t>
  </si>
  <si>
    <t>1694-1 Т</t>
  </si>
  <si>
    <t>1699-1 Т</t>
  </si>
  <si>
    <t>1701-1 Т</t>
  </si>
  <si>
    <t>1702-1 Т</t>
  </si>
  <si>
    <t>1705-1 Т</t>
  </si>
  <si>
    <t>1706-1 Т</t>
  </si>
  <si>
    <t>1708-1 Т</t>
  </si>
  <si>
    <t>1709-1 Т</t>
  </si>
  <si>
    <t>1710-1 Т</t>
  </si>
  <si>
    <t>1712-1 Т</t>
  </si>
  <si>
    <t>1714-1 Т</t>
  </si>
  <si>
    <t>1715-1 Т</t>
  </si>
  <si>
    <t>1806-1 Т</t>
  </si>
  <si>
    <t>1812-1 Т</t>
  </si>
  <si>
    <t>1817-1 Т</t>
  </si>
  <si>
    <t>1819-1 Т</t>
  </si>
  <si>
    <t>банка, объем 2,4кг</t>
  </si>
  <si>
    <t>20.59.59.00.17.10.10.10.1</t>
  </si>
  <si>
    <t>смесь летучих органических жидкостей, марка 645, ГОСТ 18188-72</t>
  </si>
  <si>
    <t>Для удаления пятен от красок и жвачек. В пластиковых бутылках: 5 л.</t>
  </si>
  <si>
    <t>20.30.21.00.21.04.15.20.2</t>
  </si>
  <si>
    <t>ЭП-255 белый, массовая доля нелетучих веществ, %, не менее 62-68, ГОСТ 23599-79</t>
  </si>
  <si>
    <t>объем 2,7 кг</t>
  </si>
  <si>
    <t>20.30.21.00.21.04.13.10.2</t>
  </si>
  <si>
    <t>ЭП-773 зеленый, массовая доля нелетучих веществ, %, не менее 63±3, ГОСТ 23143-83</t>
  </si>
  <si>
    <t>20.30.21.00.21.06.11.10.2</t>
  </si>
  <si>
    <t>20.30.21.00.21.04.17.05.2</t>
  </si>
  <si>
    <t>ЭП-51 желтый, массовая доля нелетучих веществ, %, не менее 25-30, ГОСТ 9640-85</t>
  </si>
  <si>
    <t xml:space="preserve">момент </t>
  </si>
  <si>
    <t xml:space="preserve">для мебели,  супер хват, Фасовка: 100 мл. </t>
  </si>
  <si>
    <t>для линолеума в пластиковых банках: 1,5 кг</t>
  </si>
  <si>
    <t>100 м</t>
  </si>
  <si>
    <t>бумага наждачная "0", размер 20*20</t>
  </si>
  <si>
    <t>25.93.14.00.00.10.14.10.1</t>
  </si>
  <si>
    <t>ГОСТ 4032-63, 0,8х10 мм</t>
  </si>
  <si>
    <t>25.93.14.00.00.10.13.12.1</t>
  </si>
  <si>
    <t>ГОСТ 4033-63, 2,0х20 мм</t>
  </si>
  <si>
    <t>25.93.14.00.00.10.19.14.1</t>
  </si>
  <si>
    <t>ГОСТ 6750-75, 2х30 мм</t>
  </si>
  <si>
    <t>25.93.14.00.00.10.14.15.1</t>
  </si>
  <si>
    <t>ГОСТ 4032-63, 2,0х40 мм</t>
  </si>
  <si>
    <t>25.93.14.00.00.10.17.27.1</t>
  </si>
  <si>
    <t>ГОСТ 4028-63, 2,0х50 мм</t>
  </si>
  <si>
    <t>25.93.14.00.00.10.17.28.1</t>
  </si>
  <si>
    <t>ГОСТ 4028-63, 2,5х60 мм</t>
  </si>
  <si>
    <t>25.93.14.00.00.10.17.29.1</t>
  </si>
  <si>
    <t>ГОСТ 4028-63, 3,0х70 мм</t>
  </si>
  <si>
    <t>25.93.14.00.00.10.17.30.1</t>
  </si>
  <si>
    <t>ГОСТ 4028-63, 3,0х80 мм</t>
  </si>
  <si>
    <t>25.93.14.00.00.10.17.31.1</t>
  </si>
  <si>
    <t>ГОСТ 4028-63, 3,5х90 мм</t>
  </si>
  <si>
    <t>25.93.14.00.00.10.17.32.1</t>
  </si>
  <si>
    <t>ГОСТ 4028-63, 4,0х100 мм</t>
  </si>
  <si>
    <t>25.93.14.00.00.10.17.33.1</t>
  </si>
  <si>
    <t>ГОСТ 4028-63, 4,0х120 мм</t>
  </si>
  <si>
    <t>размер от 1,5 до 10мм</t>
  </si>
  <si>
    <t>размер от 10 до 50мм</t>
  </si>
  <si>
    <t>размер до 70мм</t>
  </si>
  <si>
    <t>22.21.29.00.00.60.10.10.1</t>
  </si>
  <si>
    <t>из полипропилена</t>
  </si>
  <si>
    <t>чопик по бетону</t>
  </si>
  <si>
    <t>чопик по гипсокартону</t>
  </si>
  <si>
    <t>23.31.10.01.01.01.01.00.1</t>
  </si>
  <si>
    <t>керамическая (кафель)</t>
  </si>
  <si>
    <t>кафель стеновой 20х30</t>
  </si>
  <si>
    <t>кафель половой  40х40</t>
  </si>
  <si>
    <t>Керамогранит зеленый 60х60</t>
  </si>
  <si>
    <t>Керамогранит белый 60х60</t>
  </si>
  <si>
    <t>22.23.14.00.00.70.10.11.1</t>
  </si>
  <si>
    <t>пластиковый, с резиновым уплотнителем</t>
  </si>
  <si>
    <t>22.23.15.00.00.20.10.10.1</t>
  </si>
  <si>
    <t>Линолеум полукоммерческий из поливинилхлорида</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</si>
  <si>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</si>
  <si>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</si>
  <si>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</si>
  <si>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</si>
  <si>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</si>
  <si>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</si>
  <si>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</si>
  <si>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</si>
  <si>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</si>
  <si>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</si>
  <si>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</si>
  <si>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</si>
  <si>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</si>
  <si>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</si>
  <si>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</si>
  <si>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</si>
  <si>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</si>
  <si>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</si>
  <si>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</si>
  <si>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</si>
  <si>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</si>
  <si>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</si>
  <si>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</si>
  <si>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</si>
  <si>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</si>
  <si>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</si>
  <si>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</si>
  <si>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</si>
  <si>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</si>
  <si>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</si>
  <si>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</si>
  <si>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</si>
  <si>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</si>
  <si>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</si>
  <si>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</si>
  <si>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</si>
  <si>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</si>
  <si>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</si>
  <si>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</si>
  <si>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</si>
  <si>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</si>
  <si>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</si>
  <si>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</si>
  <si>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</si>
  <si>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</si>
  <si>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</si>
  <si>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216-1 Т</t>
  </si>
  <si>
    <t>240-1 Т</t>
  </si>
  <si>
    <t>241-1 Т</t>
  </si>
  <si>
    <t>261-1 Т</t>
  </si>
  <si>
    <t>263-1 Т</t>
  </si>
  <si>
    <t>269-1 Т</t>
  </si>
  <si>
    <t>271-1 Т</t>
  </si>
  <si>
    <t>276-1 Т</t>
  </si>
  <si>
    <t>280-1 Т</t>
  </si>
  <si>
    <t>283-1 Т</t>
  </si>
  <si>
    <t>1933 Т</t>
  </si>
  <si>
    <t>10.51.52.00.00.03.12.10.3</t>
  </si>
  <si>
    <t>Сметана</t>
  </si>
  <si>
    <t>308-1 Т</t>
  </si>
  <si>
    <t>309-1 Т</t>
  </si>
  <si>
    <t>318-1 Т</t>
  </si>
  <si>
    <t>321-1 Т</t>
  </si>
  <si>
    <t>322-1 Т</t>
  </si>
  <si>
    <t>Конференц-стол  на 20чел. Столещница и боковины из ЛДСП  толщиной 38 мм с кромкой из ПВХ толщиной 2 мм с тиснением поверхности типа "шагреневая кожа". Размер стола 6400*1600*750 (овальной формы)  , цвет - "дуб ферраре". Стол на регулируемых опорах.</t>
  </si>
  <si>
    <t>1872-1 Т</t>
  </si>
  <si>
    <t>1873-1 Т</t>
  </si>
  <si>
    <t>1934 Т</t>
  </si>
  <si>
    <t>27.51.26.01.01.00.00.11.1</t>
  </si>
  <si>
    <t>Тепловая завеса</t>
  </si>
  <si>
    <t>для создания воздушного барьера на границе зон с разной температурой</t>
  </si>
  <si>
    <t>1935 Т</t>
  </si>
  <si>
    <t>13-1 Т</t>
  </si>
  <si>
    <t>1936 Т</t>
  </si>
  <si>
    <t>10.89.13.00.00.01.11.20.2</t>
  </si>
  <si>
    <t>Дрожжи</t>
  </si>
  <si>
    <t>Пекарные сушеные.</t>
  </si>
  <si>
    <t>10.11.22.00.00.00.17.10.1</t>
  </si>
  <si>
    <t>Субпродукт пищевой скота крупного рогатого</t>
  </si>
  <si>
    <t>Язык говяжий</t>
  </si>
  <si>
    <t>298-1 Т</t>
  </si>
  <si>
    <t>299-1 Т</t>
  </si>
  <si>
    <t>300-1 Т</t>
  </si>
  <si>
    <t>259-1 Т</t>
  </si>
  <si>
    <t>260-1 Т</t>
  </si>
  <si>
    <t>228-1 Т</t>
  </si>
  <si>
    <t>1937 Т</t>
  </si>
  <si>
    <t>256-1 Т</t>
  </si>
  <si>
    <t>1938 Т</t>
  </si>
  <si>
    <t>27.12.22.91.11.11.11.10.1</t>
  </si>
  <si>
    <t>выключатель автоматический серии ВА-99/250 А</t>
  </si>
  <si>
    <t>1939 Т</t>
  </si>
  <si>
    <t>выключатель автоматический серии ВА-99/400 А</t>
  </si>
  <si>
    <t>1940 Т</t>
  </si>
  <si>
    <t>22.22.13.70.00.00.00.02.1</t>
  </si>
  <si>
    <t>Коробка распределительная электрическая</t>
  </si>
  <si>
    <t>закрытого типа</t>
  </si>
  <si>
    <t>1941 Т</t>
  </si>
  <si>
    <t>27.33.14.00.00.00.05.12.1</t>
  </si>
  <si>
    <t>Клеменная колодка</t>
  </si>
  <si>
    <t>с подпружиненными контактами</t>
  </si>
  <si>
    <t>1942 Т</t>
  </si>
  <si>
    <t xml:space="preserve">Кембрик термоусадочный ф2,5 </t>
  </si>
  <si>
    <t>22.21.21.00.00.50.10.30.2</t>
  </si>
  <si>
    <t>трубка</t>
  </si>
  <si>
    <t>Трубка термоусаживающаяся из полиэтилена тонкостенные с подклеивающим слоем, самозатухающий (с подавлением горения) материал</t>
  </si>
  <si>
    <t>1943 Т</t>
  </si>
  <si>
    <t>Кебрик жаростойкий ф4</t>
  </si>
  <si>
    <t>226-1 Т</t>
  </si>
  <si>
    <t>01.11.62.00.00.00.01.10.3</t>
  </si>
  <si>
    <t>Консервированный</t>
  </si>
  <si>
    <t>244-1 Т</t>
  </si>
  <si>
    <t>10.20.41.00.00.00.20.10.2</t>
  </si>
  <si>
    <t>Крабовые палочки</t>
  </si>
  <si>
    <t>3,16,17</t>
  </si>
  <si>
    <t>3,4,5,16,17</t>
  </si>
  <si>
    <t>8-1 Т</t>
  </si>
  <si>
    <t>9-1 Т</t>
  </si>
  <si>
    <t>10-1 Т</t>
  </si>
  <si>
    <t>11-1 Т</t>
  </si>
  <si>
    <t>12-1 Т</t>
  </si>
  <si>
    <t>14-1 Т</t>
  </si>
  <si>
    <t>15-1 Т</t>
  </si>
  <si>
    <t>16-1 Т</t>
  </si>
  <si>
    <t>17-1 Т</t>
  </si>
  <si>
    <t>18-1 Т</t>
  </si>
  <si>
    <t>19-1 Т</t>
  </si>
  <si>
    <t>20-1 Т</t>
  </si>
  <si>
    <t>Регулировка мощности:есть, Уровень мощности: 6000/3000 Вт, Напряжение: 380/400 Вт, Термостат: есть, Таймер: нет, Варианты монтажа: настенный, Защитные функции: отключение при перегреве, тип нагревательного элемента: ТЭН, Вентилятор: есть, Вентиляция без нагрева: есть, Установка тепловой завесы: горизонтальная/вертикальная, макс. высота установки 3,50 м, вес: 17 кг, Габариты: 105х24.5х22 см, максимальный воздухообмен: 1500 куб.м/ч. с монтажом</t>
  </si>
  <si>
    <t>Тепловая электрическая завеса  мощность ступеней: 12/8/ 0 кВт, класс защиты - I класс, степень защиты -IP 10, напряжение 380 В, максимальный рабочий ток - 3х22 А, мощность двигателя - 170 В, скорость потока - 7,9 м/сек,расход воздуха - 3000 м3, повышение температур- 8-12 градусов по цельсию, установка - горизонтально и вертикально (универсальная установка), уровень шума - 57 (на расст. 5 м) дБ(А). вес: 44,2 кг, габариты: 1950х217х238 мм, мощность двигателя: 170 Вт, с  монтажом</t>
  </si>
  <si>
    <t>20.41.44.00.00.00.00.26.1</t>
  </si>
  <si>
    <t>Средство чистящее</t>
  </si>
  <si>
    <t>порошкообразное, концентрированное для моющего пылесоса</t>
  </si>
  <si>
    <t>647-1 Т</t>
  </si>
  <si>
    <t>40 Р</t>
  </si>
  <si>
    <t>43.29.19.10.17.00.00</t>
  </si>
  <si>
    <t>Работы по изготовлению, сборке и монтажу</t>
  </si>
  <si>
    <t>Работы по изготовлению, сборке и монтажу перегородок</t>
  </si>
  <si>
    <t>171 У</t>
  </si>
  <si>
    <t>41 Р</t>
  </si>
  <si>
    <t>Работы по изготовлению мебели</t>
  </si>
  <si>
    <t>31.09.92.11.00.00.00</t>
  </si>
  <si>
    <t>С изменениями и дополнениями от 05.02.2015 г. № 60</t>
  </si>
  <si>
    <t>С изменениями и дополнениями от 12.02.2015 г. № 74</t>
  </si>
  <si>
    <t>г.Астана, пр.Кабанбай Батыра, 19 и ул.Кунаева, д. 8, Административное здание «Изумрудный квартал», блок Б</t>
  </si>
  <si>
    <t>Работы по изготовлению кухонного гарнитура для офисного помещения</t>
  </si>
  <si>
    <t>Услуги по охране объектов с помощью технических средств и тревожной сигнализации</t>
  </si>
  <si>
    <t>80.10.12.22.00.00.00</t>
  </si>
  <si>
    <t>Оказание услуги по обслуживанию пульта централизованного наблюдения складского помещения</t>
  </si>
  <si>
    <t>Работы по изготовлению и монтажу цельностеклянных перегородок в административном здании</t>
  </si>
  <si>
    <t>125-1 У</t>
  </si>
  <si>
    <t>11</t>
  </si>
  <si>
    <t>С изменениями и дополнениями от 26.02.2015 г. № 108</t>
  </si>
  <si>
    <t>889-1 Т</t>
  </si>
  <si>
    <t>Резерпин, дигидралазин, гидрохлоротиазид</t>
  </si>
  <si>
    <t>таблетки</t>
  </si>
  <si>
    <t>Вода морская, вода очищенная</t>
  </si>
  <si>
    <t>спрей</t>
  </si>
  <si>
    <t>891-1 Т</t>
  </si>
  <si>
    <t>892-1 Т</t>
  </si>
  <si>
    <t>894-1 Т</t>
  </si>
  <si>
    <t>Желчь крупного рогатого скота сухой, чеснок сушеный, листья крапивы, уголь активированный</t>
  </si>
  <si>
    <t>895-1 Т</t>
  </si>
  <si>
    <t>Гидроокись аллюминия, гидроокись магния, сорбитол</t>
  </si>
  <si>
    <t>суспензия</t>
  </si>
  <si>
    <t>897-1 Т</t>
  </si>
  <si>
    <t>Ампициллин</t>
  </si>
  <si>
    <t>901-1 Т</t>
  </si>
  <si>
    <t>Прополиса настойка, Аскорбиновая кислота, Экстракт календулы густой</t>
  </si>
  <si>
    <t>902-1 Т</t>
  </si>
  <si>
    <t>Амилметакрезол, 2,4-дихлорбензиловый спирт</t>
  </si>
  <si>
    <t>921-1 Т</t>
  </si>
  <si>
    <t>923-1 Т</t>
  </si>
  <si>
    <t>раствор</t>
  </si>
  <si>
    <t>924-1 Т</t>
  </si>
  <si>
    <t>крем</t>
  </si>
  <si>
    <t>925-1 Т</t>
  </si>
  <si>
    <t>Этиловый эфир альфа-бромизовалериановой кислоты, фенобарбитал, масло мяты перечной</t>
  </si>
  <si>
    <t>926-1 Т</t>
  </si>
  <si>
    <t>Никетамид</t>
  </si>
  <si>
    <t>927-1 Т</t>
  </si>
  <si>
    <t>Масло полифитовое "кызыл-май"</t>
  </si>
  <si>
    <t>940-1 Т</t>
  </si>
  <si>
    <t>942-1 Т</t>
  </si>
  <si>
    <t>Оксиметазолин</t>
  </si>
  <si>
    <t>капли</t>
  </si>
  <si>
    <t>960-1 Т</t>
  </si>
  <si>
    <t>Хлоропирамин</t>
  </si>
  <si>
    <t>959-1 Т</t>
  </si>
  <si>
    <t>Сульфаниламид</t>
  </si>
  <si>
    <t>мазь</t>
  </si>
  <si>
    <t>958-1 Т</t>
  </si>
  <si>
    <t>956-1 Т</t>
  </si>
  <si>
    <t>Диосмектит</t>
  </si>
  <si>
    <t>порошок для приготовления раствора</t>
  </si>
  <si>
    <t>954-1 Т</t>
  </si>
  <si>
    <t>аэрозоль для ингаляций</t>
  </si>
  <si>
    <t>Натрия хлорид, калия хлорид, натрия цитрат, глюкоза безводная</t>
  </si>
  <si>
    <t>953-1 Т</t>
  </si>
  <si>
    <t>1944 Т</t>
  </si>
  <si>
    <t>29.10.20.00.00.00.20.38.1</t>
  </si>
  <si>
    <t>Автомобиль легковой</t>
  </si>
  <si>
    <t>класс внедорожники, полноразмерный, улучшенной  комплектации</t>
  </si>
  <si>
    <t>Внедорожник представительского класса, объем двигателя не менее 3.8 куб.см.габариты не менее 4881х1915х1810 мм. Полный электропакет, отделка салона кожа.Дополнительное оснащение внедорожника:сигнализация, комплект зимних шин, комплект резиновых ковриков в салон, резиновый коврик в багажник, огнетушитель, тонировка. цвет: черный.</t>
  </si>
  <si>
    <t>10-1 У</t>
  </si>
  <si>
    <t>961-1 Т</t>
  </si>
  <si>
    <t>21.20.11.00.00.00.25.15.2</t>
  </si>
  <si>
    <t>Тетрациклин</t>
  </si>
  <si>
    <t>мазь глазная</t>
  </si>
  <si>
    <t>3,4,16,17</t>
  </si>
  <si>
    <t>962-1 Т</t>
  </si>
  <si>
    <t>Тобрамицин</t>
  </si>
  <si>
    <t>капли глазные</t>
  </si>
  <si>
    <t>963-1 Т</t>
  </si>
  <si>
    <t>Панкреатин</t>
  </si>
  <si>
    <t>21.20.13.00.00.04.01.15.1</t>
  </si>
  <si>
    <t>3,4,5</t>
  </si>
  <si>
    <t>42 Р</t>
  </si>
  <si>
    <t>43.21.10.10.23.10.00</t>
  </si>
  <si>
    <t>Работы по монтажу системы автоматической пожарной сигнализации и порошкового пожаротушения</t>
  </si>
  <si>
    <t>установка автоматической пожарной сигнализации с выводом на пульт централизованного наблюдения в помещениях КПП и установка модульного пожаротушения в семи котельных помещениях на объектах Зерендинского филиала (ОК "Сункар" и ДО "Малиновый мыс")</t>
  </si>
  <si>
    <t>964-1 Т</t>
  </si>
  <si>
    <t>965-1 Т</t>
  </si>
  <si>
    <t>Нитрофурал</t>
  </si>
  <si>
    <t>Субстрат продуктов обмена Escherichia coli, Streptococcus faecalis, Lactobacillus helveticus</t>
  </si>
  <si>
    <t>967-1 Т</t>
  </si>
  <si>
    <t>969-1 Т</t>
  </si>
  <si>
    <t>970-1 Т</t>
  </si>
  <si>
    <t>порошок для приготовления раствора для инъекций</t>
  </si>
  <si>
    <t>973-1 Т</t>
  </si>
  <si>
    <t>Аминофиллин</t>
  </si>
  <si>
    <t>раствор для инъекций</t>
  </si>
  <si>
    <t>974-1 Т</t>
  </si>
  <si>
    <t>Ментола раствор в изовалерате</t>
  </si>
  <si>
    <t>913-1 Т</t>
  </si>
  <si>
    <t>914-1 Т</t>
  </si>
  <si>
    <t>Фенобарбитал, этилбромизолвалерат</t>
  </si>
  <si>
    <t>драже</t>
  </si>
  <si>
    <t>916-1 Т</t>
  </si>
  <si>
    <t>920-1 Т</t>
  </si>
  <si>
    <t>910-1 Т</t>
  </si>
  <si>
    <t>911-1 Т</t>
  </si>
  <si>
    <t>Ампициллина натриевая соль</t>
  </si>
  <si>
    <t>898-1 Т</t>
  </si>
  <si>
    <t>899-1 Т</t>
  </si>
  <si>
    <t>Метамизол натрия</t>
  </si>
  <si>
    <t>900-1 Т</t>
  </si>
  <si>
    <t>Метамизол</t>
  </si>
  <si>
    <t>21.20.13.00.00.03.06.95.1</t>
  </si>
  <si>
    <t>21.20.13.00.00.03.07.45.2</t>
  </si>
  <si>
    <t>21.20.11.00.00.00.12.36.1</t>
  </si>
  <si>
    <t>903-1 Т</t>
  </si>
  <si>
    <t>Парацетамол, хлорфенирамина малеат, кислота аскорбиновая</t>
  </si>
  <si>
    <t>21.20.13.00.00.03.12.60.1</t>
  </si>
  <si>
    <t>904-1 Т</t>
  </si>
  <si>
    <t>порошок</t>
  </si>
  <si>
    <t>905-1 Т</t>
  </si>
  <si>
    <t>Ацетилсалициловая кислота</t>
  </si>
  <si>
    <t>21.20.13.00.00.03.06.13.1</t>
  </si>
  <si>
    <t>893-1 Т</t>
  </si>
  <si>
    <t>Нафтизин, дифенгидрамина гидрохлорид</t>
  </si>
  <si>
    <t>896-1 Т</t>
  </si>
  <si>
    <t>Амброксол</t>
  </si>
  <si>
    <t>раствор для приема внутрь и ингаляций</t>
  </si>
  <si>
    <t>21.20.13.00.00.03.87.76.2</t>
  </si>
  <si>
    <t>Ментол, камфора, масло мятное, масло эвкалиптовое, масло гвоздичное, масло коричное</t>
  </si>
  <si>
    <t>бальзам</t>
  </si>
  <si>
    <t>907-1 Т</t>
  </si>
  <si>
    <t>908-1 Т</t>
  </si>
  <si>
    <t>Фузафунгин</t>
  </si>
  <si>
    <t>раствор под давлением для ингаляций через рот и нос</t>
  </si>
  <si>
    <t>21.10.54.00.00.00.06.45.1</t>
  </si>
  <si>
    <t>909-1 Т</t>
  </si>
  <si>
    <t>Сульфаметоксазол, триметоприм</t>
  </si>
  <si>
    <t>21.20.11.00.00.00.26.40.1</t>
  </si>
  <si>
    <t>161-1 У</t>
  </si>
  <si>
    <t>1945 Т</t>
  </si>
  <si>
    <t>масляный, к компрессору</t>
  </si>
  <si>
    <t>28.13.32.00.00.00.60.01.1</t>
  </si>
  <si>
    <t>1946 Т</t>
  </si>
  <si>
    <t>1947 Т</t>
  </si>
  <si>
    <t>Масло компрессорное</t>
  </si>
  <si>
    <t>Синтетическое, компрессорное, всесезонное.</t>
  </si>
  <si>
    <t>19.20.29.00.00.00.17.22.1</t>
  </si>
  <si>
    <t xml:space="preserve"> предпусковой 30 HX410-332-EE-10, 115В, 50 Гц, 120 Вт,  для чиллера Carrier 30HXC</t>
  </si>
  <si>
    <t xml:space="preserve">Синтетическое, компрессорное, всесезонное. Полностью синтетическое рефрижераторное масло на основе сложного эфира для новых, безвредных для окружающей среды хладагентов R134a, R404; полный диапазон вязкости ISO VG от 22 до 224, Плотность при 15°C 975 кг/м*3, Вязкость cСт 40°C-220, Вязкость cСт 100°C-19,3, Темпер. вспышки°C 235, Темпер. застывания °C -26, Темпер. помутнения °C (R12)-50, </t>
  </si>
  <si>
    <t>43 Р</t>
  </si>
  <si>
    <t>43.91.11.13.00.00.00</t>
  </si>
  <si>
    <t>Работы по монтажу кровли</t>
  </si>
  <si>
    <t>Комплекс работ по ремонту и монтажу кровли</t>
  </si>
  <si>
    <t>31-1 У</t>
  </si>
  <si>
    <t>январь, март-апрель</t>
  </si>
  <si>
    <t>1948 Т</t>
  </si>
  <si>
    <t>1949 Т</t>
  </si>
  <si>
    <t>1950 Т</t>
  </si>
  <si>
    <t>Перчатка</t>
  </si>
  <si>
    <t>для игры в бильярд</t>
  </si>
  <si>
    <t>32.40.42.00.00.10.12.60.1</t>
  </si>
  <si>
    <t>Ткань из шерсти</t>
  </si>
  <si>
    <t>Бильярдное сукно. Состав шерсть 100%</t>
  </si>
  <si>
    <t>13.20.12.00.00.40.10.10.1</t>
  </si>
  <si>
    <t>Жидкость для дым машины</t>
  </si>
  <si>
    <t>медленного рассеивания, 5л в канистре</t>
  </si>
  <si>
    <t>20.59.59.02.10.01.01.02.1</t>
  </si>
  <si>
    <t>Газ природный жидкий (сжиженный)</t>
  </si>
  <si>
    <t>Массовая доля сероводорода и меркаптановой серы, %, не более 0,005, Низшая теплота сгорания при Т= 0 0С (273 К) и Р= 0,101325 МПа, МДж/м 3 , (ккал/кг) 35,2 (11 500)</t>
  </si>
  <si>
    <t>16.10.10.15.10.10.10.04.1</t>
  </si>
  <si>
    <t>Дрова</t>
  </si>
  <si>
    <t>разделанные: береза, бук, ясень, ильм, вяз, дуб, лиственница, клен, граб</t>
  </si>
  <si>
    <t>Метр кубический</t>
  </si>
  <si>
    <t>1951 Т</t>
  </si>
  <si>
    <t>1952 Т</t>
  </si>
  <si>
    <t>06.20.10.00.00.00.10.10.1</t>
  </si>
  <si>
    <t>952-2 Т</t>
  </si>
  <si>
    <t>Ромашки цветки, календулы цветки, тысячелистника трава</t>
  </si>
  <si>
    <t>951-1 Т</t>
  </si>
  <si>
    <t>Преднизолон</t>
  </si>
  <si>
    <t>950-1 Т</t>
  </si>
  <si>
    <t>949-1 Т</t>
  </si>
  <si>
    <t>21.20.13.00.00.03.14.10.1</t>
  </si>
  <si>
    <t>948-1 Т</t>
  </si>
  <si>
    <t>947-1 Т</t>
  </si>
  <si>
    <t>аэрозоль</t>
  </si>
  <si>
    <t>946-1 Т</t>
  </si>
  <si>
    <t>945-1 Т</t>
  </si>
  <si>
    <t>Ибупрофен</t>
  </si>
  <si>
    <t>21.20.13.00.00.03.12.65.1</t>
  </si>
  <si>
    <t>944-1 Т</t>
  </si>
  <si>
    <t>Нафазолин</t>
  </si>
  <si>
    <t>943-1 Т</t>
  </si>
  <si>
    <t>Нимесулид</t>
  </si>
  <si>
    <t>гель</t>
  </si>
  <si>
    <t>Панкреатин, гемицеллюлоза, экстракт желчи</t>
  </si>
  <si>
    <t>21.20.13.00.00.03.28.33.1</t>
  </si>
  <si>
    <t>939-1 Т</t>
  </si>
  <si>
    <t>938-1 Т</t>
  </si>
  <si>
    <t>937-1 Т</t>
  </si>
  <si>
    <t>935-1 Т</t>
  </si>
  <si>
    <t>936-1 Т</t>
  </si>
  <si>
    <t>957-1 Т</t>
  </si>
  <si>
    <t>Этанол</t>
  </si>
  <si>
    <t>21.20.13.00.00.03.99.20.1</t>
  </si>
  <si>
    <t>968-1 Т</t>
  </si>
  <si>
    <t>Метоклопрамид</t>
  </si>
  <si>
    <t>21.20.13.00.00.03.32.83.1</t>
  </si>
  <si>
    <t>971-1 Т</t>
  </si>
  <si>
    <t>Ципрофлоксацин</t>
  </si>
  <si>
    <t>21.20.11.00.00.00.11.41.1</t>
  </si>
  <si>
    <t>933-2 Т</t>
  </si>
  <si>
    <t>Хлорамфеникол</t>
  </si>
  <si>
    <t>линимент</t>
  </si>
  <si>
    <t>932-1 Т</t>
  </si>
  <si>
    <t>Лебенин порошок</t>
  </si>
  <si>
    <t>капсулы</t>
  </si>
  <si>
    <t>21.20.13.00.00.03.66.46.1</t>
  </si>
  <si>
    <t>931-1 Т</t>
  </si>
  <si>
    <t>21.20.13.00.00.03.60.15.1</t>
  </si>
  <si>
    <t>930-1 Т</t>
  </si>
  <si>
    <t>21.20.11.00.00.00.28.10.1</t>
  </si>
  <si>
    <t>929-1 Т</t>
  </si>
  <si>
    <t>928-1 Т</t>
  </si>
  <si>
    <t>Левомицетин (хлорамфеникол), Метилурацил</t>
  </si>
  <si>
    <t>922-1 Т</t>
  </si>
  <si>
    <t>Лактулоза</t>
  </si>
  <si>
    <t>сироп</t>
  </si>
  <si>
    <t>21.20.13.00.00.03.33.07.2</t>
  </si>
  <si>
    <t>918-1 Т</t>
  </si>
  <si>
    <t>Дифенгидрамин</t>
  </si>
  <si>
    <t>21.20.13.00.00.03.56.34.1</t>
  </si>
  <si>
    <t>917-1 Т</t>
  </si>
  <si>
    <t>Диклофенак</t>
  </si>
  <si>
    <t>21.20.13.00.00.03.07.35.1</t>
  </si>
  <si>
    <t>976-1 Т</t>
  </si>
  <si>
    <t>суппозитории</t>
  </si>
  <si>
    <t>21.20.13.00.00.03.14.15.1</t>
  </si>
  <si>
    <t>975-1 Т</t>
  </si>
  <si>
    <t>21.20.13.00.00.03.14.20.1</t>
  </si>
  <si>
    <t>966-1 Т</t>
  </si>
  <si>
    <t>44 Р</t>
  </si>
  <si>
    <t>Работы по установке телекоммуникационного оборудования "под ключ"</t>
  </si>
  <si>
    <t>Комплекс работ по установке телекоммуникационного оборудования "под ключ"  ( в том числе поставка, монтаж, настройка оборудования и программного обеспечения, обучение и техническая поддержка)</t>
  </si>
  <si>
    <t>43.21.10.16.12.10.10</t>
  </si>
  <si>
    <t>Комплекс работ по установке оборудования передачи данных и зоны покрытия Wi-Fi</t>
  </si>
  <si>
    <t>с даты заключения договора по 31 мая 2015 г.</t>
  </si>
  <si>
    <t>тонкой очистки масла</t>
  </si>
  <si>
    <t>28.29.82.00.00.00.19.10.1</t>
  </si>
  <si>
    <t>масляный фильтр и о-образное кольцо 06NA660028S для компрессора Carrier 06NW2300S5NC.A00</t>
  </si>
  <si>
    <t>906-1 Т</t>
  </si>
  <si>
    <t>4,5,6</t>
  </si>
  <si>
    <t>1953 Т</t>
  </si>
  <si>
    <t>1954 Т</t>
  </si>
  <si>
    <t>Устройство индивидуальное спасательное</t>
  </si>
  <si>
    <t>стальной трос, для спасения человека с высоты, толщина троса 4 мм, нагрузка на трос 1340 кг</t>
  </si>
  <si>
    <t>32.99.11.20.20.40.10.01.1</t>
  </si>
  <si>
    <t>Турникет</t>
  </si>
  <si>
    <t>автоматический, с дистанционным управлением</t>
  </si>
  <si>
    <t>27.90.70.00.00.20.10.20.1</t>
  </si>
  <si>
    <t>Работы по гидроизоляции кровли ПВХ(поливинилхлорид) мембраной на 43 этаже административного здания "Изумрудный квартал", блок Б</t>
  </si>
  <si>
    <t>СТ РК 1910-2009, с установкой в административном здании "Изумрудный квартал", блок Б</t>
  </si>
  <si>
    <t>912-1 Т</t>
  </si>
  <si>
    <t>972-1 Т</t>
  </si>
  <si>
    <t>3,5,16,17</t>
  </si>
  <si>
    <t>двойной трипод турникет с планкой "антипаника" и контролером доступа с монтажом в административном здании "Изумрудный квартал", блок Б</t>
  </si>
  <si>
    <t>21.20.13.00.00.03.74.31.1</t>
  </si>
  <si>
    <t>Препарат для лечения педикулеза</t>
  </si>
  <si>
    <t>шампунь с содержанием сумитрина</t>
  </si>
  <si>
    <t>21.20.13.00.00.03.33.46.1</t>
  </si>
  <si>
    <t>21.20.13.00.00.03.33.38.1</t>
  </si>
  <si>
    <t>Препарат заживляющий</t>
  </si>
  <si>
    <t>21.20.13.00.00.03.32.72.1</t>
  </si>
  <si>
    <t>111-1 У</t>
  </si>
  <si>
    <t>112-1 У</t>
  </si>
  <si>
    <t>март</t>
  </si>
  <si>
    <t>С изменениями и дополнениями от 11.03.2015 г. № 128</t>
  </si>
  <si>
    <t>январь-февраль, март-апрель</t>
  </si>
  <si>
    <t>1955 Т</t>
  </si>
  <si>
    <t>1956 Т</t>
  </si>
  <si>
    <t>Радиостанция</t>
  </si>
  <si>
    <t>Портативная (носимая). Многоканальная. Цифровая.</t>
  </si>
  <si>
    <t>26.30.11.00.11.11.13.50.1</t>
  </si>
  <si>
    <t>Стационарная. Диапазон частот 450 - 470 МГц</t>
  </si>
  <si>
    <t>26.30.11.00.11.13.11.06.1</t>
  </si>
  <si>
    <t>136-174, 403-470 MHz, 16 каналов</t>
  </si>
  <si>
    <t>172 У</t>
  </si>
  <si>
    <t>17-1 У</t>
  </si>
  <si>
    <t>Услуги по аренде легковых автомобилей без водителя в г.Астана (автомобиль повышенной проходимости, бизнес класса - 3 ед., объем двигателя не менее 2700 куб.см, расчетный ежемесячный пробег - 3900 км, 6-дневная рабочая неделя)</t>
  </si>
  <si>
    <t>6,11,20,21</t>
  </si>
  <si>
    <t>19-1 У</t>
  </si>
  <si>
    <t>173 У</t>
  </si>
  <si>
    <t>Услуги по аренде микроавтобуса</t>
  </si>
  <si>
    <t>Аренда микроавтобуса</t>
  </si>
  <si>
    <t>49.39.31.50.10.00.00</t>
  </si>
  <si>
    <t>Услуги по аренде микроавтобусов с водителем в г. Астана (11-местный)</t>
  </si>
  <si>
    <t>174 У</t>
  </si>
  <si>
    <t>Услуги по комплексному обслуживанию здания</t>
  </si>
  <si>
    <t>81.10.10.05.00.00.00</t>
  </si>
  <si>
    <t>г.Актау</t>
  </si>
  <si>
    <t xml:space="preserve">Услуги по комплексному обслуживанию административного здания, расположенного в г.Актау, 14 мкр., зд.70 </t>
  </si>
  <si>
    <t>Услуги по аренде легковых автомобилей без водителя в г. Астана (легковой автомобиль бизнес класса - 1 ед.)</t>
  </si>
  <si>
    <t>Услуги по аренде легковых автомобилей с водителем в г. Астана (легковой автомобиль бизнес класса - 5 ед.)</t>
  </si>
  <si>
    <t>1954-1 Т</t>
  </si>
  <si>
    <t>1-1 У</t>
  </si>
  <si>
    <t>2-1 У</t>
  </si>
  <si>
    <t>3-1 У</t>
  </si>
  <si>
    <t>4-1 У</t>
  </si>
  <si>
    <t>январь, февраль</t>
  </si>
  <si>
    <t>41-1 У</t>
  </si>
  <si>
    <t>42-1 У</t>
  </si>
  <si>
    <t>46-1 У</t>
  </si>
  <si>
    <t>47-1 У</t>
  </si>
  <si>
    <t>48-1 У</t>
  </si>
  <si>
    <t>Услуги по оценке встроенного помещения 3А (площадь-34,4 кв.м., расположенного по адресу: г.Астана, ул. Бокейхана, д.4)</t>
  </si>
  <si>
    <t>175 У</t>
  </si>
  <si>
    <t xml:space="preserve">С изменениями и дополнениями от 20.03.2015 г. № 141 </t>
  </si>
  <si>
    <t>Приказ от 23.01.2015 г. № 40</t>
  </si>
  <si>
    <t>124-1 У</t>
  </si>
  <si>
    <t>январь-февраль,апрель</t>
  </si>
  <si>
    <t>11,20,21</t>
  </si>
  <si>
    <t>176 У</t>
  </si>
  <si>
    <t>74.90.12.30.10.00.00</t>
  </si>
  <si>
    <t>Услуги по оценке стоимости товарно-материальных ценностей</t>
  </si>
  <si>
    <t>Услуга по оценке товарно-материальных ценностей и основных средств гостиничного комплекса "Думан"</t>
  </si>
  <si>
    <t>45 Р</t>
  </si>
  <si>
    <t>43.22.12.50.01.00.00</t>
  </si>
  <si>
    <t>Работы по монтажу кондиционеров</t>
  </si>
  <si>
    <t>Комплекс работ по монтажу кондиционеров</t>
  </si>
  <si>
    <t>Работы по монтажу прецизионных кондиционеров в административном здании по пр.Республики, 32</t>
  </si>
  <si>
    <t>26.51.65.00.00.00.05.20.1</t>
  </si>
  <si>
    <t>Виброметр</t>
  </si>
  <si>
    <t>цифровой универсальный</t>
  </si>
  <si>
    <t>портативный многофункциональный прибор для проверки вибрации, который представляет поддающуюся количественному выражению информацию о подшипниках и по общему состоянию двигателей и другого вращающегося оборудования.</t>
  </si>
  <si>
    <t>26.51.41.00.00.00.11.01.1</t>
  </si>
  <si>
    <t>Трассоискатель</t>
  </si>
  <si>
    <t>кабелеискатель</t>
  </si>
  <si>
    <t>Диапазон частот 125 кГц, Максимальная глубина, м2,5,Точность измерения глубины,% 90, Рабочая температура 0…40°С при максимальной относительной влажности 80% (без конденсата) Питание 6 элементов по 1,5В , Габаритные размеры 190х85х50 мм.</t>
  </si>
  <si>
    <t>1957 Т</t>
  </si>
  <si>
    <t>28.22.14.00.00.10.10.10.1</t>
  </si>
  <si>
    <t>Кран гидравлический</t>
  </si>
  <si>
    <t>ручной, передвижной</t>
  </si>
  <si>
    <t>подъемник для двигателя</t>
  </si>
  <si>
    <t>1958 Т</t>
  </si>
  <si>
    <t>1959 Т</t>
  </si>
  <si>
    <t>213-1 Т</t>
  </si>
  <si>
    <t>февраль-март,апрель-май</t>
  </si>
  <si>
    <t>214-1 Т</t>
  </si>
  <si>
    <t>215-1 Т</t>
  </si>
  <si>
    <t>216-2 Т</t>
  </si>
  <si>
    <t>217-1 Т</t>
  </si>
  <si>
    <t>218-1 Т</t>
  </si>
  <si>
    <t>219-1 Т</t>
  </si>
  <si>
    <t>220-1 Т</t>
  </si>
  <si>
    <t>221-1 Т</t>
  </si>
  <si>
    <t>222-1 Т</t>
  </si>
  <si>
    <t>223-1 Т</t>
  </si>
  <si>
    <t>224-1 Т</t>
  </si>
  <si>
    <t>225-1 Т</t>
  </si>
  <si>
    <t>226-2 Т</t>
  </si>
  <si>
    <t>227-1 Т</t>
  </si>
  <si>
    <t>228-2 Т</t>
  </si>
  <si>
    <t>229-1 Т</t>
  </si>
  <si>
    <t>230-1 Т</t>
  </si>
  <si>
    <t>231-1 Т</t>
  </si>
  <si>
    <t>232-1 Т</t>
  </si>
  <si>
    <t>233-1 Т</t>
  </si>
  <si>
    <t>234-1 Т</t>
  </si>
  <si>
    <t>235-1 Т</t>
  </si>
  <si>
    <t>236-1 Т</t>
  </si>
  <si>
    <t>237-1 Т</t>
  </si>
  <si>
    <t>238-1 Т</t>
  </si>
  <si>
    <t>239-1 Т</t>
  </si>
  <si>
    <t>240-2 Т</t>
  </si>
  <si>
    <t>241-2 Т</t>
  </si>
  <si>
    <t>242-1 Т</t>
  </si>
  <si>
    <t>243-1 Т</t>
  </si>
  <si>
    <t>244-2 Т</t>
  </si>
  <si>
    <t>245-1 Т</t>
  </si>
  <si>
    <t>246-1 Т</t>
  </si>
  <si>
    <t>247-1 Т</t>
  </si>
  <si>
    <t>248-1 Т</t>
  </si>
  <si>
    <t>249-1 Т</t>
  </si>
  <si>
    <t>250-1 Т</t>
  </si>
  <si>
    <t>251-1 Т</t>
  </si>
  <si>
    <t>252-1 Т</t>
  </si>
  <si>
    <t>253-1 Т</t>
  </si>
  <si>
    <t>254-1 Т</t>
  </si>
  <si>
    <t>255-1 Т</t>
  </si>
  <si>
    <t>256-2 Т</t>
  </si>
  <si>
    <t>817-1 Т</t>
  </si>
  <si>
    <t>куртка и брюки. Куртка двуборнтная с застежкой на пукли, цвет белый. Ткань куртки 65% полиэфир, 35% хлопок. Брюки 50% вискоза,50% полиэфир.Брюки темного цвета(бордовые, синие, зеленые)</t>
  </si>
  <si>
    <t>819-1 Т</t>
  </si>
  <si>
    <t xml:space="preserve">застежка на петли и пуговицы, английский воротник, рукав 3/4 с манжетой,накладные карманы,пояс вокруг талии блузы,регулировка по талии брюк, на груди с левой стороны бейдж, с правой логотип с фирменным логотипом Заказчика ткань смесовая: хлопок 55%, полиэфир 45%., пл.120 гр/м2, . Удлиненный блузон и классические прямые брюки.
Цвет: Блузон  василькового цвета с  голубой отделкой. Брюки темно-синего цвета.
</t>
  </si>
  <si>
    <t xml:space="preserve">Цвет белый,рукав длинный,ткань смесовая,полиэфир 65%, 35% хлопок.Застежка на пуговицы </t>
  </si>
  <si>
    <t>820-1 Т</t>
  </si>
  <si>
    <t>821-1 Т</t>
  </si>
  <si>
    <t>Жилетка унисекс, с потайными карманами,на пуговицах,отложной воротник, ткань габардин бордового цвета</t>
  </si>
  <si>
    <t>822-1 Т</t>
  </si>
  <si>
    <t>Цвет белый,рукав длинный,приталенная,ткань смесовая,полиэфир 65%, 35% хлопок.Застежка пуговицы или молния</t>
  </si>
  <si>
    <t>823-1 Т</t>
  </si>
  <si>
    <t>высокая тулья, заложенная складками, вставка из трикотажноц сетки вверху колпака для дополнительного воздухообмена, застежка на липучке,Цвет белый, ткань верха смесовая 65% полиэфир,35% хлопок</t>
  </si>
  <si>
    <t>824-1 Т</t>
  </si>
  <si>
    <t>Косынка для посудомойщиц и кухонных рабочих. Ткань вискоза 50%, полиэфир 50%, темного цвета</t>
  </si>
  <si>
    <t>825-1 Т</t>
  </si>
  <si>
    <t>цвет белый,верх: натуральная кожа, подкладка подкладочная кожа, подошва ПХВ</t>
  </si>
  <si>
    <t>826-1 Т</t>
  </si>
  <si>
    <t>828-1 Т</t>
  </si>
  <si>
    <t>Курта и брюки.Куртка белая полуприлегающего силуэта с рельефами длиной ниже бедер.Брюки прямые контрастного цвета. Ткань габардин.</t>
  </si>
  <si>
    <t>829-1 Т</t>
  </si>
  <si>
    <t>прилегающий силуэт, универсальной длины.Застежка центральная на сквозные петли и пуговицы с бортиками.Спинка сзавязывающим хлястиком, накладные карманы прямоугольные, рукав втачные, одношовные, короткие, горловина с у-образным вырезом. Ткань панацея 160г/м2(35% вискоза,65% полиэстр)</t>
  </si>
  <si>
    <t>831-1 Т</t>
  </si>
  <si>
    <t>Костюм из куртки и брюк с накладными карманами.Кокетка и воротник отделаны кантом из ткани контрастного цвета.Ткань смесовая,ВО,полиэфир-65%,хлопок 35%,Цвет темно-синий с желтым.  С фирменным логотипом Заказчика, на груди с левой стороны бейдж</t>
  </si>
  <si>
    <t>832-1 Т</t>
  </si>
  <si>
    <t>833-1 Т</t>
  </si>
  <si>
    <t>834-1 Т</t>
  </si>
  <si>
    <t>835-1 Т</t>
  </si>
  <si>
    <t xml:space="preserve"> балетки для уборщиц, цвет бежевый,верх: натуральная кожа, подкладка подкладочная кожа, подошва ПХВ</t>
  </si>
  <si>
    <t>837-2 Т</t>
  </si>
  <si>
    <t>257-1 Т</t>
  </si>
  <si>
    <t>258-1 Т</t>
  </si>
  <si>
    <t>259-2 Т</t>
  </si>
  <si>
    <t>260-2 Т</t>
  </si>
  <si>
    <t>261-2 Т</t>
  </si>
  <si>
    <t>262-1 Т</t>
  </si>
  <si>
    <t>263-2 Т</t>
  </si>
  <si>
    <t>264-1 Т</t>
  </si>
  <si>
    <t>265-1 Т</t>
  </si>
  <si>
    <t>267-1 Т</t>
  </si>
  <si>
    <t>268-1 Т</t>
  </si>
  <si>
    <t>269-2 Т</t>
  </si>
  <si>
    <t>270-1 Т</t>
  </si>
  <si>
    <t>271-2 Т</t>
  </si>
  <si>
    <t>275-1 Т</t>
  </si>
  <si>
    <t>276-2 Т</t>
  </si>
  <si>
    <t>277-1 Т</t>
  </si>
  <si>
    <t>278-1 Т</t>
  </si>
  <si>
    <t>279-1 Т</t>
  </si>
  <si>
    <t>280-2 Т</t>
  </si>
  <si>
    <t>281-1 Т</t>
  </si>
  <si>
    <t>282-1 Т</t>
  </si>
  <si>
    <t>283-2 Т</t>
  </si>
  <si>
    <t>284-1 Т</t>
  </si>
  <si>
    <t>285-1 Т</t>
  </si>
  <si>
    <t>286-1 Т</t>
  </si>
  <si>
    <t>287-1 Т</t>
  </si>
  <si>
    <t>288-1 Т</t>
  </si>
  <si>
    <t>289-1 Т</t>
  </si>
  <si>
    <t>290-1 Т</t>
  </si>
  <si>
    <t>291-1 Т</t>
  </si>
  <si>
    <t>292-1 Т</t>
  </si>
  <si>
    <t>293-1 Т</t>
  </si>
  <si>
    <t>294-1 Т</t>
  </si>
  <si>
    <t>295-1 Т</t>
  </si>
  <si>
    <t>296-1 Т</t>
  </si>
  <si>
    <t>298-2 Т</t>
  </si>
  <si>
    <t>299-2 Т</t>
  </si>
  <si>
    <t>300-2 Т</t>
  </si>
  <si>
    <t>301-1 Т</t>
  </si>
  <si>
    <t>302-1 Т</t>
  </si>
  <si>
    <t>303-1 Т</t>
  </si>
  <si>
    <t>304-1 Т</t>
  </si>
  <si>
    <t>305-1 Т</t>
  </si>
  <si>
    <t>306-1 Т</t>
  </si>
  <si>
    <t>307-1 Т</t>
  </si>
  <si>
    <t>308-2 Т</t>
  </si>
  <si>
    <t>309-2 Т</t>
  </si>
  <si>
    <t>310-1 Т</t>
  </si>
  <si>
    <t>311-1 Т</t>
  </si>
  <si>
    <t>312-1 Т</t>
  </si>
  <si>
    <t>313-1 Т</t>
  </si>
  <si>
    <t>314-1 Т</t>
  </si>
  <si>
    <t>315-1 Т</t>
  </si>
  <si>
    <t>316-1 Т</t>
  </si>
  <si>
    <t>317-1 Т</t>
  </si>
  <si>
    <t>318-2 Т</t>
  </si>
  <si>
    <t>319-1 Т</t>
  </si>
  <si>
    <t>320-1 Т</t>
  </si>
  <si>
    <t>321-2 Т</t>
  </si>
  <si>
    <t>322-2 Т</t>
  </si>
  <si>
    <t>323-1 Т</t>
  </si>
  <si>
    <t>324-1 Т</t>
  </si>
  <si>
    <t>325-1 Т</t>
  </si>
  <si>
    <t>326-1 Т</t>
  </si>
  <si>
    <t>327-1 Т</t>
  </si>
  <si>
    <t>328-1 Т</t>
  </si>
  <si>
    <t>329-1 Т</t>
  </si>
  <si>
    <t>330-1 Т</t>
  </si>
  <si>
    <t>331-1 Т</t>
  </si>
  <si>
    <t>332-1 Т</t>
  </si>
  <si>
    <t>1933-1 Т</t>
  </si>
  <si>
    <t>1936-1 Т</t>
  </si>
  <si>
    <t>1937-1 Т</t>
  </si>
  <si>
    <t>75-1 У</t>
  </si>
  <si>
    <t>7</t>
  </si>
  <si>
    <t>77-1 У</t>
  </si>
  <si>
    <t>78-1 У</t>
  </si>
  <si>
    <t>177 У</t>
  </si>
  <si>
    <t>Услуги по комплексному обслуживанию административного здания, расположенного в г.Атырау, ул. З.Гумарова, д.94</t>
  </si>
  <si>
    <t>178 У</t>
  </si>
  <si>
    <t>Услуги по комплексному обслуживанию административного здания, расположенного в г. Атырау, ул. З.Гумарова, д.96</t>
  </si>
  <si>
    <t>179 У</t>
  </si>
  <si>
    <t>Услуги по комплексному обслуживанию административного здания, расположенного в г. Атырау, ул. Смагулова, 12</t>
  </si>
  <si>
    <t>838-1 Т</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</si>
  <si>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</si>
  <si>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839-2 Т</t>
  </si>
  <si>
    <t>844-1 Т</t>
  </si>
  <si>
    <t xml:space="preserve">с короткими рукавами, из хлопчатобумажной ткани 100% </t>
  </si>
  <si>
    <t xml:space="preserve">с длинными рукавами, из хлопчатобумажной ткани 100% </t>
  </si>
  <si>
    <t>845-1 Т</t>
  </si>
  <si>
    <t>846-1 Т</t>
  </si>
  <si>
    <t>трикотажная шапка, вязанная полушерстяная</t>
  </si>
  <si>
    <t>847-1 Т</t>
  </si>
  <si>
    <t>Кепки мужские, из льняных тканей</t>
  </si>
  <si>
    <t>856-1 Т</t>
  </si>
  <si>
    <t>860-1 Т</t>
  </si>
  <si>
    <t>Высокий верх из кожи, оснащенный вставками и сетчатыми надежно защитит от попадания воды и снега внутрь обуви</t>
  </si>
  <si>
    <t>861-1 Т</t>
  </si>
  <si>
    <t>862-1 Т</t>
  </si>
  <si>
    <t xml:space="preserve">Мужские полуботинки, полностью выполненные из плотной натуральной кожи с защитными пропитками (ВО, МБС). Широкая колодка, высокий подъем. Подкладка обуви обладает антибактериальными свойствами. Износостойкая двухслойная  подошва. </t>
  </si>
  <si>
    <t xml:space="preserve">Женские полуботинки, полностью выполненные из плотной натуральной кожи с защитными пропитками (ВО, МБС). Широкая колодка, высокий подъем. Подкладка обуви обладает антибактериальными свойствами. Износостойкая двухслойная  подошва. </t>
  </si>
  <si>
    <t>7,20,21</t>
  </si>
  <si>
    <t>156-1 У</t>
  </si>
  <si>
    <t>С изменениями и дополнениями от 03.04.2015 г. № 162</t>
  </si>
  <si>
    <t>1935-1 Т</t>
  </si>
  <si>
    <t>1934-1 Т</t>
  </si>
  <si>
    <t>11,18,20,21</t>
  </si>
  <si>
    <t>180 У</t>
  </si>
  <si>
    <t>74.90.21.10.00.00.00</t>
  </si>
  <si>
    <t>Услуги по предоставлению ценовых маркетинговых заключений</t>
  </si>
  <si>
    <t>услуги по предоставлению ценовых маркетинговых заключений</t>
  </si>
  <si>
    <t>с даты заключения договора до 31 декабря 2014 г., поставка по заявкам Заказчика</t>
  </si>
  <si>
    <t>14.12.11.00.00.70.10.50.1</t>
  </si>
  <si>
    <t>Для мясника грузчика</t>
  </si>
  <si>
    <t>1960 Т</t>
  </si>
  <si>
    <t>14.13.32.00.00.10.11.60.1</t>
  </si>
  <si>
    <t>Комплект женский</t>
  </si>
  <si>
    <t>Комплекты женские из искусственных нитей тканей. Состоит из двух или трех предметов одежды , ГОСТ 25295-2003</t>
  </si>
  <si>
    <t>Для посудомойки и кухрабочей</t>
  </si>
  <si>
    <t>1961 Т</t>
  </si>
  <si>
    <t>1962 Т</t>
  </si>
  <si>
    <t>1963 Т</t>
  </si>
  <si>
    <t>1964 Т</t>
  </si>
  <si>
    <t>Для защиты от производственных загрязнений. Комплект мужской из смесовой ткани (хлопчатобумажная пряжа 51%,полиэфир 49%). Состоит из куртки и брюк</t>
  </si>
  <si>
    <t>576-2 Т</t>
  </si>
  <si>
    <t>174-1 У</t>
  </si>
  <si>
    <t>1773-1 Т</t>
  </si>
  <si>
    <t>1774-1 Т</t>
  </si>
  <si>
    <t>1775-1 Т</t>
  </si>
  <si>
    <t>1776-1 Т</t>
  </si>
  <si>
    <t>1777-1 Т</t>
  </si>
  <si>
    <t>1778-1 Т</t>
  </si>
  <si>
    <t>1779-1 Т</t>
  </si>
  <si>
    <t>1780-1 Т</t>
  </si>
  <si>
    <t>1781-1 Т</t>
  </si>
  <si>
    <t>1782-1 Т</t>
  </si>
  <si>
    <t>1783-1 Т</t>
  </si>
  <si>
    <t>1784-1 Т</t>
  </si>
  <si>
    <t>1810-1 Т</t>
  </si>
  <si>
    <t>19-2 У</t>
  </si>
  <si>
    <t>Услуги по аренде легковых автомобилей с водителем в г. Астана (легковой автомобиль бизнес класса - 4 ед.)</t>
  </si>
  <si>
    <t>Услуги по аренде легковых автомобилей без водителя в г. Астана (легковой автомобиль бизнес класса - 3 ед.)</t>
  </si>
  <si>
    <t>Нитевидные макаронные изделия с различной формой сечения. Короткие, изготовленные из пшеничной муки  высшего сорта, включая с добавками</t>
  </si>
  <si>
    <t>Виноград свежий, отвечающий требованиям первого и второго класса (ГОСТ 25896-94), минимальная массовая концентрация сахаров не менее 12г/100см4</t>
  </si>
  <si>
    <t>Консистенция - однородная, жидкая,с легкой тягучестью. СТ РК 2069-2010. Без пищевых продуктов и пищевых добавок непитьевой.</t>
  </si>
  <si>
    <t>64-1 У</t>
  </si>
  <si>
    <t>66-1 У</t>
  </si>
  <si>
    <t>С изменениями и дополнениями от 08.04.2015 г. № 174</t>
  </si>
  <si>
    <t>37-1 Р</t>
  </si>
  <si>
    <t>38-1 Р</t>
  </si>
  <si>
    <t>28-1 Р</t>
  </si>
  <si>
    <t>29-1 Р</t>
  </si>
  <si>
    <t>573-1 Т</t>
  </si>
  <si>
    <t>44-1 Р</t>
  </si>
  <si>
    <t>11,14</t>
  </si>
  <si>
    <t>815-1 Т</t>
  </si>
  <si>
    <t>детская, хлопок- не менее 80%, с фирменным логотипом Заказчика, цвет: белый или красный.</t>
  </si>
  <si>
    <t>46 Р</t>
  </si>
  <si>
    <t>33.20.42.12.00.00.00</t>
  </si>
  <si>
    <t>Монтаж и установка оборудования профессионального электронного</t>
  </si>
  <si>
    <t>Монтаж/установка оборудования профессионального электронного</t>
  </si>
  <si>
    <t>Работы по установке профессионального электронного оборудования по фиксации и распознованию государственных номерных знаков  автомобилей в административном здании "Изумрудный квартал" блок Б</t>
  </si>
  <si>
    <t>47 Р</t>
  </si>
  <si>
    <t>95.29.14.10.00.00.00</t>
  </si>
  <si>
    <t>Ремонт спортивных товаров и палаток</t>
  </si>
  <si>
    <t>Ремонт спортивных товаров (за исключением спортивного оружия) и палаток</t>
  </si>
  <si>
    <t>Работы по текущему ремонту тренажеров, беговой дорожки в спорткомплексе  расположенном по пр.Кабанбай батыра, 19 блок А</t>
  </si>
  <si>
    <t xml:space="preserve">г.Астана, пр.Кабанбай батыра, 19, Блок А </t>
  </si>
  <si>
    <t>172-1 У</t>
  </si>
  <si>
    <t xml:space="preserve">Услуги по комплексному обслуживанию административного здания и прилегающей территории, расположенного в г.Актау, 14 мкр., зд.70 </t>
  </si>
  <si>
    <t>6,11</t>
  </si>
  <si>
    <t>177 -1У</t>
  </si>
  <si>
    <t>Услуги по комплексному обслуживанию административного здания и прилегающей территории, расположенного в г.Атырау, ул. З.Гумарова, д.94</t>
  </si>
  <si>
    <t>178-1 У</t>
  </si>
  <si>
    <t>Услуги по комплексному обслуживанию административного здания и прилегающей территории, расположенного в г. Атырау, ул. З.Гумарова, д.96</t>
  </si>
  <si>
    <t>179-1 У</t>
  </si>
  <si>
    <t>Услуги по комплексному обслуживанию административного здания и прилегающей территории, расположенного в г. Атырау, ул. Смагулова, 12</t>
  </si>
  <si>
    <t>45-1 Р</t>
  </si>
  <si>
    <t>Работы по монтажу прецизионного кондиционера в административном здании по пр.Республики, 32</t>
  </si>
  <si>
    <t>6</t>
  </si>
  <si>
    <t>140-1 У</t>
  </si>
  <si>
    <t>7,11</t>
  </si>
  <si>
    <t>142-1 У</t>
  </si>
  <si>
    <t>август-сентябрь</t>
  </si>
  <si>
    <t>8-2 Т</t>
  </si>
  <si>
    <t>11,19,20,21</t>
  </si>
  <si>
    <t>16-2 Т</t>
  </si>
  <si>
    <t>С изменениями и дополнениями от 16.04.2015 г. № 194</t>
  </si>
  <si>
    <t>23.31.10.01.03.01.01.15.1</t>
  </si>
  <si>
    <t>из керамического грамита, напольная, размер 600х600 мм</t>
  </si>
  <si>
    <t>средней жесткости, ГОСТ 6388-2003</t>
  </si>
  <si>
    <t>кристаллогидрат натриевой соли хлорамида пара-хлорбензолсульфокислоты и предназначенный для дезинфекции (антисептик), ГОСТ 14193-95</t>
  </si>
  <si>
    <t>верх - юфтевая или водостойкая кожа, для защиты от нефти, нефтепродуктов, кислот, щелочей, нетоксичной и взрывоопасной пыли, ГОСТ 12.4.137-2001</t>
  </si>
  <si>
    <t>Мидекамицин</t>
  </si>
  <si>
    <t>ГОСТ 2239-79, тип ламп (биспиральная аргоновая) Б235-245-60-1, мощность 60 Вт</t>
  </si>
  <si>
    <t>ГОСТ 2239-79, тип ламп (биспиральная криптоновая) БК230-240-60-1, мощность 60 Вт</t>
  </si>
  <si>
    <t>ГОСТ 2239-79, тип ламп (биспиральная аргоновая) Б105-115-40, мощность 40 Вт</t>
  </si>
  <si>
    <t>Комплект комбинированных ключей с трещеткой: 8, 9, 10, 11, 12, 13, 14, 15, 16, 17, 19, 22 мм. Переходник адаптер-вставка в ключ на 10 мм для квадрата 1/4". Переходник адаптер-вставка в ключ на 13 мм для квадрата 3/8". Переходник адаптер-вставка в ключ на 19 мм для квадрата 1/2".</t>
  </si>
  <si>
    <t>ГОСТ 24379.1-2012, тип 1, диаметр резьбы 12-48 мм</t>
  </si>
  <si>
    <t>марки Д 50Н, ГОСТ 18992-97</t>
  </si>
  <si>
    <t>ГОСТ 24045-2010, Для стендовых ограждений</t>
  </si>
  <si>
    <t>Клапан регулирующий односедельный, тип соединения - фланцевый проходной, сальниковый ГОСТ 12893-2005</t>
  </si>
  <si>
    <t>Сортовая, конструкционная сталь, ГОСТ 2879-2006</t>
  </si>
  <si>
    <t>подшипник качения шариковый радиальный однорядный со штампованным сепаратором наружным диаметром от 30 до 55 мм</t>
  </si>
  <si>
    <t>Смазка Циатим-203, внешний вид однородная мазь темно-коричневого или желто-коричневого цвета зернистость, температура каплепадения, °С, не ниже  160, пенетрация при 25 °С , мм•10-1 250-300, вязкость эффективная, Па•с (П )  при 50 °С и среднем градиенте ск</t>
  </si>
  <si>
    <t>III  – 6.3 – 2,0  ГОСТ 9356-75. С наружным диаметром 16. Газовый шланг для сварки и резки металлов класса III предназначен для подачи кислорода.</t>
  </si>
  <si>
    <t>прессованный, размер 2000х1500х6 мм, ГОСТ 18124-2012</t>
  </si>
  <si>
    <t>Труба полипропиленовая PN25 для отопления (армированная) диаметр в мм/толщина в мм/давление атм 20/3,4/25</t>
  </si>
  <si>
    <t>Массовая доля сероводорода и меркаптановой серы, %, не больше 0,013, Интенсивность запаха, баллов, не менее 3</t>
  </si>
  <si>
    <t>Варочная камера стальная, покрытая керамической эмалью. Емкость варочной камеры от 18 до 22 литров. Без гриля.</t>
  </si>
  <si>
    <t>Консистенция однородная, в меру густая. Вид глянцевитый. Цвет - белый.  С массовой долей жира от 15,0 % до 34,0 %. СТ РК 1064-2003</t>
  </si>
  <si>
    <t>12-2 Р</t>
  </si>
  <si>
    <t>Комплексные работы по разработке проектно-сметной документации с последующим проведением строительно-монтажных работ и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Д.Конаева, 8.</t>
  </si>
  <si>
    <t>13-1 Р</t>
  </si>
  <si>
    <t>48 Р</t>
  </si>
  <si>
    <t>43.21.10.10.30.00.00</t>
  </si>
  <si>
    <t>Работы по устройству системы видеонаблюдения</t>
  </si>
  <si>
    <t>Устройство системы видеонаблюдения на объекте</t>
  </si>
  <si>
    <t xml:space="preserve"> Работы по устройству сетей системы видеонаблюдения на объекте, расположенном по адресу: г.Астана, Административное здание "Изумрудный квартал", Блок Б</t>
  </si>
  <si>
    <t>106-1У</t>
  </si>
  <si>
    <t>7,11,20,21</t>
  </si>
  <si>
    <t>с даты заключения договора в течение 90 календарных дней</t>
  </si>
  <si>
    <t>1965 Т</t>
  </si>
  <si>
    <t>с даты заключения договора до 31 декабря 2015 г., поставка по заявкам Заказчика</t>
  </si>
  <si>
    <t>С изменениями и дополнениями от 24.04.2015 г. № 210</t>
  </si>
  <si>
    <t>1845-1 Т</t>
  </si>
  <si>
    <t>1846-1 Т</t>
  </si>
  <si>
    <t>1847-1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</si>
  <si>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</si>
  <si>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</si>
  <si>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</si>
  <si>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</si>
  <si>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</si>
  <si>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</si>
  <si>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</si>
  <si>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</si>
  <si>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</si>
  <si>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</si>
  <si>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</si>
  <si>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</si>
  <si>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</si>
  <si>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</si>
  <si>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</si>
  <si>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</si>
  <si>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12-3 Р</t>
  </si>
  <si>
    <t>97-1 У</t>
  </si>
  <si>
    <t>49 Р</t>
  </si>
  <si>
    <t>33.12.18.15.10.00.00</t>
  </si>
  <si>
    <t>Ремонт холодильного оборудования</t>
  </si>
  <si>
    <t xml:space="preserve"> Работы по ремонту холодильного оборудования со всеми комплектующими в административном здании, расположенном по адресу: г.Астана пр.Кабанбай батыра, 19, Блок А </t>
  </si>
  <si>
    <t>18-1 Р</t>
  </si>
  <si>
    <t>19-1 Р</t>
  </si>
  <si>
    <t>1966 Т</t>
  </si>
  <si>
    <t>22.23.14.00.00.60.30.11.1</t>
  </si>
  <si>
    <t>Жалюзи</t>
  </si>
  <si>
    <t>из поливинилхлорида</t>
  </si>
  <si>
    <t>авансовый платеж - 30%, оставшаяся часть по факту выполнения работ</t>
  </si>
  <si>
    <t>11,14,20,21</t>
  </si>
  <si>
    <t>163-1 У</t>
  </si>
  <si>
    <t>С изменениями и дополнениями от 05.05.2015 г. № 222</t>
  </si>
  <si>
    <t>1315-1 Т</t>
  </si>
  <si>
    <t>1316-1Т</t>
  </si>
  <si>
    <t>1317-1 Т</t>
  </si>
  <si>
    <t>1318-1 Т</t>
  </si>
  <si>
    <t>1319-1 Т</t>
  </si>
  <si>
    <t>1320-1 Т</t>
  </si>
  <si>
    <t>7,11,18,20,21</t>
  </si>
  <si>
    <t>1321-1 Т</t>
  </si>
  <si>
    <t>1322-1 Т</t>
  </si>
  <si>
    <t>1323-1 Т</t>
  </si>
  <si>
    <t>1324-1 Т</t>
  </si>
  <si>
    <t>1325-1 Т</t>
  </si>
  <si>
    <t>1326-1 Т</t>
  </si>
  <si>
    <t>1327-1 Т</t>
  </si>
  <si>
    <t>1328-1 Т</t>
  </si>
  <si>
    <t>1329-1 Т</t>
  </si>
  <si>
    <t>1330-1 Т</t>
  </si>
  <si>
    <t>1331-1 Т</t>
  </si>
  <si>
    <t>1332-1 Т</t>
  </si>
  <si>
    <t>1333-1 Т</t>
  </si>
  <si>
    <t>1334-1 Т</t>
  </si>
  <si>
    <t>1337-1 Т</t>
  </si>
  <si>
    <t>1338-1 Т</t>
  </si>
  <si>
    <t>1339-1 Т</t>
  </si>
  <si>
    <t>1340-2 Т</t>
  </si>
  <si>
    <t>1341-2 Т</t>
  </si>
  <si>
    <t>1353-1 Т</t>
  </si>
  <si>
    <t>1354-1 Т</t>
  </si>
  <si>
    <t>1355-1 Т</t>
  </si>
  <si>
    <t>1356-1 Т</t>
  </si>
  <si>
    <t>1373-2 Т</t>
  </si>
  <si>
    <t>1374-1 Т</t>
  </si>
  <si>
    <t>1385-1 Т</t>
  </si>
  <si>
    <t>1386-1 Т</t>
  </si>
  <si>
    <t>1387-1 Т</t>
  </si>
  <si>
    <t>1388-1 Т</t>
  </si>
  <si>
    <t>1389-1 Т</t>
  </si>
  <si>
    <t>1390-2 Т</t>
  </si>
  <si>
    <t>1391-1 Т</t>
  </si>
  <si>
    <t>1392-1 Т</t>
  </si>
  <si>
    <t>1393-1 Т</t>
  </si>
  <si>
    <t>1394-1 Т</t>
  </si>
  <si>
    <t>1395-1 Т</t>
  </si>
  <si>
    <t>1396-1 Т</t>
  </si>
  <si>
    <t>1397-1 Т</t>
  </si>
  <si>
    <t>1398-1 Т</t>
  </si>
  <si>
    <t>1399-1 Т</t>
  </si>
  <si>
    <t>1400-2 Т</t>
  </si>
  <si>
    <t>1401-1 Т</t>
  </si>
  <si>
    <t>1403-1 Т</t>
  </si>
  <si>
    <t>1402-1 Т</t>
  </si>
  <si>
    <t>1404-2Т</t>
  </si>
  <si>
    <t>1405-1 Т</t>
  </si>
  <si>
    <t>1406-1 Т</t>
  </si>
  <si>
    <t>1407-2 Т</t>
  </si>
  <si>
    <t>1408-1 Т</t>
  </si>
  <si>
    <t>1409-1 Т</t>
  </si>
  <si>
    <t>1410-1 Т</t>
  </si>
  <si>
    <t>1411-1 Т</t>
  </si>
  <si>
    <t>1412-2 Т</t>
  </si>
  <si>
    <t>1413-1 Т</t>
  </si>
  <si>
    <t>1414-1 Т</t>
  </si>
  <si>
    <t>1415-2 Т</t>
  </si>
  <si>
    <t>1416-1 Т</t>
  </si>
  <si>
    <t>1417-1 Т</t>
  </si>
  <si>
    <t>1418-1 Т</t>
  </si>
  <si>
    <t>1419-1 Т</t>
  </si>
  <si>
    <t>1420-1 Т</t>
  </si>
  <si>
    <t>1421-1 Т</t>
  </si>
  <si>
    <t>1422-1 Т</t>
  </si>
  <si>
    <t>1423-1 Т</t>
  </si>
  <si>
    <t>1424-2 Т</t>
  </si>
  <si>
    <t>1425-1 Т</t>
  </si>
  <si>
    <t>1428-1 Т</t>
  </si>
  <si>
    <t>1429-1 Т</t>
  </si>
  <si>
    <t>1430-1 Т</t>
  </si>
  <si>
    <t>1432-2 Т</t>
  </si>
  <si>
    <t>1431-1 Т</t>
  </si>
  <si>
    <t>1433-1 Т</t>
  </si>
  <si>
    <t>1434-1 Т</t>
  </si>
  <si>
    <t>1435-1 Т</t>
  </si>
  <si>
    <t>1437-1 Т</t>
  </si>
  <si>
    <t>1438-1 Т</t>
  </si>
  <si>
    <t>1440-1 Т</t>
  </si>
  <si>
    <t>1441-1 Т</t>
  </si>
  <si>
    <t>1442-2 Т</t>
  </si>
  <si>
    <t>1443-1 Т</t>
  </si>
  <si>
    <t>1444-1 Т</t>
  </si>
  <si>
    <t>1445-1 Т</t>
  </si>
  <si>
    <t>1446-1 Т</t>
  </si>
  <si>
    <t>1448-1 Т</t>
  </si>
  <si>
    <t>1449-1 Т</t>
  </si>
  <si>
    <t>1450-1 Т</t>
  </si>
  <si>
    <t>1451-1 Т</t>
  </si>
  <si>
    <t>1452-1 Т</t>
  </si>
  <si>
    <t>1453-1 Т</t>
  </si>
  <si>
    <t>14541 Т</t>
  </si>
  <si>
    <t>1456-1 Т</t>
  </si>
  <si>
    <t>1457-1 Т</t>
  </si>
  <si>
    <t>1458-1 Т</t>
  </si>
  <si>
    <t>1459-1 Т</t>
  </si>
  <si>
    <t>1460-1 Т</t>
  </si>
  <si>
    <t>1461-1 Т</t>
  </si>
  <si>
    <t>1462-1 Т</t>
  </si>
  <si>
    <t>1464-1 Т</t>
  </si>
  <si>
    <t>1465-1 Т</t>
  </si>
  <si>
    <t>1466-1 Т</t>
  </si>
  <si>
    <t>1467-1 Т</t>
  </si>
  <si>
    <t>1468-1 Т</t>
  </si>
  <si>
    <t>1469-1 Т</t>
  </si>
  <si>
    <t>1470-1 Т</t>
  </si>
  <si>
    <t>1471-1 Т</t>
  </si>
  <si>
    <t>1472-1 Т</t>
  </si>
  <si>
    <t>1473-1 Т</t>
  </si>
  <si>
    <t>1474-2 Т</t>
  </si>
  <si>
    <t>1475-1 Т</t>
  </si>
  <si>
    <t>1476-2 Т</t>
  </si>
  <si>
    <t>1477-1 Т</t>
  </si>
  <si>
    <t>1478-2 Т</t>
  </si>
  <si>
    <t>1479-2 Т</t>
  </si>
  <si>
    <t>1480-1 Т</t>
  </si>
  <si>
    <t>1481-1 Т</t>
  </si>
  <si>
    <t>1482-1 Т</t>
  </si>
  <si>
    <t>1483-1 Т</t>
  </si>
  <si>
    <t>1484-1 Т</t>
  </si>
  <si>
    <t>1485-1 Т</t>
  </si>
  <si>
    <t>1486-1 Т</t>
  </si>
  <si>
    <t>1487-1 Т</t>
  </si>
  <si>
    <t>1488-2 Т</t>
  </si>
  <si>
    <t>1489-1 Т</t>
  </si>
  <si>
    <t>14901 Т</t>
  </si>
  <si>
    <t>1491-1 Т</t>
  </si>
  <si>
    <t>1492-1 Т</t>
  </si>
  <si>
    <t>1493-1 Т</t>
  </si>
  <si>
    <t>1494-1 Т</t>
  </si>
  <si>
    <t>1495-1 Т</t>
  </si>
  <si>
    <t>1496-1 Т</t>
  </si>
  <si>
    <t>1497-1 Т</t>
  </si>
  <si>
    <t>1498-1 Т</t>
  </si>
  <si>
    <t>1499-1 Т</t>
  </si>
  <si>
    <t>1500-1 Т</t>
  </si>
  <si>
    <t>1501-1 Т</t>
  </si>
  <si>
    <t>1502-1 Т</t>
  </si>
  <si>
    <t>1503-1 Т</t>
  </si>
  <si>
    <t>1504-2 Т</t>
  </si>
  <si>
    <t>1505-2 Т</t>
  </si>
  <si>
    <t>1506-1 Т</t>
  </si>
  <si>
    <t>1507-2 Т</t>
  </si>
  <si>
    <t>1508-1 Т</t>
  </si>
  <si>
    <t>1509-2 Т</t>
  </si>
  <si>
    <t>1510-1 Т</t>
  </si>
  <si>
    <t>1511-1 Т</t>
  </si>
  <si>
    <t>1512-2 Т</t>
  </si>
  <si>
    <t>1513-1 Т</t>
  </si>
  <si>
    <t>1514-1 Т</t>
  </si>
  <si>
    <t>1515-2 Т</t>
  </si>
  <si>
    <t>1516-2 Т</t>
  </si>
  <si>
    <t>1517-1 Т</t>
  </si>
  <si>
    <t>1518-1 Т</t>
  </si>
  <si>
    <t>1519-1 Т</t>
  </si>
  <si>
    <t>1520-1 Т</t>
  </si>
  <si>
    <t>1521-1 Т</t>
  </si>
  <si>
    <t>1522-1 Т</t>
  </si>
  <si>
    <t>1523-1 Т</t>
  </si>
  <si>
    <t>1524-1 Т</t>
  </si>
  <si>
    <t>1525-1 Т</t>
  </si>
  <si>
    <t>1526-1 Т</t>
  </si>
  <si>
    <t>1527-1 Т</t>
  </si>
  <si>
    <t>1528-1 Т</t>
  </si>
  <si>
    <t>1529-1 Т</t>
  </si>
  <si>
    <t>1530-1 Т</t>
  </si>
  <si>
    <t>1531-2 Т</t>
  </si>
  <si>
    <t>1532-1 Т</t>
  </si>
  <si>
    <t>1533-2 Т</t>
  </si>
  <si>
    <t>1534-1 Т</t>
  </si>
  <si>
    <t>1535-1 Т</t>
  </si>
  <si>
    <t>1536-2 Т</t>
  </si>
  <si>
    <t>1537-2 Т</t>
  </si>
  <si>
    <t>1538-1 Т</t>
  </si>
  <si>
    <t>1539-2 Т</t>
  </si>
  <si>
    <t>1553-1 Т</t>
  </si>
  <si>
    <t>1554-2 Т</t>
  </si>
  <si>
    <t>1555-1 Т</t>
  </si>
  <si>
    <t>1556-1 Т</t>
  </si>
  <si>
    <t>1557-1 Т</t>
  </si>
  <si>
    <t>1558-2 Т</t>
  </si>
  <si>
    <t>1559-1 Т</t>
  </si>
  <si>
    <t>1560-2 Т</t>
  </si>
  <si>
    <t>1561-2 Т</t>
  </si>
  <si>
    <t>1562-1 Т</t>
  </si>
  <si>
    <t>1563-1 Т</t>
  </si>
  <si>
    <t>1564-2 Т</t>
  </si>
  <si>
    <t>1565-1 Т</t>
  </si>
  <si>
    <t>1566-2 Т</t>
  </si>
  <si>
    <t>1567-2 Т</t>
  </si>
  <si>
    <t>1569-2 Т</t>
  </si>
  <si>
    <t>1570-2 Т</t>
  </si>
  <si>
    <t>1571-2 Т</t>
  </si>
  <si>
    <t>1572-2 Т</t>
  </si>
  <si>
    <t>1573-1 Т</t>
  </si>
  <si>
    <t>1574-1 Т</t>
  </si>
  <si>
    <t>1575-2 Т</t>
  </si>
  <si>
    <t>1576-1 Т</t>
  </si>
  <si>
    <t>1577-2 Т</t>
  </si>
  <si>
    <t>1578-1 Т</t>
  </si>
  <si>
    <t>1579-2 Т</t>
  </si>
  <si>
    <t>1580-2 Т</t>
  </si>
  <si>
    <t>1581-2 Т</t>
  </si>
  <si>
    <t>1582-2 Т</t>
  </si>
  <si>
    <t>1583-2 Т</t>
  </si>
  <si>
    <t>1584-2 Т</t>
  </si>
  <si>
    <t>1585-2 Т</t>
  </si>
  <si>
    <t>1586-2 Т</t>
  </si>
  <si>
    <t>1587-2 Т</t>
  </si>
  <si>
    <t>1588-1 Т</t>
  </si>
  <si>
    <t>1589-2 Т</t>
  </si>
  <si>
    <t>1590-2 Т</t>
  </si>
  <si>
    <t>1591-2 Т</t>
  </si>
  <si>
    <t>1592-2 Т</t>
  </si>
  <si>
    <t>1593-2 Т</t>
  </si>
  <si>
    <t>1594-2 Т</t>
  </si>
  <si>
    <t>1595-2 Т</t>
  </si>
  <si>
    <t>1597-1 Т</t>
  </si>
  <si>
    <t>1598-1 Т</t>
  </si>
  <si>
    <t>1599-1 Т</t>
  </si>
  <si>
    <t>1600-1 Т</t>
  </si>
  <si>
    <t>1601-1 Т</t>
  </si>
  <si>
    <t>1602-2 Т</t>
  </si>
  <si>
    <t>1603-1 Т</t>
  </si>
  <si>
    <t>1605-1 Т</t>
  </si>
  <si>
    <t>1606-1 Т</t>
  </si>
  <si>
    <t>1608-2 Т</t>
  </si>
  <si>
    <t>1609-1 Т</t>
  </si>
  <si>
    <t>1610-1 Т</t>
  </si>
  <si>
    <t>1611-1 Т</t>
  </si>
  <si>
    <t>1612-1 Т</t>
  </si>
  <si>
    <t>1613-1 Т</t>
  </si>
  <si>
    <t>1614-2 Т</t>
  </si>
  <si>
    <t>1615-2 Т</t>
  </si>
  <si>
    <t>1619-2 Т</t>
  </si>
  <si>
    <t>1620-1 Т</t>
  </si>
  <si>
    <t>1621-1 Т</t>
  </si>
  <si>
    <t>1622-1 Т</t>
  </si>
  <si>
    <t>1623-1 Т</t>
  </si>
  <si>
    <t>1624-1 Т</t>
  </si>
  <si>
    <t>1625-1 Т</t>
  </si>
  <si>
    <t>1626-1 Т</t>
  </si>
  <si>
    <t>1627-1 Т</t>
  </si>
  <si>
    <t>1628-1 Т</t>
  </si>
  <si>
    <t>1629-1 Т</t>
  </si>
  <si>
    <t>1631-1 Т</t>
  </si>
  <si>
    <t>1632-1 Т</t>
  </si>
  <si>
    <t>1633-1 Т</t>
  </si>
  <si>
    <t>1635-1 Т</t>
  </si>
  <si>
    <t>1636-1 Т</t>
  </si>
  <si>
    <t>1637-1 Т</t>
  </si>
  <si>
    <t>1638-1 Т</t>
  </si>
  <si>
    <t>1639-1 Т</t>
  </si>
  <si>
    <t>1640-1 Т</t>
  </si>
  <si>
    <t>1641-1 Т</t>
  </si>
  <si>
    <t>1643-1 Т</t>
  </si>
  <si>
    <t>1642-1 Т</t>
  </si>
  <si>
    <t>1644-1 Т</t>
  </si>
  <si>
    <t>1645-1 Т</t>
  </si>
  <si>
    <t>1646-1 Т</t>
  </si>
  <si>
    <t>1647-1 Т</t>
  </si>
  <si>
    <t>1648-1 Т</t>
  </si>
  <si>
    <t>1649-2 Т</t>
  </si>
  <si>
    <t>1650-2 Т</t>
  </si>
  <si>
    <t>1651-2 Т</t>
  </si>
  <si>
    <t>1652-2 Т</t>
  </si>
  <si>
    <t>1653-2 Т</t>
  </si>
  <si>
    <t>1654-2 Т</t>
  </si>
  <si>
    <t>1655-1 Т</t>
  </si>
  <si>
    <t>1656-1 Т</t>
  </si>
  <si>
    <t>1657-1 Т</t>
  </si>
  <si>
    <t>1658-2 Т</t>
  </si>
  <si>
    <t>1659-2 Т</t>
  </si>
  <si>
    <t>1660-2 Т</t>
  </si>
  <si>
    <t>1661-2 Т</t>
  </si>
  <si>
    <t>1662-2 Т</t>
  </si>
  <si>
    <t>1663-2 Т</t>
  </si>
  <si>
    <t>1664-2 Т</t>
  </si>
  <si>
    <t>1665-1 Т</t>
  </si>
  <si>
    <t>1666-1 Т</t>
  </si>
  <si>
    <t>1667-2 Т</t>
  </si>
  <si>
    <t>1668-2 Т</t>
  </si>
  <si>
    <t>1669-2 Т</t>
  </si>
  <si>
    <t>1670-2 Т</t>
  </si>
  <si>
    <t>1671-1 Т</t>
  </si>
  <si>
    <t>1672-1 Т</t>
  </si>
  <si>
    <t>1673-2 Т</t>
  </si>
  <si>
    <t>1674-1 Т</t>
  </si>
  <si>
    <t>1675-2 Т</t>
  </si>
  <si>
    <t>1676-2 Т</t>
  </si>
  <si>
    <t>1677-2 Т</t>
  </si>
  <si>
    <t>1678-1 Т</t>
  </si>
  <si>
    <t>1679-2 Т</t>
  </si>
  <si>
    <t>1680-2 Т</t>
  </si>
  <si>
    <t>1681-1 Т</t>
  </si>
  <si>
    <t>1682-2 Т</t>
  </si>
  <si>
    <t>1683-2 Т</t>
  </si>
  <si>
    <t>1684-2 Т</t>
  </si>
  <si>
    <t>1685-2 Т</t>
  </si>
  <si>
    <t>1686-2 Т</t>
  </si>
  <si>
    <t>1688-2 Т</t>
  </si>
  <si>
    <t>1687-1 Т</t>
  </si>
  <si>
    <t>1689-2 Т</t>
  </si>
  <si>
    <t>1690-2 Т</t>
  </si>
  <si>
    <t>1691-1 Т</t>
  </si>
  <si>
    <t>1692-2 Т</t>
  </si>
  <si>
    <t>1693-2 Т</t>
  </si>
  <si>
    <t>1694-2 Т</t>
  </si>
  <si>
    <t>1695-1 Т</t>
  </si>
  <si>
    <t>1696-1 Т</t>
  </si>
  <si>
    <t>1697-1 Т</t>
  </si>
  <si>
    <t>1698-1 Т</t>
  </si>
  <si>
    <t>1699-2 Т</t>
  </si>
  <si>
    <t>1700-1 Т</t>
  </si>
  <si>
    <t>1701-2 Т</t>
  </si>
  <si>
    <t>1702-2 Т</t>
  </si>
  <si>
    <t>1703-1 Т</t>
  </si>
  <si>
    <t>1704-1 Т</t>
  </si>
  <si>
    <t>1705-2 Т</t>
  </si>
  <si>
    <t>1706-2 Т</t>
  </si>
  <si>
    <t>1707-2 Т</t>
  </si>
  <si>
    <t>1708-2 Т</t>
  </si>
  <si>
    <t>1709-2 Т</t>
  </si>
  <si>
    <t>1710-2 Т</t>
  </si>
  <si>
    <t>1711-1 Т</t>
  </si>
  <si>
    <t>1712-2 Т</t>
  </si>
  <si>
    <t>1713-1 Т</t>
  </si>
  <si>
    <t>1714-2 Т</t>
  </si>
  <si>
    <t>1715-2 Т</t>
  </si>
  <si>
    <t>1716-1 Т</t>
  </si>
  <si>
    <t>1717-1 Т</t>
  </si>
  <si>
    <t>1718-1 Т</t>
  </si>
  <si>
    <t>1719-1 Т</t>
  </si>
  <si>
    <t>1720-1 Т</t>
  </si>
  <si>
    <t>1721-1 Т</t>
  </si>
  <si>
    <t>1722-1 Т</t>
  </si>
  <si>
    <t>1723-1 Т</t>
  </si>
  <si>
    <t>1724-1 Т</t>
  </si>
  <si>
    <t>1725-1 Т</t>
  </si>
  <si>
    <t>1727-1 Т</t>
  </si>
  <si>
    <t>1728-1 Т</t>
  </si>
  <si>
    <t>1729-1 Т</t>
  </si>
  <si>
    <t>1730-1 Т</t>
  </si>
  <si>
    <t>1731-1 Т</t>
  </si>
  <si>
    <t>1733-1 Т</t>
  </si>
  <si>
    <t>1734-1 Т</t>
  </si>
  <si>
    <t>1736-1 Т</t>
  </si>
  <si>
    <t>1738-1 Т</t>
  </si>
  <si>
    <t>1740-1 Т</t>
  </si>
  <si>
    <t>1742-1 Т</t>
  </si>
  <si>
    <t>1744-1 Т</t>
  </si>
  <si>
    <t>1745-1 Т</t>
  </si>
  <si>
    <t>1746-1 Т</t>
  </si>
  <si>
    <t>1747-1 Т</t>
  </si>
  <si>
    <t>1748-1 Т</t>
  </si>
  <si>
    <t>1749-1 Т</t>
  </si>
  <si>
    <t>1750-1 Т</t>
  </si>
  <si>
    <t>1751-1 Т</t>
  </si>
  <si>
    <t>1752-1 Т</t>
  </si>
  <si>
    <t>1753-1 Т</t>
  </si>
  <si>
    <t>1754-1 Т</t>
  </si>
  <si>
    <t>1755-1 Т</t>
  </si>
  <si>
    <t>1756-1 Т</t>
  </si>
  <si>
    <t>1757-1 Т</t>
  </si>
  <si>
    <t>1758-1 Т</t>
  </si>
  <si>
    <t>1760-1 Т</t>
  </si>
  <si>
    <t>1759-1 Т</t>
  </si>
  <si>
    <t>1761-1 Т</t>
  </si>
  <si>
    <t>1762-1 Т</t>
  </si>
  <si>
    <t>1763-1 Т</t>
  </si>
  <si>
    <t>1764-1 Т</t>
  </si>
  <si>
    <t>1765-1 Т</t>
  </si>
  <si>
    <t>1766-1 Т</t>
  </si>
  <si>
    <t>1767-1 Т</t>
  </si>
  <si>
    <t>1768-1 Т</t>
  </si>
  <si>
    <t>1769-1 Т</t>
  </si>
  <si>
    <t>1770-1 Т</t>
  </si>
  <si>
    <t>1771-1 Т</t>
  </si>
  <si>
    <t>1772-1 Т</t>
  </si>
  <si>
    <t>1811-1 Т</t>
  </si>
  <si>
    <t>1812-2 Т</t>
  </si>
  <si>
    <t>1813-1 Т</t>
  </si>
  <si>
    <t>1814-1 Т</t>
  </si>
  <si>
    <t>1815-1 Т</t>
  </si>
  <si>
    <t>1816-1 Т</t>
  </si>
  <si>
    <t>1817-2 Т</t>
  </si>
  <si>
    <t>1819-2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</si>
  <si>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</si>
  <si>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</si>
  <si>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</si>
  <si>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</si>
  <si>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</si>
  <si>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</si>
  <si>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</si>
  <si>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</si>
  <si>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</si>
  <si>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</si>
  <si>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</si>
  <si>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</si>
  <si>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</si>
  <si>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</si>
  <si>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</si>
  <si>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</si>
  <si>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</si>
  <si>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</si>
  <si>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</si>
  <si>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</si>
  <si>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</si>
  <si>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1908-1 Т</t>
  </si>
  <si>
    <t>1909-1 Т</t>
  </si>
  <si>
    <t>1910-1 Т</t>
  </si>
  <si>
    <t>1911-1 Т</t>
  </si>
  <si>
    <t>1912-1 Т</t>
  </si>
  <si>
    <t>1913-1 Т</t>
  </si>
  <si>
    <t>1914-1 Т</t>
  </si>
  <si>
    <t>1915-1 Т</t>
  </si>
  <si>
    <t>1916-1 Т</t>
  </si>
  <si>
    <t>1917-1 Т</t>
  </si>
  <si>
    <t>1918-1 Т</t>
  </si>
  <si>
    <t>1919-1 Т</t>
  </si>
  <si>
    <t>1920-1 Т</t>
  </si>
  <si>
    <t>1921-1 Т</t>
  </si>
  <si>
    <t>1922-1 Т</t>
  </si>
  <si>
    <t>1923-1 Т</t>
  </si>
  <si>
    <t>1924-1 Т</t>
  </si>
  <si>
    <t>1925-1 Т</t>
  </si>
  <si>
    <t>1926-1 Т</t>
  </si>
  <si>
    <t>1927-1 Т</t>
  </si>
  <si>
    <t>1928-1 Т</t>
  </si>
  <si>
    <t>1929-1 Т</t>
  </si>
  <si>
    <t>1930-1 Т</t>
  </si>
  <si>
    <t>1931-1 Т</t>
  </si>
  <si>
    <t>1932-1 Т</t>
  </si>
  <si>
    <t>1604 Т</t>
  </si>
  <si>
    <t>25.73.30.00.00.25.13.10.1</t>
  </si>
  <si>
    <t>Съемник</t>
  </si>
  <si>
    <t>предназначены для демонтажа деталей</t>
  </si>
  <si>
    <t>трехгубчатый</t>
  </si>
  <si>
    <t>1607 Т</t>
  </si>
  <si>
    <t>1630 Т</t>
  </si>
  <si>
    <t>1634 Т</t>
  </si>
  <si>
    <t>27.12.21.91.11.11.11.10.1</t>
  </si>
  <si>
    <t xml:space="preserve">Предохранитель плавкий </t>
  </si>
  <si>
    <t>Предохранительный клапан (давления воды) ф от25-50 мм</t>
  </si>
  <si>
    <t>1710 Т</t>
  </si>
  <si>
    <t>1732 Т</t>
  </si>
  <si>
    <t>1735 Т</t>
  </si>
  <si>
    <t>1735-1 Т</t>
  </si>
  <si>
    <t>1737 Т</t>
  </si>
  <si>
    <t>22.21.21.00.00.12.40.10.1</t>
  </si>
  <si>
    <t>Гофрированная труба сливная для раковины 1 1/2"*40/50</t>
  </si>
  <si>
    <t>1739 Т</t>
  </si>
  <si>
    <t>муфт соединительные диам 100</t>
  </si>
  <si>
    <t>1741 Т</t>
  </si>
  <si>
    <t>муфт соединительные диам 15</t>
  </si>
  <si>
    <t>1741-1 Т</t>
  </si>
  <si>
    <t>1743 Т</t>
  </si>
  <si>
    <t>муфт соединительные диам 25</t>
  </si>
  <si>
    <t>1743-1 Т</t>
  </si>
  <si>
    <t>1787-1 Т</t>
  </si>
  <si>
    <t>1788-1 Т</t>
  </si>
  <si>
    <t>1789-1 Т</t>
  </si>
  <si>
    <t>1790-1 Т</t>
  </si>
  <si>
    <t>1820 Т</t>
  </si>
  <si>
    <t>28.30.40.00.00.00.20.10.1</t>
  </si>
  <si>
    <t>Сенокосилки, косилки для газонов, парков или спортплощадок</t>
  </si>
  <si>
    <t>моторные с режущей частью, вращающейся в горизонтальной плоскости, неэлектрические</t>
  </si>
  <si>
    <t>Ручная с регулируемой ручкой. Мощность: 450 Вт. Число оборотов холостого хода: 8500 об/мин.</t>
  </si>
  <si>
    <t>1821 Т</t>
  </si>
  <si>
    <t>28.30.40.00.00.00.20.12.1</t>
  </si>
  <si>
    <t>Сенокосилки, косилки для газонов, парков или спортивных площадок</t>
  </si>
  <si>
    <t>моторные с режущей частью, вращающейся в горизонтальной плоскости, неэлектрические самоходный без сиденья</t>
  </si>
  <si>
    <t>Мощность: 1400 Вт, тип перемещения: Несамоходная, ширина скашивания: 37 см, объем травосборника: 35 л, вес: 16 кг, высота кошения: 20-60 мм, 5 положений, размер колес, задние/передние: 170/150 мм.</t>
  </si>
  <si>
    <t>1822 Т</t>
  </si>
  <si>
    <t>27.51.23.00.00.03.02.20.1</t>
  </si>
  <si>
    <t>Электросушитель для рук</t>
  </si>
  <si>
    <t>Термический, сенсорный, антивандальный пластиковый</t>
  </si>
  <si>
    <t>1822-1 Т</t>
  </si>
  <si>
    <t>1823 Т</t>
  </si>
  <si>
    <t>32.91.19.00.00.00.50.12.1</t>
  </si>
  <si>
    <t>металлическая, четырехрядная</t>
  </si>
  <si>
    <t>щетка по металлу</t>
  </si>
  <si>
    <t>1824 Т</t>
  </si>
  <si>
    <t>25.73.30.00.00.14.14.10.1</t>
  </si>
  <si>
    <t>Кусачки (острогубцы)</t>
  </si>
  <si>
    <t>Инструмент для перерезания проводов и проволоки</t>
  </si>
  <si>
    <t>кусачки антистатические 125 мм.</t>
  </si>
  <si>
    <t>1825 Т</t>
  </si>
  <si>
    <t>25.71.11.00.00.10.20.10.2</t>
  </si>
  <si>
    <t>Нож с выдвижным лезвием эргономичный, 18 мм</t>
  </si>
  <si>
    <t>1826 Т</t>
  </si>
  <si>
    <t>1827 Т</t>
  </si>
  <si>
    <t>метла полипропиленовая синтетическая. Длина 40-40 см. метла изготовлена из рифленного экструдированного полипропиленового ворса, скрепленная расплавом полипропилена. \деревянный черенок.</t>
  </si>
  <si>
    <t>1828 Т</t>
  </si>
  <si>
    <t>Веник хозяйственный. Размер: высота 630 мм, длина 380 мм.</t>
  </si>
  <si>
    <t>1829 Т</t>
  </si>
  <si>
    <t>размер 41 см</t>
  </si>
  <si>
    <t>1830 Т</t>
  </si>
  <si>
    <t>1967 Т</t>
  </si>
  <si>
    <t>1968 Т</t>
  </si>
  <si>
    <t>Конференц-стол на 25 человек.  Цвет: миланский орех темный. Размер: 646х188х75.  Стол овальной формы. Столешница из двухслойного  ДСП толщиной 41 мм. с высокопрочным ламинированным покрытием с тиснением поверхности типа «шагреневая кожа», устойчивое к механическим, тепловым и химическим воздействиям. Опоры   из двухслойной ДСП толщиной  41мм.Торцы столешницы отделаны фигурным врезным профилем ПВХ толщиной 15мм, опоры  облицованы декоративной кромкой ПВХ 0,5мм и меламиновой кромкой. Кромка  в одной цветовой гамме с ДСП. опоры крестообразной формы , стол переговорный модульный собирается из нескольких частей. Опоры стола позволяют установку при неровностях пола до 10мм. В столе имеется отверстие для проводов</t>
  </si>
  <si>
    <t xml:space="preserve">Конференц-стол на 40 человек.  Цвет: дуб ферарре.  Размер: 1240х220х75.  Стол переговорный овальной формы. Столешница из двухслойного  ДСП толщиной 38 мм. с высокопрочным ламинированным покрытием с тиснением поверхности типа «шагреневая кожа», устойчивое к механическим, тепловым и химическим воздействиям. Опоры   из двухслойной ДСП толщиной  38 мм. Торцы облицованы кромкой ПВХ толщиной 2 мм, опоры  облицованы декоративной кромкой ПВХ  0,5мм и меламиновой кромкой. Кромка  в одной цветовой гамме с ДСП. опоры крестообразной формы , стол переговорный модульный собирается из нескольких частей. Опоры стола позволяют установку при неровностях пола до 10мм. В столе имеются отверстия для проводов. </t>
  </si>
  <si>
    <t>Конференц-стол на 8 человек.  Цвет: махагон.  Размер: 230х118х75.  Столешница конференц-стола изготовлена из высококачественных плит МДФ толщиной 38мм. И облицована пленкой ПВХ со специальной пропиткой (горизонтальные поверхности), увеличивающий срок эксплуатации изделия, по технологии постформинг. Опоры из ДСП толщиной 38мм. С высокопрочным ламинированным покрытием с тиснением типа «шагреневая кожа». Торцы боковин облицованы меламиновой кромкой по выпуклому профилю. По технологии софтформинг. Кромка в единой цветовой гамме с МДФ и ДСП. Конференц-стол овальной формы. Высота конференц-стола 75см.</t>
  </si>
  <si>
    <t>1969 Т</t>
  </si>
  <si>
    <t>1970 Т</t>
  </si>
  <si>
    <t xml:space="preserve"> Стул самба. Стул выполнен в кожзаме черного цвета, ножки хромированные переходящие в подлокотники, подлокотники с накладками из дерева. Набивка -стандартный поролон. Спинка невысокая. </t>
  </si>
  <si>
    <t>1971 Т</t>
  </si>
  <si>
    <t xml:space="preserve"> Стул самба. Стул выполнен в кожзаме черного цвета, ножки хромированные, подлокотникихромированные с накладками из дерева. Набивка -стандартный поролон. Спинка невысокая.  Основание стула крестовина с роликами</t>
  </si>
  <si>
    <t>1972 Т</t>
  </si>
  <si>
    <t>1973 Т</t>
  </si>
  <si>
    <t>31.00.13.00.00.01.02.08.1</t>
  </si>
  <si>
    <t>кресло</t>
  </si>
  <si>
    <t>Кресло кожаное на колесиках.</t>
  </si>
  <si>
    <t>Кресло на роликах для руководителя выполнено в натуральной коже, набивка стандартный поролон, подлокотники хромированные с мягкими накладками из кожи, ножки хромированные</t>
  </si>
  <si>
    <t>1974 Т</t>
  </si>
  <si>
    <t>ТОО  "КазМунайГаз-Сервис"</t>
  </si>
  <si>
    <t xml:space="preserve">Ручка антипаника с закрыванием в одной точке приспособлен для наружного применения </t>
  </si>
  <si>
    <t>889-2 Т</t>
  </si>
  <si>
    <t>11,18,19,20,21</t>
  </si>
  <si>
    <t>890-1 Т</t>
  </si>
  <si>
    <t>891-2 Т</t>
  </si>
  <si>
    <t>892-2 Т</t>
  </si>
  <si>
    <t>893-2 Т</t>
  </si>
  <si>
    <t>894-2 Т</t>
  </si>
  <si>
    <t>895-2 Т</t>
  </si>
  <si>
    <t>914-2 Т</t>
  </si>
  <si>
    <t>915-1 Т</t>
  </si>
  <si>
    <t>916-2 Т</t>
  </si>
  <si>
    <t>917-2 Т</t>
  </si>
  <si>
    <t>918-2 Т</t>
  </si>
  <si>
    <t>919-1 Т</t>
  </si>
  <si>
    <t>920-2 Т</t>
  </si>
  <si>
    <t>921-2 Т</t>
  </si>
  <si>
    <t>922-2 Т</t>
  </si>
  <si>
    <t>896-2 Т</t>
  </si>
  <si>
    <t>897-2 Т</t>
  </si>
  <si>
    <t>898-2 Т</t>
  </si>
  <si>
    <t>899-2 Т</t>
  </si>
  <si>
    <t>900-2 Т</t>
  </si>
  <si>
    <t>901-2 Т</t>
  </si>
  <si>
    <t>902-2 Т</t>
  </si>
  <si>
    <t>903-2 Т</t>
  </si>
  <si>
    <t>905-2 Т</t>
  </si>
  <si>
    <t>906-2 Т</t>
  </si>
  <si>
    <t>907-2 Т</t>
  </si>
  <si>
    <t>908-2 Т</t>
  </si>
  <si>
    <t>909-2 Т</t>
  </si>
  <si>
    <t>910-2 Т</t>
  </si>
  <si>
    <t>912-2 Т</t>
  </si>
  <si>
    <t>913-2 Т</t>
  </si>
  <si>
    <t>923-2 Т</t>
  </si>
  <si>
    <t>924-2 Т</t>
  </si>
  <si>
    <t>925-2 Т</t>
  </si>
  <si>
    <t>926-2 Т</t>
  </si>
  <si>
    <t>927-2 Т</t>
  </si>
  <si>
    <t>928-2 Т</t>
  </si>
  <si>
    <t>929-2 Т</t>
  </si>
  <si>
    <t>930-2 Т</t>
  </si>
  <si>
    <t>931-2 Т</t>
  </si>
  <si>
    <t>932-2 Т</t>
  </si>
  <si>
    <t>933-1 Т</t>
  </si>
  <si>
    <t>934-1 Т</t>
  </si>
  <si>
    <t>935-2 Т</t>
  </si>
  <si>
    <t>937-2 Т</t>
  </si>
  <si>
    <t>939-2 Т</t>
  </si>
  <si>
    <t>940-2 Т</t>
  </si>
  <si>
    <t>941-1 Т</t>
  </si>
  <si>
    <t>942-2 Т</t>
  </si>
  <si>
    <t>943-2 Т</t>
  </si>
  <si>
    <t>944-2 Т</t>
  </si>
  <si>
    <t>945-2 Т</t>
  </si>
  <si>
    <t>946-2 Т</t>
  </si>
  <si>
    <t>947-2 Т</t>
  </si>
  <si>
    <t>948-2 Т</t>
  </si>
  <si>
    <t>949-2 Т</t>
  </si>
  <si>
    <t>950-2 Т</t>
  </si>
  <si>
    <t>951-2 Т</t>
  </si>
  <si>
    <t>952-1 Т</t>
  </si>
  <si>
    <t>953-2 Т</t>
  </si>
  <si>
    <t>954-2 Т</t>
  </si>
  <si>
    <t>955-1 Т</t>
  </si>
  <si>
    <t>956-2 Т</t>
  </si>
  <si>
    <t>957-2 Т</t>
  </si>
  <si>
    <t>958-2 Т</t>
  </si>
  <si>
    <t>959-2 Т</t>
  </si>
  <si>
    <t>960-2 Т</t>
  </si>
  <si>
    <t>961-2 Т</t>
  </si>
  <si>
    <t>962-2 Т</t>
  </si>
  <si>
    <t>963-2 Т</t>
  </si>
  <si>
    <t>964-2 Т</t>
  </si>
  <si>
    <t>965-2 Т</t>
  </si>
  <si>
    <t>966-2 Т</t>
  </si>
  <si>
    <t>967-2 Т</t>
  </si>
  <si>
    <t>968-2 Т</t>
  </si>
  <si>
    <t>969-2 Т</t>
  </si>
  <si>
    <t>970-2 Т</t>
  </si>
  <si>
    <t>971-2 Т</t>
  </si>
  <si>
    <t>972-2 Т</t>
  </si>
  <si>
    <t>973-2 Т</t>
  </si>
  <si>
    <t>974-2 Т</t>
  </si>
  <si>
    <t>975-2 Т</t>
  </si>
  <si>
    <t>976-2 Т</t>
  </si>
  <si>
    <t>977-1 Т</t>
  </si>
  <si>
    <t>978-1 Т</t>
  </si>
  <si>
    <t>979-1 Т</t>
  </si>
  <si>
    <t>980-1 Т</t>
  </si>
  <si>
    <t>981-1 Т</t>
  </si>
  <si>
    <t>982-1 Т</t>
  </si>
  <si>
    <t>983-1 Т</t>
  </si>
  <si>
    <t>984-1 Т</t>
  </si>
  <si>
    <t>985-1 Т</t>
  </si>
  <si>
    <t>986-1 Т</t>
  </si>
  <si>
    <t>987-1 Т</t>
  </si>
  <si>
    <t>988-1 Т</t>
  </si>
  <si>
    <t>989-1 Т</t>
  </si>
  <si>
    <t>990-1 Т</t>
  </si>
  <si>
    <t>991-1 Т</t>
  </si>
  <si>
    <t>992-1 Т</t>
  </si>
  <si>
    <t>1158-1 Т</t>
  </si>
  <si>
    <t>1159-1 Т</t>
  </si>
  <si>
    <t>1160-1 Т</t>
  </si>
  <si>
    <t>1161-1 Т</t>
  </si>
  <si>
    <t>1162-1 Т</t>
  </si>
  <si>
    <t>1163-1 Т</t>
  </si>
  <si>
    <t>1164-1 Т</t>
  </si>
  <si>
    <t>1165-1 Т</t>
  </si>
  <si>
    <t>1166-1 Т</t>
  </si>
  <si>
    <t>1167-1 Т</t>
  </si>
  <si>
    <t>1168-1 Т</t>
  </si>
  <si>
    <t>1169-1 Т</t>
  </si>
  <si>
    <t>1170-1 Т</t>
  </si>
  <si>
    <t>1171 -1Т</t>
  </si>
  <si>
    <t>1172-1 Т</t>
  </si>
  <si>
    <t>1173-1 Т</t>
  </si>
  <si>
    <t>1174-1 Т</t>
  </si>
  <si>
    <t>1175-1 Т</t>
  </si>
  <si>
    <t>1176-1 Т</t>
  </si>
  <si>
    <t>1177-1 Т</t>
  </si>
  <si>
    <t>1178-1 Т</t>
  </si>
  <si>
    <t>1179-1 Т</t>
  </si>
  <si>
    <t>1180-1 Т</t>
  </si>
  <si>
    <t>1181-1 Т</t>
  </si>
  <si>
    <t>1182-1 Т</t>
  </si>
  <si>
    <t>1183-1 Т</t>
  </si>
  <si>
    <t>1184-1 Т</t>
  </si>
  <si>
    <t>1185-1 Т</t>
  </si>
  <si>
    <t>1186-1 Т</t>
  </si>
  <si>
    <t>1187-1 Т</t>
  </si>
  <si>
    <t>1188-1 Т</t>
  </si>
  <si>
    <t>1189-1 Т</t>
  </si>
  <si>
    <t>1190-1 Т</t>
  </si>
  <si>
    <t>1191-1 Т</t>
  </si>
  <si>
    <t>1192-1 Т</t>
  </si>
  <si>
    <t>1193-1 Т</t>
  </si>
  <si>
    <t>1194-1 Т</t>
  </si>
  <si>
    <t>1195-1 Т</t>
  </si>
  <si>
    <t>1196-1 Т</t>
  </si>
  <si>
    <t>1197-1 Т</t>
  </si>
  <si>
    <t>1198-1 Т</t>
  </si>
  <si>
    <t>1199-1 Т</t>
  </si>
  <si>
    <t>1200-1 Т</t>
  </si>
  <si>
    <t>1201-1 Т</t>
  </si>
  <si>
    <t>1202-1 Т</t>
  </si>
  <si>
    <t>1203-1 Т</t>
  </si>
  <si>
    <t>1204-1 Т</t>
  </si>
  <si>
    <t>1205-1 Т</t>
  </si>
  <si>
    <t>1206-1 Т</t>
  </si>
  <si>
    <t>1207-1 Т</t>
  </si>
  <si>
    <t>1208-1 Т</t>
  </si>
  <si>
    <t>1209-1 Т</t>
  </si>
  <si>
    <t>25.11.10.01.02.01.01.01.1</t>
  </si>
  <si>
    <t>Леса строительные</t>
  </si>
  <si>
    <t>алюминевые,передвижные, рамные, ширина 60 см, высота 13, 3 м</t>
  </si>
  <si>
    <t>122-1 У</t>
  </si>
  <si>
    <t>163-2 У</t>
  </si>
  <si>
    <t>1707-1 Т</t>
  </si>
  <si>
    <t>С изменениями и дополнениями от 14.05.2015 г. № 231</t>
  </si>
  <si>
    <t xml:space="preserve">Вертикальные, blackout. Материал: основа резиновая, лицевая сторона шелковистая, солнцезащитные, светонепроницаемые, пылеотталкивающие. Цветовая
гамма: от светлых тонов до темных (согласно каталогу). Механизм управления:
алюминиевый трек, пластиковые бегунки, шнур управления капроновый, управление ручное. Ширина ламели - 0,89 мм, толшина -0,3 мм.
</t>
  </si>
  <si>
    <t>6,15</t>
  </si>
  <si>
    <t>181 У</t>
  </si>
  <si>
    <t>74.90.21.85.00.00.00</t>
  </si>
  <si>
    <t>Услуги по предоставлению электронно-цифровых подписей</t>
  </si>
  <si>
    <t>1796-1 Т</t>
  </si>
  <si>
    <t>1975 Т</t>
  </si>
  <si>
    <t>27.20.22.00.00.00.03.30.1</t>
  </si>
  <si>
    <t>Номинальная емкость от 100 до 200 Ач, номинальное напряжение 12 В</t>
  </si>
  <si>
    <t>Аккумуляторная батарея для поломоечной машины Karcher B90R</t>
  </si>
  <si>
    <t>50 Р</t>
  </si>
  <si>
    <t>43.99.90.31.15.00.00</t>
  </si>
  <si>
    <t>Ремонт пластиковых окон</t>
  </si>
  <si>
    <t>Регулировка, замена фурнитуры, ремонт замков, замена резиновых уплотнителей, замена стеклопакетов и стекол</t>
  </si>
  <si>
    <t>Работы по ремонту и замене стеклопакетов в администратовном здании расположенном по пр.Кабанбай батыра, 19 блок А и Б</t>
  </si>
  <si>
    <t>1976 Т</t>
  </si>
  <si>
    <t>28.30.23.00.00.00.10.00.1</t>
  </si>
  <si>
    <t>Трактор</t>
  </si>
  <si>
    <t>колесный</t>
  </si>
  <si>
    <t>Мотоблок предназначен для транспортировки грузов, уборки снега, подметания и т.д. Имеет верхнеклапанный механизм газораспределения, чугунную гильзу цилиндра и масляной насос, позволяющий работать мотоблоку под уклонами. Принцип действия основан на работе специальной навесной фрезы, ножи которой вращаются против хода машины, а движение вперед происходит за счет отдельных колес с пневматическими шинами. 
Двигатель: Бензиновый, 4-х тактный, 7 л.с</t>
  </si>
  <si>
    <t>1977 Т</t>
  </si>
  <si>
    <t>1978 Т</t>
  </si>
  <si>
    <t xml:space="preserve">Щетка для навесного оборудования на мотоблок Hepfer MF-360, предназначена для очистки и подметания дворов, дорог, проходных дорожек и других площадей </t>
  </si>
  <si>
    <t>1979 Т</t>
  </si>
  <si>
    <t>27.51.13.00.01.01.01.50.1</t>
  </si>
  <si>
    <t>Машина стиральная</t>
  </si>
  <si>
    <t>Автоматическая. Класс стирки А. Класс отжима А. Загрузка белья от 6 до 6,99 кг.</t>
  </si>
  <si>
    <t xml:space="preserve">Стиральная машина. Загрузка: 6 кг. Энергоэффективность: A - 10%. Класс энергопотребления: A. Расход воды: 39 литров / цикл. Энергопотребление на цикл: 1,02 кВтч/. Размеры без упаковки: 600 x 850 x 400 мм. Размеры в упаковке: 670 x 885 x 520 мм. Вес нетто: 56 кг. Вес брутто: 58 кг. 40 ft H/C 207 EA/ Дисплей состояния замка дверцы. Защита от детей. Разглаживание складок. Скорость вращения барабана (макс.): 1 200 об/мин. Дисплей-индикатор времени до окончания стирки. Интеллектуальное управление Fuzzy Logic Control. Класс отжима: B. Контроль пенообразования. Контроль перегрева. Прогресс-индикатор процесса стирки. Стандартное время цикла стирки: 135 мин. (с технологией Bubble). Самоочищающийся фильтр. Система самодиагностики. Экспресс-стирка. Дисплей сообщений об ошибках. Графический LED дисплей. F400E. Диск-Регулятор. Цвет корпуса: Белый. Цвет дверцы: Серебряный. Выбор температуры: - 20°C - 30°C - 40°C - 60°C - 95°C. Программы: Хлопок, Синтетика, Шерсть, Ручная стирка, Отжим, Замачивание, Быстрая стирка.
</t>
  </si>
  <si>
    <t>1980 Т</t>
  </si>
  <si>
    <t>26.30.23.00.00.00.15.01.1</t>
  </si>
  <si>
    <t>Автоматическая телефонная станция</t>
  </si>
  <si>
    <t>Автоматическая телефонная станция (АТС)</t>
  </si>
  <si>
    <t>1981 Т</t>
  </si>
  <si>
    <t>Насадка для навесного оборудования на мотоблок Hepfer MF-360, предназначена для очистки cнега</t>
  </si>
  <si>
    <t>Автоматическая телефонная станция IP телефонии с монтажом</t>
  </si>
  <si>
    <t>21-1 Т</t>
  </si>
  <si>
    <t>авансовый платеж - 00%, оставшаяся часть в течение 10 рабочих дней с момента подписания акта приема - передачи поставленных товаров</t>
  </si>
  <si>
    <t>22-1 Т</t>
  </si>
  <si>
    <t>23-1 Т</t>
  </si>
  <si>
    <t>24-1 Т</t>
  </si>
  <si>
    <t>25-1 Т</t>
  </si>
  <si>
    <t>26-1 Т</t>
  </si>
  <si>
    <t>8,11,15,22</t>
  </si>
  <si>
    <t>С изменениями и дополнениями от 22.05.2015 г. № 244</t>
  </si>
  <si>
    <t>269-3 Т</t>
  </si>
  <si>
    <t>11,15,22</t>
  </si>
  <si>
    <t>февраль-март,апрель-май, июнь-июль</t>
  </si>
  <si>
    <t>С изменениями  от 27.05.2015 г. № 256</t>
  </si>
  <si>
    <t>1982 Т</t>
  </si>
  <si>
    <t>25.11.10.10.10.11.14.10.1</t>
  </si>
  <si>
    <t>Стелаж</t>
  </si>
  <si>
    <t>различного назначения (для механизированных складов)</t>
  </si>
  <si>
    <t xml:space="preserve">Размеры:  Высота:2000, Ширина: 1000, Глубина: 600, Комплект состоит из: стойка-4шт., полка-5шт., крепеж, Металлические стеллажи изготавливаются из высококачественной стали и имеют полимерное порошковое покрытие светло-серого цвета (RAL7035), Нагрузка на одну полку -100кг
</t>
  </si>
  <si>
    <t>51 Р</t>
  </si>
  <si>
    <t>33.14.11.16.00.00.00</t>
  </si>
  <si>
    <t>Ремонт, технический уход и обслуживание электротрансформаторов</t>
  </si>
  <si>
    <t>Работы по ремонту, наладке и испытанию электрооборудований распределительных
устройств 10/0.4 кВ силовых трансформаторов в ТП-3614</t>
  </si>
  <si>
    <t>52 Р</t>
  </si>
  <si>
    <t>33.12.16.13.00.00.00</t>
  </si>
  <si>
    <t>Ремонт и техническое обслуживание оборудования для видеоконференций и видеонаблюдения</t>
  </si>
  <si>
    <t>Диагностика и ремонт видеостены, с заменой неработающего модема видеостены</t>
  </si>
  <si>
    <t>53 Р</t>
  </si>
  <si>
    <t>33.20.70.18.00.00.00</t>
  </si>
  <si>
    <t>Электроизмерительные работы</t>
  </si>
  <si>
    <t>Замер сопротивления изоляции</t>
  </si>
  <si>
    <t>Работы замеры контуров сопротивления объектов и сопротивление изоляции силовых и осветительных кабелей объектов Зерендинского филиала</t>
  </si>
  <si>
    <t>182 У</t>
  </si>
  <si>
    <t>84.25.11.15.00.00.00</t>
  </si>
  <si>
    <t>Услуги по перезарядке огнетушителей</t>
  </si>
  <si>
    <t>Перезарядка огнетушителей  ОП-5, ОУ-5</t>
  </si>
  <si>
    <t>С изменениями и дополнениями от 03.06.2015 г. № 244</t>
  </si>
  <si>
    <t>225-2 Т</t>
  </si>
  <si>
    <t>226-3 Т</t>
  </si>
  <si>
    <t>235-2 Т</t>
  </si>
  <si>
    <t>236-2 Т</t>
  </si>
  <si>
    <t>237-2 Т</t>
  </si>
  <si>
    <t>239-2 Т</t>
  </si>
  <si>
    <t>245-2 Т</t>
  </si>
  <si>
    <t>246-2 Т</t>
  </si>
  <si>
    <t>247-2 Т</t>
  </si>
  <si>
    <t>249-2 Т</t>
  </si>
  <si>
    <t>251-2 Т</t>
  </si>
  <si>
    <t>252-2 Т</t>
  </si>
  <si>
    <t>255-2 Т</t>
  </si>
  <si>
    <t>262-2 Т</t>
  </si>
  <si>
    <t>267-2 Т</t>
  </si>
  <si>
    <t>287-2Т</t>
  </si>
  <si>
    <t>февраль-март,апрель-май,0</t>
  </si>
  <si>
    <t>289-2 Т</t>
  </si>
  <si>
    <t>февраль-март,апрель-май,июнь-июль</t>
  </si>
  <si>
    <t>294-2 Т</t>
  </si>
  <si>
    <t>295-2Т</t>
  </si>
  <si>
    <t>296-2 Т</t>
  </si>
  <si>
    <t>314-2 Т</t>
  </si>
  <si>
    <t>331-2 Т</t>
  </si>
  <si>
    <t>334-2 Т</t>
  </si>
  <si>
    <t>апрель-май,июнь-июль</t>
  </si>
  <si>
    <t>11,22</t>
  </si>
  <si>
    <t>248-2 Т</t>
  </si>
  <si>
    <t>323-2 Т</t>
  </si>
  <si>
    <t>324-2 Т</t>
  </si>
  <si>
    <t>325-2 Т</t>
  </si>
  <si>
    <t>326-2 Т</t>
  </si>
  <si>
    <t>327-2 Т</t>
  </si>
  <si>
    <t>328-2 Т</t>
  </si>
  <si>
    <t>329-2 Т</t>
  </si>
  <si>
    <t>330-2 Т</t>
  </si>
  <si>
    <t>26.51.11.00.00.00.95.10.1</t>
  </si>
  <si>
    <t>Система для мониторинга и управления транспортом</t>
  </si>
  <si>
    <t>спутниковая  GPS</t>
  </si>
  <si>
    <t>Оборудование для системы GPS/ГЛОНАСС мониторинга автотранспорта с монтажем, установкой, настройкой и обучением персонала</t>
  </si>
  <si>
    <t>1983 Т</t>
  </si>
  <si>
    <t>29.32.30.00.09.00.01.03.1</t>
  </si>
  <si>
    <t>газовый (с гидравлическим газовым подпором), передней подвески</t>
  </si>
  <si>
    <t>Lexus LX 570 VIN JTJHY00W204061629</t>
  </si>
  <si>
    <t>г. Астана, ул. Ауэзова, д. 18</t>
  </si>
  <si>
    <t>авансовый платеж - 0%, оставшаяся часть в течении 10 рабочих дней с момента подписания акта приема - передачи поставленных товаров</t>
  </si>
  <si>
    <t>1984 Т</t>
  </si>
  <si>
    <t>29.32.30.00.09.00.01.05.1</t>
  </si>
  <si>
    <t>газовый (с гидравлическим газовым подпором), задней подвески</t>
  </si>
  <si>
    <t>1985 Т</t>
  </si>
  <si>
    <t>29.32.30.00.09.00.07.01.1</t>
  </si>
  <si>
    <t>1986 Т</t>
  </si>
  <si>
    <t>29.32.30.00.09.00.08.01.1</t>
  </si>
  <si>
    <t>Стойка стабилизатора задняя</t>
  </si>
  <si>
    <t>1987 Т</t>
  </si>
  <si>
    <t>29.32.30.00.09.00.13.02.1</t>
  </si>
  <si>
    <t>1988 Т</t>
  </si>
  <si>
    <t>1989 Т</t>
  </si>
  <si>
    <t>22.19.73.00.00.60.40.10.1</t>
  </si>
  <si>
    <t>Пыльник</t>
  </si>
  <si>
    <t>Пыльник приводов ШРУС (наружный) легковых автомобилей</t>
  </si>
  <si>
    <t>1990 Т</t>
  </si>
  <si>
    <t>1991 Т</t>
  </si>
  <si>
    <t>29.32.30.00.15.00.81.10.1</t>
  </si>
  <si>
    <t>Мотор отопителя</t>
  </si>
  <si>
    <t>1992 Т</t>
  </si>
  <si>
    <t>Генератор</t>
  </si>
  <si>
    <t>1993 Т</t>
  </si>
  <si>
    <t>Насос топливный</t>
  </si>
  <si>
    <t>1994 Т</t>
  </si>
  <si>
    <t>Катушка зажигания (бобина)</t>
  </si>
  <si>
    <t>для легковых автомобилей, с разомкнутым магнитопроводом</t>
  </si>
  <si>
    <t>1995 Т</t>
  </si>
  <si>
    <t>28.30.93.00.00.00.16.10.1</t>
  </si>
  <si>
    <t>рулевое управление служит для изменения направления движения путем поворота передних (управляемых) колес</t>
  </si>
  <si>
    <t>1996 Т</t>
  </si>
  <si>
    <t>1997 Т</t>
  </si>
  <si>
    <t>Toyota Land Cruiser 100/200 VIN JTMHT05J105086286</t>
  </si>
  <si>
    <t>1998 Т</t>
  </si>
  <si>
    <t>1999 Т</t>
  </si>
  <si>
    <t>2000 Т</t>
  </si>
  <si>
    <t>2001 Т</t>
  </si>
  <si>
    <t>2002 Т</t>
  </si>
  <si>
    <t>2003 Т</t>
  </si>
  <si>
    <t>29.32.30.00.09.00.13.01.1</t>
  </si>
  <si>
    <t>2004 Т</t>
  </si>
  <si>
    <t>2005 Т</t>
  </si>
  <si>
    <t>29.32.30.00.04.12.01.01.1</t>
  </si>
  <si>
    <t>Гидромуфта</t>
  </si>
  <si>
    <t>2006 Т</t>
  </si>
  <si>
    <t>29.10.19.00.00.10.25.10.1</t>
  </si>
  <si>
    <t xml:space="preserve">для поршневых двигателей с искровым зажиганием (карбюраторные) </t>
  </si>
  <si>
    <t>2007 Т</t>
  </si>
  <si>
    <t>29.32.30.00.01.01.05.01.1</t>
  </si>
  <si>
    <t>2008 Т</t>
  </si>
  <si>
    <t>2009 Т</t>
  </si>
  <si>
    <t>2010 Т</t>
  </si>
  <si>
    <t>2011 Т</t>
  </si>
  <si>
    <t>2012 Т</t>
  </si>
  <si>
    <t>2013 Т</t>
  </si>
  <si>
    <t>29.32.30.00.05.03.14.01.1</t>
  </si>
  <si>
    <t>2014 Т</t>
  </si>
  <si>
    <t>29.32.30.00.15.00.44.01.1</t>
  </si>
  <si>
    <t xml:space="preserve">Ролик </t>
  </si>
  <si>
    <t>натяжной, элемент ременной передачи</t>
  </si>
  <si>
    <t>2015 Т</t>
  </si>
  <si>
    <t>2016 Т</t>
  </si>
  <si>
    <t>2017 Т</t>
  </si>
  <si>
    <t>2018 Т</t>
  </si>
  <si>
    <t>Toyota Camry VIN JTNBE40K603209629</t>
  </si>
  <si>
    <t>2019 Т</t>
  </si>
  <si>
    <t>2020 Т</t>
  </si>
  <si>
    <t>2021 Т</t>
  </si>
  <si>
    <t>2022 Т</t>
  </si>
  <si>
    <t>2023 Т</t>
  </si>
  <si>
    <t>2024 Т</t>
  </si>
  <si>
    <t>2025 Т</t>
  </si>
  <si>
    <t>поперечный</t>
  </si>
  <si>
    <t>2026 Т</t>
  </si>
  <si>
    <t>2027 Т</t>
  </si>
  <si>
    <t>29.32.30.00.10.10.00.13.1</t>
  </si>
  <si>
    <t>2028 Т</t>
  </si>
  <si>
    <t>29.32.30.00.10.10.00.10.1</t>
  </si>
  <si>
    <t>2029 Т</t>
  </si>
  <si>
    <t>29.32.30.00.01.01.15.01.1</t>
  </si>
  <si>
    <t>Ремень привода вентилятора</t>
  </si>
  <si>
    <t>2030 Т</t>
  </si>
  <si>
    <t>2031 Т</t>
  </si>
  <si>
    <t>2032 Т</t>
  </si>
  <si>
    <t>2033 Т</t>
  </si>
  <si>
    <t>2034 Т</t>
  </si>
  <si>
    <t>2035 Т</t>
  </si>
  <si>
    <t>2036 Т</t>
  </si>
  <si>
    <t>2037 Т</t>
  </si>
  <si>
    <t>2038 Т</t>
  </si>
  <si>
    <t>2039 Т</t>
  </si>
  <si>
    <t>2040 Т</t>
  </si>
  <si>
    <t>Ssang Yong VIN KPTW1A1JSCP021126</t>
  </si>
  <si>
    <t>2041 Т</t>
  </si>
  <si>
    <t>2042 Т</t>
  </si>
  <si>
    <t>2043 Т</t>
  </si>
  <si>
    <t>2044 Т</t>
  </si>
  <si>
    <t>29.32.30.00.09.00.18.01.1</t>
  </si>
  <si>
    <t>Сайлентблок рычага</t>
  </si>
  <si>
    <t>переднего, для легковых автомобилей</t>
  </si>
  <si>
    <t>2045 Т</t>
  </si>
  <si>
    <t>2046 Т</t>
  </si>
  <si>
    <t>2047 Т</t>
  </si>
  <si>
    <t>2048 Т</t>
  </si>
  <si>
    <t>Toyota HiAce VIN JTFSX23PX06064849</t>
  </si>
  <si>
    <t>2049 Т</t>
  </si>
  <si>
    <t>2050 Т</t>
  </si>
  <si>
    <t>29.32.30.00.03.01.20.20.1</t>
  </si>
  <si>
    <t xml:space="preserve">Сцепление </t>
  </si>
  <si>
    <t>в сборе, для грузовых автомобилей</t>
  </si>
  <si>
    <t>2051 Т</t>
  </si>
  <si>
    <t>2052 Т</t>
  </si>
  <si>
    <t>2053 Т</t>
  </si>
  <si>
    <t>2054 Т</t>
  </si>
  <si>
    <t>2055 Т</t>
  </si>
  <si>
    <t>2056 Т</t>
  </si>
  <si>
    <t>2057 Т</t>
  </si>
  <si>
    <t>29.32.30.00.09.00.03.01.1</t>
  </si>
  <si>
    <t>Рессора задняя</t>
  </si>
  <si>
    <t>2058 Т</t>
  </si>
  <si>
    <t>2059 Т</t>
  </si>
  <si>
    <t>2060 Т</t>
  </si>
  <si>
    <t>2061 Т</t>
  </si>
  <si>
    <t>2062 Т</t>
  </si>
  <si>
    <t>2063 Т</t>
  </si>
  <si>
    <t>KIA MOHAVE VIN KNAKN811DE5117304</t>
  </si>
  <si>
    <t>2064 Т</t>
  </si>
  <si>
    <t>2065 Т</t>
  </si>
  <si>
    <t>2066 Т</t>
  </si>
  <si>
    <t>2067 Т</t>
  </si>
  <si>
    <t>2068 Т</t>
  </si>
  <si>
    <t>2069 Т</t>
  </si>
  <si>
    <t>2070 Т</t>
  </si>
  <si>
    <t>2071 Т</t>
  </si>
  <si>
    <t>2072 Т</t>
  </si>
  <si>
    <t>2073 Т</t>
  </si>
  <si>
    <t>IVECO шасси NJ6713TY6</t>
  </si>
  <si>
    <t>2074 Т</t>
  </si>
  <si>
    <t>2075 Т</t>
  </si>
  <si>
    <t>2076 Т</t>
  </si>
  <si>
    <t>2077 Т</t>
  </si>
  <si>
    <t>2078 Т</t>
  </si>
  <si>
    <t>2079 Т</t>
  </si>
  <si>
    <t>2080 Т</t>
  </si>
  <si>
    <t>2081 Т</t>
  </si>
  <si>
    <t>2082 Т</t>
  </si>
  <si>
    <t>2083 Т</t>
  </si>
  <si>
    <t>2084 Т</t>
  </si>
  <si>
    <t>28.11.42.00.00.00.12.10.1</t>
  </si>
  <si>
    <t>Свеча накаливания</t>
  </si>
  <si>
    <t>2085 Т</t>
  </si>
  <si>
    <t>2086 Т</t>
  </si>
  <si>
    <t>2087 Т</t>
  </si>
  <si>
    <t>Hyundai Universe VIN KMJKG18TPDC910452</t>
  </si>
  <si>
    <t>2088 Т</t>
  </si>
  <si>
    <t>2089 Т</t>
  </si>
  <si>
    <t>29.32.30.00.15.00.33.11.1</t>
  </si>
  <si>
    <t>Сальник</t>
  </si>
  <si>
    <t>подшипника</t>
  </si>
  <si>
    <t>2090 Т</t>
  </si>
  <si>
    <t>29.32.30.00.50.10.35.01.1</t>
  </si>
  <si>
    <t>Пневмоподушка</t>
  </si>
  <si>
    <t>пневматическая подушка подвески автобуса</t>
  </si>
  <si>
    <t>2091 Т</t>
  </si>
  <si>
    <t>2092 Т</t>
  </si>
  <si>
    <t>2093 Т</t>
  </si>
  <si>
    <t>2094 Т</t>
  </si>
  <si>
    <t>2095 Т</t>
  </si>
  <si>
    <t>2096 Т</t>
  </si>
  <si>
    <t>2097 Т</t>
  </si>
  <si>
    <t>2098 Т</t>
  </si>
  <si>
    <t>30.20.40.00.00.08.02.77.1</t>
  </si>
  <si>
    <t>Гидронасос</t>
  </si>
  <si>
    <t>для подвижного состава</t>
  </si>
  <si>
    <t>2099 Т</t>
  </si>
  <si>
    <t>29.32.30.00.15.00.39.02.1</t>
  </si>
  <si>
    <t>Гидрораспределитель</t>
  </si>
  <si>
    <t>2100 Т</t>
  </si>
  <si>
    <t>2101 Т</t>
  </si>
  <si>
    <t>28.22.20.00.00.00.22.10.1</t>
  </si>
  <si>
    <t>ковшовый захват</t>
  </si>
  <si>
    <t>ковшовый захват с грузоподъемностью 1250 кг</t>
  </si>
  <si>
    <t>2102 Т</t>
  </si>
  <si>
    <t>2103 Т</t>
  </si>
  <si>
    <t>2104 Т</t>
  </si>
  <si>
    <t>2105 Т</t>
  </si>
  <si>
    <t>2106 Т</t>
  </si>
  <si>
    <t>28.11.42.00.00.00.10.32.1</t>
  </si>
  <si>
    <t>топливный насос</t>
  </si>
  <si>
    <t>2107 Т</t>
  </si>
  <si>
    <t>2108 Т</t>
  </si>
  <si>
    <t>26.51.66.20.10.10.10.10.1</t>
  </si>
  <si>
    <t>Алкотестер</t>
  </si>
  <si>
    <t>Наличие регистрации утвержденного типа средств измерений KZ.02.03.04442-2012/РБ 03 09 0660 11</t>
  </si>
  <si>
    <t>2109 Т</t>
  </si>
  <si>
    <t>26.60.12.00.00.02.32.10.1</t>
  </si>
  <si>
    <t>Неинвазивные. На основе осциллометрического метода. Приборы с ручной системой накачки воздуха, механическим клапаном выпуска воздуха, автоматической обработкой сигналов и индикацией величин артериального давления.</t>
  </si>
  <si>
    <t>Размер манжеты L</t>
  </si>
  <si>
    <t>2110 Т</t>
  </si>
  <si>
    <t>29.20.21.00.00.00.10.31.1</t>
  </si>
  <si>
    <t>ISO-830, 20 тонны</t>
  </si>
  <si>
    <t>16.23.11.10.10.10.10.07.1</t>
  </si>
  <si>
    <t>распашная под стекло</t>
  </si>
  <si>
    <t>с установкой и монтажом</t>
  </si>
  <si>
    <t>2111 Т</t>
  </si>
  <si>
    <t>95.12.10.50.10.20.01</t>
  </si>
  <si>
    <t>Услуги по техническому обслуживанию оборудования системы GPS-мониторинга транспорта</t>
  </si>
  <si>
    <t>183 У</t>
  </si>
  <si>
    <t>33.12.29.24.10.20.01</t>
  </si>
  <si>
    <t>Услуги по техническому обслуживанию контрольных устройств регистрации режимов труда и отдыха (тахограф)</t>
  </si>
  <si>
    <t>сервисное и техническое обслуживание контрольных устройств регистрации режимов труда и отдыха (тахограф)</t>
  </si>
  <si>
    <t>184 У</t>
  </si>
  <si>
    <t>185 У</t>
  </si>
  <si>
    <t>г.Астана, пр.Республики, 32, каб.505</t>
  </si>
  <si>
    <t>январь-февраль,апрель, июнь</t>
  </si>
  <si>
    <t>8-3 Т</t>
  </si>
  <si>
    <t>9-2 Т</t>
  </si>
  <si>
    <t>январь-февраль, июнь</t>
  </si>
  <si>
    <t>10-2 Т</t>
  </si>
  <si>
    <t>11-2 Т</t>
  </si>
  <si>
    <t>13-2 Т</t>
  </si>
  <si>
    <t>14-2 Т</t>
  </si>
  <si>
    <t>15-2 Т</t>
  </si>
  <si>
    <t>16-3 Т</t>
  </si>
  <si>
    <t>17-2 Т</t>
  </si>
  <si>
    <t>18-2 Т</t>
  </si>
  <si>
    <t>20-2 Т</t>
  </si>
  <si>
    <t>29.32.30.90.01.10.10.10.1</t>
  </si>
  <si>
    <t>4 -1 Р</t>
  </si>
  <si>
    <t>январь, июнь</t>
  </si>
  <si>
    <t>15-2 Р</t>
  </si>
  <si>
    <t>с даты заключения договора по 14 декабря 2015 г.</t>
  </si>
  <si>
    <t>12-4 Р</t>
  </si>
  <si>
    <t>апрель-май, июнь-июль</t>
  </si>
  <si>
    <t>2112 Т</t>
  </si>
  <si>
    <t>2113 Т</t>
  </si>
  <si>
    <t>2114 Т</t>
  </si>
  <si>
    <t>2115 Т</t>
  </si>
  <si>
    <t>2116 Т</t>
  </si>
  <si>
    <t>2117 Т</t>
  </si>
  <si>
    <t>2118 Т</t>
  </si>
  <si>
    <t>2119 Т</t>
  </si>
  <si>
    <t>2120 Т</t>
  </si>
  <si>
    <t>2121 Т</t>
  </si>
  <si>
    <t>2122 Т</t>
  </si>
  <si>
    <t>2123 Т</t>
  </si>
  <si>
    <t>2124 Т</t>
  </si>
  <si>
    <t>2125 Т</t>
  </si>
  <si>
    <t>25.94.12.00.00.12.10.11.1</t>
  </si>
  <si>
    <t>Металлический (латунный, из нержавеющей стали и других сплавов)</t>
  </si>
  <si>
    <t>8*100мм</t>
  </si>
  <si>
    <t>в мешке 50 кг</t>
  </si>
  <si>
    <t>Клей для мрамора и гранита 25 кг</t>
  </si>
  <si>
    <t>22.21.41.00.00.10.40.10.1</t>
  </si>
  <si>
    <t>полипропиленовый</t>
  </si>
  <si>
    <t>8 мм, 1220*2440, белый</t>
  </si>
  <si>
    <t>5 мм, 1220*2440,белый</t>
  </si>
  <si>
    <t>3мм, 1220*2440, белый</t>
  </si>
  <si>
    <t>22.21.42.20.00.00.00.17.1</t>
  </si>
  <si>
    <t>самоклеющаяся в рулоне, цветная, длина рулона 50 м</t>
  </si>
  <si>
    <t>25.94.12.00.00.11.10.13.3</t>
  </si>
  <si>
    <t>Саморез с шестигранной головкой</t>
  </si>
  <si>
    <t>7*50мм</t>
  </si>
  <si>
    <t>2126 Т</t>
  </si>
  <si>
    <t>1804 - 1 Т</t>
  </si>
  <si>
    <t>февраль-март,апрель-май, июнь</t>
  </si>
  <si>
    <t>1806-2 Т</t>
  </si>
  <si>
    <t>186 У</t>
  </si>
  <si>
    <t>79.90.39.20.10.10.00</t>
  </si>
  <si>
    <t>Услуги по бронированию и продаже железнодорожных и авиа проездных билетов</t>
  </si>
  <si>
    <t>Услуга по оформлению авиабилетов</t>
  </si>
  <si>
    <t>Кресло</t>
  </si>
  <si>
    <t>Кресло на роликах для руководителя выполнено в натуральной коже, набивка стандартный поролон, подлокотники хромированные с деревянными накладками, ножки хромированные</t>
  </si>
  <si>
    <t>23 -1 Р</t>
  </si>
  <si>
    <t>январь-февраль,июнь</t>
  </si>
  <si>
    <t>12-2 Т</t>
  </si>
  <si>
    <t>817-2 Т</t>
  </si>
  <si>
    <t>819-2 Т</t>
  </si>
  <si>
    <t>820-2 Т</t>
  </si>
  <si>
    <t>821-2 Т</t>
  </si>
  <si>
    <t>822-2 Т</t>
  </si>
  <si>
    <t>823-2 Т</t>
  </si>
  <si>
    <t>824-2 Т</t>
  </si>
  <si>
    <t>825-2 Т</t>
  </si>
  <si>
    <t>826-2 Т</t>
  </si>
  <si>
    <t>827-1 Т</t>
  </si>
  <si>
    <t>828-2 Т</t>
  </si>
  <si>
    <t>829-2 Т</t>
  </si>
  <si>
    <t>834-2 Т</t>
  </si>
  <si>
    <t>835-2 Т</t>
  </si>
  <si>
    <t>836-1 Т</t>
  </si>
  <si>
    <t>842-1 Т</t>
  </si>
  <si>
    <t>843-1 Т</t>
  </si>
  <si>
    <t>846-2 Т</t>
  </si>
  <si>
    <t>847-2 Т</t>
  </si>
  <si>
    <t>849-1 Т</t>
  </si>
  <si>
    <t>854-1 Т</t>
  </si>
  <si>
    <t>855-1 Т</t>
  </si>
  <si>
    <t>856-2 Т</t>
  </si>
  <si>
    <t>857-1 Т</t>
  </si>
  <si>
    <t>858-1 Т</t>
  </si>
  <si>
    <t>859-1 Т</t>
  </si>
  <si>
    <t>860-2 Т</t>
  </si>
  <si>
    <t>861-2 Т</t>
  </si>
  <si>
    <t>862-2 Т</t>
  </si>
  <si>
    <t>864-2 Т</t>
  </si>
  <si>
    <t>865-2 Т</t>
  </si>
  <si>
    <t>866-1 Т</t>
  </si>
  <si>
    <t>867-1 Т</t>
  </si>
  <si>
    <t>868-1 Т</t>
  </si>
  <si>
    <t>871-1 Т</t>
  </si>
  <si>
    <t>872-2 Т</t>
  </si>
  <si>
    <t>1960-1 Т</t>
  </si>
  <si>
    <t>1961-1 Т</t>
  </si>
  <si>
    <t>1962-1 Т</t>
  </si>
  <si>
    <t>1963-1 Т</t>
  </si>
  <si>
    <t>1964-1 Т</t>
  </si>
  <si>
    <t>1980 -1 Т</t>
  </si>
  <si>
    <t>май-июнь, июль</t>
  </si>
  <si>
    <t>1803-1 Т</t>
  </si>
  <si>
    <t xml:space="preserve">                               </t>
  </si>
  <si>
    <t>февраль-март, июнь - июль</t>
  </si>
  <si>
    <t>152 -1 У</t>
  </si>
  <si>
    <t>187 У</t>
  </si>
  <si>
    <t>52.21.11.20.20.00.00</t>
  </si>
  <si>
    <t>Услуги диспетчерские</t>
  </si>
  <si>
    <t>Услуги по установке системы диспетчеризации лифотв LG-SIGMA административного здания "КазМунайГаз" по проспекту Кабанбай батыра 19, блок А и Б, а также системы кондицирования машинных помещении лифтов</t>
  </si>
  <si>
    <t>С изменениями и дополнениями от 17.06.2015 г. №293</t>
  </si>
  <si>
    <t>1568-2 Т</t>
  </si>
  <si>
    <t>22.21.29.00.00.29.20.10.1</t>
  </si>
  <si>
    <t>муфта полипропиленовая переходная разборная с ВР</t>
  </si>
  <si>
    <t>2127 Т</t>
  </si>
  <si>
    <t>2128 Т</t>
  </si>
  <si>
    <t>Стойка стабилиазтора передняя</t>
  </si>
  <si>
    <t xml:space="preserve"> Рычаг нижний  для Lexus LX 570 VIN JTJHY00W204061629</t>
  </si>
  <si>
    <t>Рычаг верхний для Lexus LX 570 VIN JTJHY00W204061629</t>
  </si>
  <si>
    <t>29.31.21.00.00.00.26.10.1</t>
  </si>
  <si>
    <t>Наконечники рулевых тяг для Lexus LX 570 VIN JTJHY00W204061629</t>
  </si>
  <si>
    <t>Рулевое управление и их части</t>
  </si>
  <si>
    <t xml:space="preserve"> Рычаг поперечный нижний для Toyota Land Cruiser 100/200 VIN JTMHT05J105086286</t>
  </si>
  <si>
    <t xml:space="preserve"> Рычаг поперечный верхний для Toyota Land Cruiser 100/200 VIN JTMHT05J105086286</t>
  </si>
  <si>
    <t>продольный</t>
  </si>
  <si>
    <t>Поперечная тяга для Toyota Land Cruiser 100/200 VIN JTMHT05J105086286</t>
  </si>
  <si>
    <t xml:space="preserve"> Продольная тяга для Toyota Land Cruiser 100/200 VIN JTMHT05J105086286</t>
  </si>
  <si>
    <t xml:space="preserve">насос топливный для двигателей внутреннего сгорания </t>
  </si>
  <si>
    <t>29.32.30.00.15.11.11.10.1</t>
  </si>
  <si>
    <t>Ролик обводной</t>
  </si>
  <si>
    <t>для ремня газораспределительного механизма (ГРМ)</t>
  </si>
  <si>
    <t xml:space="preserve"> Наконечнники рулевых тяг для Toyota Land Cruiser 100/200 VIN JTMHT05J105086286</t>
  </si>
  <si>
    <t>Рычаг нижний поперечный для Toyota Camry VIN JTNBE40K603209629</t>
  </si>
  <si>
    <t xml:space="preserve"> Продольная тяга для Toyota Camry VIN JTNBE40K603209629</t>
  </si>
  <si>
    <t>Поперечная тяга для Toyota Camry VIN JTNBE40K603209629</t>
  </si>
  <si>
    <t>29.31.21.00.00.00.26.13.1</t>
  </si>
  <si>
    <t>для прочих автомобилей, с разомкнутым магнитопроводом</t>
  </si>
  <si>
    <t xml:space="preserve"> Наконечники рулевых тяг для Toyota Camry VIN JTNBE40K603209629</t>
  </si>
  <si>
    <t xml:space="preserve">  Наконечники рулевых тяг для Ssang Yong VIN KPTW1A1JSCP021126</t>
  </si>
  <si>
    <t>Рычаг верхний поперечный для Toyota HiAce VIN JTFSX23PX06064849</t>
  </si>
  <si>
    <t>Рычаг поперечный нижний для Toyota HiAce VIN JTFSX23PX06064849</t>
  </si>
  <si>
    <t xml:space="preserve"> Сайлентблок рычага верхнего для Toyota HiAce VIN JTFSX23PX06064849</t>
  </si>
  <si>
    <t xml:space="preserve"> Сайлентблок рычага нижнего для Toyota HiAce VIN JTFSX23PX06064849</t>
  </si>
  <si>
    <t>Наконечники рулевых тяг для Toyota HiAce VIN JTFSX23PX06064849</t>
  </si>
  <si>
    <t xml:space="preserve"> Рычаг продольний задний для KIA MOHAVE VIN KNAKN811DE5117304</t>
  </si>
  <si>
    <t xml:space="preserve"> Рычаг поперечный, нижний для KIA MOHAVE VIN KNAKN811DE5117304</t>
  </si>
  <si>
    <t>Рычаг поперечный, верхний для KIA MOHAVE VIN KNAKN811DE5117304</t>
  </si>
  <si>
    <t>Наконечники рулевых тяг для  KIA MOHAVE VIN KNAKN811DE5117304</t>
  </si>
  <si>
    <t>для кулисы коробки переключения передач автобуса</t>
  </si>
  <si>
    <t>Наконечники рулевых тяг для IVECO шасси NJ6713TY6</t>
  </si>
  <si>
    <t>Портативный, для быстрого и точного анализа алкоголя в выдыхаемом воздухе.</t>
  </si>
  <si>
    <t>Очищает и дезинфицирует все моющие поверхности. В пластиковой упаковке, объемом 500 мл. Состав: &lt;5% неионогенные ПАВ; консерванты, ароматизирующие добавки,
цитраль, цитронеллол, гераниол, гексилкоричный альдегид, лимонен,
линалоол.</t>
  </si>
  <si>
    <t>2129 Т</t>
  </si>
  <si>
    <t>20.41.32.00.00.00.30.40.1</t>
  </si>
  <si>
    <t>в пластмассовой бутылке, объемом: 500 мл.</t>
  </si>
  <si>
    <t>2130 Т</t>
  </si>
  <si>
    <t>В пластмассовой бутылке, объемом: 750 мл. Убивает 99,9% микробов.
-Удаляет самые стойкие пятна и до 100% известкового налета;
-Меняет цвет во время очищения;
-Эффективен даже под водой. Состав: вода, кислота соляная &gt;5% но &lt; 15%, н-ПАВ &lt;5%, амфотерное ПАВ &lt;
5%, отдушка, краситель.</t>
  </si>
  <si>
    <t>2131 Т</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</si>
  <si>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В пластмассовой бутылке с распылителем, объемом: 500 мл.</t>
  </si>
  <si>
    <t>2132 Т</t>
  </si>
  <si>
    <t>вес: 200 г</t>
  </si>
  <si>
    <t>2133 Т</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</si>
  <si>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</si>
  <si>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2134 Т</t>
  </si>
  <si>
    <t>20.41.31.00.00.10.10.50.2</t>
  </si>
  <si>
    <t>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</si>
  <si>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2135 Т</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</si>
  <si>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</si>
  <si>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2136 Т</t>
  </si>
  <si>
    <t>Состав: 100% целюллоза. Трехслойная, ширина не менее 90 мм, длина не менее 30 м</t>
  </si>
  <si>
    <t>2137 Т</t>
  </si>
  <si>
    <t>Состав: 100% целюллоза. Двухслойная, плотная, мягкая, ширина не менее 90 мм, длина не менее 180 м</t>
  </si>
  <si>
    <t>2138 Т</t>
  </si>
  <si>
    <t>Бумажное полотенце в рулонах, 2-слойные, белые, 715 л/рул, размер листа 24,7 x 20 см на аппарат "Enmotion"</t>
  </si>
  <si>
    <t>2139 Т</t>
  </si>
  <si>
    <t>без пропитки, двуслойная, белая, Z-сложения, с тиснением, влагопрочная, с большой впитывающей способностью, состав: 100% целлюлоза. Упаковка: в коробке 100-120 листов.</t>
  </si>
  <si>
    <t>2140 Т</t>
  </si>
  <si>
    <t>Салфетки однослойные, белые, состав: 100% целлюлоза. В полипропиленовом пакете 50 листов. Размеры: 24 см х 24 см. Плотность: 1 м² х 19±1 г.</t>
  </si>
  <si>
    <t>2141 Т</t>
  </si>
  <si>
    <t>Салфетки двухслойные, белые, влагопрочные, с большой впитывающей способностью, состав: 100% целлюлоза. В полипропиленовам пакете 30 листов. Размеры: 33 см х 33 см. Плотность: 1 м² 2х17 г</t>
  </si>
  <si>
    <t>2142 Т</t>
  </si>
  <si>
    <t xml:space="preserve">Салфетки двухслойные, белые, в коробке 100 листов (вытяжные), состав: 100% целлюлоза. </t>
  </si>
  <si>
    <t>2143 Т</t>
  </si>
  <si>
    <t>Бумажные полотенца с тиснениеми перфорацией в рулонах, 2-х слойные, 2шт./уп. Размер листов: 23 х 12,5см.</t>
  </si>
  <si>
    <t>2144 Т</t>
  </si>
  <si>
    <t>Полиэтиленовые мешки для мусора с завязками обычной прочности. Объем: 30л. Размер: 55см х 60 см, 50шт/рул.</t>
  </si>
  <si>
    <t>2145 Т</t>
  </si>
  <si>
    <t>Объем: 60л. Размер: 60см х 80 см, 20шт/рул.</t>
  </si>
  <si>
    <t>2146 Т</t>
  </si>
  <si>
    <t>2147 Т</t>
  </si>
  <si>
    <t>2148 Т</t>
  </si>
  <si>
    <t>2149 Т</t>
  </si>
  <si>
    <t>17.22.11.10.00.00.00.10.2</t>
  </si>
  <si>
    <t>однослойная, ширина не менее 90 мм, длина не менее 30 м</t>
  </si>
  <si>
    <t>2150 Т</t>
  </si>
  <si>
    <t>двухслойная, ширина не менее 90 мм, длина не менее 30 м</t>
  </si>
  <si>
    <t>2151 Т</t>
  </si>
  <si>
    <t>Однослойная, белая, влагопрочная, состав: 100% целлюлоза. В полипропиленовом пакете 50 листов. Размеры: 24 см х 24 см. Плотность: 1 м² х 19±1 г.</t>
  </si>
  <si>
    <t>2152 Т</t>
  </si>
  <si>
    <t>2153 Т</t>
  </si>
  <si>
    <t>С  дополнениями от 17.06.2015 г. №295</t>
  </si>
  <si>
    <t>по факту выполнения работ</t>
  </si>
  <si>
    <t>Комплексные работы по разработке проектно-сметной документации с положительным заключением РГП "Госэкспертиза" и последующим проведением строительно-монтажных работ, а также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Д.Кунаева, 8.</t>
  </si>
  <si>
    <t>2154 Т</t>
  </si>
  <si>
    <t>188 У</t>
  </si>
  <si>
    <t>2155 Т</t>
  </si>
  <si>
    <t>для аппарата по чистке обуви</t>
  </si>
  <si>
    <t>126-1 У</t>
  </si>
  <si>
    <t>11, 20, 21</t>
  </si>
  <si>
    <t>услуги по проведению санитарно-гигиенического исследования и санитарно-бактериологического исследования воды в чаше бассейна</t>
  </si>
  <si>
    <t>49-1 Т</t>
  </si>
  <si>
    <t>февраль-март, июнь-июль</t>
  </si>
  <si>
    <t>2156 Т</t>
  </si>
  <si>
    <t>2157 Т</t>
  </si>
  <si>
    <t>2158 Т</t>
  </si>
  <si>
    <t>27.40.24.10.00.00.10.10.1</t>
  </si>
  <si>
    <t>Искусственная неровность</t>
  </si>
  <si>
    <t>форма трапециевидная, материал резина</t>
  </si>
  <si>
    <t>Искусственная неровность в комплекте со всеми комплектующими</t>
  </si>
  <si>
    <t>22.22.13.50.00.00.00.00.1</t>
  </si>
  <si>
    <t>Евроконтейнер</t>
  </si>
  <si>
    <t>Евроконтейнер объемом 120 литров</t>
  </si>
  <si>
    <t>20.30.22.00.00.00.63.30.1</t>
  </si>
  <si>
    <t>Грунтовка</t>
  </si>
  <si>
    <t>универсальная</t>
  </si>
  <si>
    <t>Для гилроизоляции бетонных поверхностей</t>
  </si>
  <si>
    <t>2119-1 Т</t>
  </si>
  <si>
    <t>2159 Т</t>
  </si>
  <si>
    <t>25.99.29.00.03.21.01.02.3</t>
  </si>
  <si>
    <t>Алюкобонд</t>
  </si>
  <si>
    <t>Толщина пластины 4мм</t>
  </si>
  <si>
    <t>10-1 Р</t>
  </si>
  <si>
    <t>7, 11, 20, 21</t>
  </si>
  <si>
    <t>С  изменениями и дополнениями от 29.06.2015 г. №320</t>
  </si>
  <si>
    <t>Услуги по оценке имущества ТОО "Аспан индустрия"</t>
  </si>
  <si>
    <t>2160 Т</t>
  </si>
  <si>
    <t>13.93.13.00.00.30.13.10.1</t>
  </si>
  <si>
    <t>Коврик тафтинговый</t>
  </si>
  <si>
    <t>Коврики тафтинговые  из прочих синтетических нитей с разрезным ворсом</t>
  </si>
  <si>
    <t>Размер 90*120 см, цвет - угольный</t>
  </si>
  <si>
    <t>2161 Т</t>
  </si>
  <si>
    <t>Размер 90*120 см, цвет - коричневый</t>
  </si>
  <si>
    <t>2162 Т</t>
  </si>
  <si>
    <t>28.13.14.10.07.07.00.04.1</t>
  </si>
  <si>
    <t>Погружной дренажный насос Гном 16-16, 220/380В</t>
  </si>
  <si>
    <t>Приозводительность: 23 куб м/час, максимальный напор: 15 м, потребляемая мощность: 2200 Вт с поплапковым клапаном.</t>
  </si>
  <si>
    <t>2163 Т</t>
  </si>
  <si>
    <t>27.51.26.04.30.00.00.00.1</t>
  </si>
  <si>
    <t>Обогреватель</t>
  </si>
  <si>
    <t>электрический, взрывозащищенный</t>
  </si>
  <si>
    <t>Обогреватель переносной электрический. Тепловая мощность - 9 кВТ, 220 В. Температура на выходе не менее 50 градусов по цельсию.</t>
  </si>
  <si>
    <t>189 У</t>
  </si>
  <si>
    <t>6, 11, 15, 20, 21</t>
  </si>
  <si>
    <t>12-5 Р</t>
  </si>
  <si>
    <t>Комплексные работы по разработке проектно-сметной документации с положительным заключением РГП "Госэкспертиза" и последующим проведением строительно-монтажных работ "под ключ", а также ведением авторского надзора по объекту: "Перепланировка на 44 этаже площадью 1406,23 м2 в административном здании "Изумрудный квартал" блок Б, расположенном по адресу: Республика Казахстан, город Астана, ул. Д.Кунаева, 8.</t>
  </si>
  <si>
    <t>апрель-май, июль-август</t>
  </si>
  <si>
    <t>по факту выполнения работ после подписания Акта приемочной комиссии Заказчика</t>
  </si>
  <si>
    <t>С  изменениями и дополнениями от 1.07.2015 г. №326</t>
  </si>
  <si>
    <t>1480-2 Т</t>
  </si>
  <si>
    <t>май-июнь,июль-август</t>
  </si>
  <si>
    <t>16.22.10.20.10.10.10.03.1</t>
  </si>
  <si>
    <t>мозаичный: дуб, ясень, ильм, клен</t>
  </si>
  <si>
    <t>Паркет</t>
  </si>
  <si>
    <t>2164 Т</t>
  </si>
  <si>
    <t>Паркетная доска. Дуб темный. Брашированный 2215*164*14 мм</t>
  </si>
  <si>
    <t>23 -2 Р</t>
  </si>
  <si>
    <t>С  изменениями и дополнениями от 8.07.2015 г. №335</t>
  </si>
  <si>
    <t>1520-2 Т</t>
  </si>
  <si>
    <t>1502-2 Т</t>
  </si>
  <si>
    <t>2164-1 Т</t>
  </si>
  <si>
    <t>г.Астана, пр.Республики, д.32, каб.504</t>
  </si>
  <si>
    <t>г.Астана, ул.Кунаева, д. 8, Административное здание «Изумрудный квартал», блок Б</t>
  </si>
  <si>
    <t>54 Р</t>
  </si>
  <si>
    <t>2015 г.</t>
  </si>
  <si>
    <t>Демонтаж и монтаж цельностеклянных перегородок на 43 этаже административного здания "Изумрудный квартал" блок Б</t>
  </si>
  <si>
    <t>190 У</t>
  </si>
  <si>
    <t>70.22.30.10.00.00.00</t>
  </si>
  <si>
    <t>Услуги консультационные по вопросам предпринимательства</t>
  </si>
  <si>
    <t>Услуги консультационные по вопросам предпринимательства, с оказанием управленческой и организационной поддержки</t>
  </si>
  <si>
    <t>Консультационные услуги по реорганизации (слияние/присоединение/поглощение/пр.) дочерних организаций ТОО «КазМунайГаз-Сервис» в Кыргызской Республике</t>
  </si>
  <si>
    <t>24-1 Р</t>
  </si>
  <si>
    <t>февраль-март,июль-август</t>
  </si>
  <si>
    <t>с даты заключения договора в течение 20 календарных дней</t>
  </si>
  <si>
    <t>49-1 Р</t>
  </si>
  <si>
    <t>2164-2 Т</t>
  </si>
  <si>
    <t>1483-2 Т</t>
  </si>
  <si>
    <t>2165 Т</t>
  </si>
  <si>
    <t>23.64.10.00.20.40.00.04.1</t>
  </si>
  <si>
    <t>самонивелирующаяся для стяжек, цементная, легкая, СТ РК 1168-2006</t>
  </si>
  <si>
    <t xml:space="preserve">В мешке 25 кг.  </t>
  </si>
  <si>
    <t>2166 Т</t>
  </si>
  <si>
    <t>самонивелирующаяся для стяжек, гипсовая, легкая, СТ РК 1168-2006</t>
  </si>
  <si>
    <t>23.64.10.00.20.40.00.02.1</t>
  </si>
  <si>
    <t xml:space="preserve">В мешке 30 кг.  </t>
  </si>
  <si>
    <t>2119-2 Т</t>
  </si>
  <si>
    <t>июнь-июль,август</t>
  </si>
  <si>
    <t>2114-1 Т</t>
  </si>
  <si>
    <t>18-2 Р</t>
  </si>
  <si>
    <t>2167 Т</t>
  </si>
  <si>
    <t>2U RAID массивов уровней  0, 1, 10 из SAS, Сеть 2 x 10/100/1000 Мбит/сек. PCI Express 4 слота 8x, 1 слот 1x. 4x USB 3.0, 1x COM, 3x RJ-45 LAN, 1x VGA монитор, процессора 2.5 ГГц CPU Кэш L1 64 Кб x4 Кэш L2 256 КБ x4 Кэш L3 10 Мб, ОЗУ 16 ГБ (4096 Мб * 4) Мб  600 ГБ (300 Гб*2)  SAS 600 Мб/с,  8-портовая PCI-карта RS-232, SAS/RAID 0,1,10,5 SATA,  DVD Slim,  2Х750 Вт</t>
  </si>
  <si>
    <t>26.20.40.00.00.00.41.10.1</t>
  </si>
  <si>
    <t>Источник бесперебойного питания</t>
  </si>
  <si>
    <t>Резервный. Питание подключенной нагрузки осуществляется из первичной электрической сети, ИБП обеспечивает минимальные изменения — производится фильтрация высоковольтных импульсов и электромагнитных помех.</t>
  </si>
  <si>
    <t>700 Watts /1000 VA,Входной 230V /Выход 230V, Interface Port RJ-45 Serial, SmartSlot, USB, Высота аппаратурной стойки 2 U</t>
  </si>
  <si>
    <t>2168 Т</t>
  </si>
  <si>
    <t>2169 Т</t>
  </si>
  <si>
    <t>Microsoft Windows Server 2008 R2  х64</t>
  </si>
  <si>
    <t>2170 Т</t>
  </si>
  <si>
    <t>20.30.12.20.20.10.10.10.2</t>
  </si>
  <si>
    <t>ПФ-231</t>
  </si>
  <si>
    <t>Лак для паркета в банке объемом 3 литра</t>
  </si>
  <si>
    <t>С  изменениями и дополнениями от 15.07.2015 г. №348</t>
  </si>
  <si>
    <t>1500-2 Т</t>
  </si>
  <si>
    <t>1957-1 Т</t>
  </si>
  <si>
    <t>апрель-май,июль-август</t>
  </si>
  <si>
    <t>авансовый платеж -100%</t>
  </si>
  <si>
    <t>1958-1 Т</t>
  </si>
  <si>
    <t>11,15,19,20,21</t>
  </si>
  <si>
    <t>2113-1 Т</t>
  </si>
  <si>
    <t>С  изменениями и дополнениями от 20.07.2015 г. №354</t>
  </si>
  <si>
    <t>817-3 Т</t>
  </si>
  <si>
    <t>819-3 Т</t>
  </si>
  <si>
    <t>820-3 Т</t>
  </si>
  <si>
    <t>821-3 Т</t>
  </si>
  <si>
    <t>822-3 Т</t>
  </si>
  <si>
    <t>823-3 Т</t>
  </si>
  <si>
    <t>824-3 Т</t>
  </si>
  <si>
    <t>825-3 Т</t>
  </si>
  <si>
    <t>826-3 Т</t>
  </si>
  <si>
    <t>827-2 Т</t>
  </si>
  <si>
    <t>828-3 Т</t>
  </si>
  <si>
    <t>829-3 Т</t>
  </si>
  <si>
    <t>834-3 Т</t>
  </si>
  <si>
    <t>835-3 Т</t>
  </si>
  <si>
    <t>836-2 Т</t>
  </si>
  <si>
    <t>842-2 Т</t>
  </si>
  <si>
    <t>843-2 Т</t>
  </si>
  <si>
    <t>846-3 Т</t>
  </si>
  <si>
    <t>847-3 Т</t>
  </si>
  <si>
    <t>849-2 Т</t>
  </si>
  <si>
    <t>854-2 Т</t>
  </si>
  <si>
    <t>855-2 Т</t>
  </si>
  <si>
    <t>856-3 Т</t>
  </si>
  <si>
    <t>857-2 Т</t>
  </si>
  <si>
    <t>858-2 Т</t>
  </si>
  <si>
    <t>859-2 Т</t>
  </si>
  <si>
    <t>864-3 Т</t>
  </si>
  <si>
    <t>865-3 Т</t>
  </si>
  <si>
    <t>866-2 Т</t>
  </si>
  <si>
    <t>867-2 Т</t>
  </si>
  <si>
    <t>868-2 Т</t>
  </si>
  <si>
    <t>871-2 Т</t>
  </si>
  <si>
    <t>872-3 Т</t>
  </si>
  <si>
    <t>1960-2 Т</t>
  </si>
  <si>
    <t>1961-2 Т</t>
  </si>
  <si>
    <t>1962-2 Т</t>
  </si>
  <si>
    <t>1963-2 Т</t>
  </si>
  <si>
    <t>1964-2 Т</t>
  </si>
  <si>
    <t>2164-3 Т</t>
  </si>
  <si>
    <t>2165-1 Т</t>
  </si>
  <si>
    <t>2166-1 Т</t>
  </si>
  <si>
    <t>1710-3 Т</t>
  </si>
  <si>
    <t>1483-3 Т</t>
  </si>
  <si>
    <t>191 У</t>
  </si>
  <si>
    <t>Услуги по экспертному обследованию тепловых установок</t>
  </si>
  <si>
    <t>Услуги по экспертному обследованию тепловых сетей, тепловых установок и узлов</t>
  </si>
  <si>
    <t>Услуги по экспертному обследованию тепловых установок объектов, принадлежащих и обслуживаемых Товариществом.</t>
  </si>
  <si>
    <t>74.90.20.40.19.10.00</t>
  </si>
  <si>
    <t>с даты заключения договора в течение 60 календарных дней</t>
  </si>
  <si>
    <t>С  изменениями и дополнениями от 23.07.2015 г. №359</t>
  </si>
  <si>
    <t>558-1 Т</t>
  </si>
  <si>
    <t>559-1 Т</t>
  </si>
  <si>
    <t>560-1 Т</t>
  </si>
  <si>
    <t>561-1 Т</t>
  </si>
  <si>
    <t>562-1 Т</t>
  </si>
  <si>
    <t>563-1 Т</t>
  </si>
  <si>
    <t>564-1 Т</t>
  </si>
  <si>
    <t>565-1 Т</t>
  </si>
  <si>
    <t>566-1 Т</t>
  </si>
  <si>
    <t>567-1 Т</t>
  </si>
  <si>
    <t>2171 Т</t>
  </si>
  <si>
    <t>Картридж CF283A для HP LaserJet M125a, цвет - черный, 1500 страниц А4 при 5% заполнении</t>
  </si>
  <si>
    <t>583-2 Т</t>
  </si>
  <si>
    <t>585-2 Т</t>
  </si>
  <si>
    <t>586-2 Т</t>
  </si>
  <si>
    <t>573-2 Т</t>
  </si>
  <si>
    <t>576-3 Т</t>
  </si>
  <si>
    <t>577-1 Т</t>
  </si>
  <si>
    <t>164-1 У</t>
  </si>
  <si>
    <t>март-апрель,август-сентябрь</t>
  </si>
  <si>
    <t>1540-1 Т</t>
  </si>
  <si>
    <t>февраль-март,август-сентябрь</t>
  </si>
  <si>
    <t>1541-1 Т</t>
  </si>
  <si>
    <t xml:space="preserve">коврик зигзаг </t>
  </si>
  <si>
    <t>6,11,18,19,20,21</t>
  </si>
  <si>
    <t>1542-1 Т</t>
  </si>
  <si>
    <t>1543-1 Т</t>
  </si>
  <si>
    <t>1544-1 Т</t>
  </si>
  <si>
    <t>1550-1 Т</t>
  </si>
  <si>
    <t>1551-1 Т</t>
  </si>
  <si>
    <t>1547-1 Т</t>
  </si>
  <si>
    <t>1548-1 Т</t>
  </si>
  <si>
    <t>1549-1 Т</t>
  </si>
  <si>
    <t>2172 Т</t>
  </si>
  <si>
    <t>25.99.29.00.04.10.13.10.1</t>
  </si>
  <si>
    <t>Вешалка</t>
  </si>
  <si>
    <t>вешалка для одежды  на ножках в виде кактуса</t>
  </si>
  <si>
    <t>2173 Т</t>
  </si>
  <si>
    <t>26.51.63.14.12.12.11.11.1</t>
  </si>
  <si>
    <t>Электронный. Трехфазный (измерение переменного тока 380 В, 50 Гц).</t>
  </si>
  <si>
    <t>Счетчик электроэнергии трехфазный многотарифный, Номинальное напряжение, Un 3x230/400V, Диапазон рабочих частот 50Hz, Номинальный/базовый (максимальный) ток 5(7,5)A, Класс точности (A/R) кт-0,5S/1,0</t>
  </si>
  <si>
    <t>2174 Т</t>
  </si>
  <si>
    <t>Тип: с паром | Мощность: 2600 Вт | Паровой удар: 200 г/мин | Постоянная подача пара: 50 г/мин | Вертикальное отпаривание | Система самоочистки | Цвет: черный</t>
  </si>
  <si>
    <t>2175 Т</t>
  </si>
  <si>
    <t>28.94.30.00.00.00.07.02.1</t>
  </si>
  <si>
    <t>Оборудование для правки, сушки и отпарки изделий</t>
  </si>
  <si>
    <t>Отпариватель для одежды. Мощность: 2000 Вт | Емкость резервуара для воды: 1,2 л | Длина шнура: 1,8 м | Защита от перегрева | Цвет: синий.</t>
  </si>
  <si>
    <t>2176 Т</t>
  </si>
  <si>
    <t>27.51.24.00.01.01.01.30.1</t>
  </si>
  <si>
    <t>Скрытый нагревательный элемент. Объем от 1,5 до 1,99 л.</t>
  </si>
  <si>
    <t>Объем 1,7 литра, мощность 2400 Вт, материал корпуса пластик</t>
  </si>
  <si>
    <t>2177 Т</t>
  </si>
  <si>
    <t>Тип пылесоса: с контейнером | Тип уборки: сухая | Мощность всасывания: 450 Вт | Насадок 2 | Регулировка мощности: на корпусе | Объем пылесборника: 2 л | Длина</t>
  </si>
  <si>
    <t>2178 Т</t>
  </si>
  <si>
    <t>2179 Т</t>
  </si>
  <si>
    <t xml:space="preserve"> г.Астана, пр.Туран, 1</t>
  </si>
  <si>
    <t>14-1 У</t>
  </si>
  <si>
    <t>Услуги по аренде легковых автомобилей без водителя в г.Астана (автомобиль повышенной проходимости, представительского класса - 7 ед., объем двигателя не менее 4000 куб.см, расчетный ежемесячный пробег - 3900 км, 6-дневная рабочая неделя)</t>
  </si>
  <si>
    <t>январь,август</t>
  </si>
  <si>
    <t>16-1 У</t>
  </si>
  <si>
    <t>с даты заключения договора по 31 июля 2015 г.</t>
  </si>
  <si>
    <t>192 У</t>
  </si>
  <si>
    <t>71.20.19.12.00.00.00</t>
  </si>
  <si>
    <t>Услуги по авторскому надзору</t>
  </si>
  <si>
    <t>Услуги по авторскому надзору работ по устройству сетей системы видеонаблюдения на объекте, расположенном по адресу: г.Астана, Административное здание "Изумрудный квартал", Блок Б</t>
  </si>
  <si>
    <t>Пылесос для сухой уборки, мощность 1000 Квт, напряжение 220 Вт, мощность всасывания  52 л/с, объем бака 13 л, материал бака пластик.</t>
  </si>
  <si>
    <t>Пылесос для сухой уборки, мощность 1300 Квт, напряжение 220 Вт, мощность всасывания  56 л/с, объем бака 15 л, материал бака пластик.</t>
  </si>
  <si>
    <t>1303-1 Т</t>
  </si>
  <si>
    <t>1304-1 Т</t>
  </si>
  <si>
    <t>1306-1 Т</t>
  </si>
  <si>
    <t>1307-1 Т</t>
  </si>
  <si>
    <t>1308-1 Т</t>
  </si>
  <si>
    <t>1309-1 Т</t>
  </si>
  <si>
    <t>1310-1 Т</t>
  </si>
  <si>
    <t>1375-1 Т</t>
  </si>
  <si>
    <t>1376-1 Т</t>
  </si>
  <si>
    <t>1377-1 Т</t>
  </si>
  <si>
    <t>1378-1 Т</t>
  </si>
  <si>
    <t>1379-1 Т</t>
  </si>
  <si>
    <t>1380-1 Т</t>
  </si>
  <si>
    <t>1381-1 Т</t>
  </si>
  <si>
    <t>1382-1 Т</t>
  </si>
  <si>
    <t>1383-1 Т</t>
  </si>
  <si>
    <t>1384-1 Т</t>
  </si>
  <si>
    <t>1385-2 Т</t>
  </si>
  <si>
    <t>май-июнь,август-сентябрь</t>
  </si>
  <si>
    <t>1386-2 Т</t>
  </si>
  <si>
    <t>1387-2 Т</t>
  </si>
  <si>
    <t>1893-2 Т</t>
  </si>
  <si>
    <t>21-2 Т</t>
  </si>
  <si>
    <t>78-1 Т</t>
  </si>
  <si>
    <t>84-1 Т</t>
  </si>
  <si>
    <t>60-1 Т</t>
  </si>
  <si>
    <t>59-1 Т</t>
  </si>
  <si>
    <t>15-1 У</t>
  </si>
  <si>
    <t>Услуги по аренде легковых автомобилей без водителя в г.Астана (автомобиль повышенной проходимости, представительского класса - 2 ед., объем двигателя не менее 5660 куб.см,  расчетный ежемесячный пробег - 3900 км, 6-дневная рабочая неделя)</t>
  </si>
  <si>
    <t>январь,август-сентябрь</t>
  </si>
  <si>
    <t>Шлепанцы унисекс, материал верха 100% поливинилхлорид,  материал подошвы этиленвинилацетат</t>
  </si>
  <si>
    <t>2180 Т</t>
  </si>
  <si>
    <t>2181 Т</t>
  </si>
  <si>
    <t>15.20.11.00.00.00.72.11.2</t>
  </si>
  <si>
    <t>Тапочки для душа женские</t>
  </si>
  <si>
    <t xml:space="preserve"> Женские шлепанцы с массажным эффектом обеспечивают комфорт и улучшают кровообращение. Подходят как для пляжа, так и для бассейна.. Состав: вверх, подошва, стелька 100% поливинилхлорид. </t>
  </si>
  <si>
    <t xml:space="preserve"> Мужские шлепанцы предназначены для ношения на пляже и в бассейне. Сделаны из современного легкого материала EVA, который хорошо держит стопу, обладает гибкостью и устойчив к истиранию. Состав: вверх, подошва, стелька 100% этиленвинилацетат.</t>
  </si>
  <si>
    <t xml:space="preserve"> Мужские шлепанцы  для бассейна. Материал верха из ПВХ обладает высокой износостойкостью. Анатомическая подошва из ЭВА обеспечивает легкость и комфорт. Протектор с особым рисунком создает максимальное сцепление с мокрой поверхностью. Удобная застежка на липучке. Состав:90% поливинилхлорид, 10 % текстиль; подошва: 100 % этиленвинилацетат.</t>
  </si>
  <si>
    <t>С  изменениями и дополнениями от 12.08.2015 г. №386</t>
  </si>
  <si>
    <t>1796-2 Т</t>
  </si>
  <si>
    <t>2182 Т</t>
  </si>
  <si>
    <t>31.01.11.00.00.00.05.07.1</t>
  </si>
  <si>
    <t>картотека</t>
  </si>
  <si>
    <t>Картотека файловая, 4 ящика</t>
  </si>
  <si>
    <t>Вместимость папок 220, вес 50 кг, цвет-серый полуматовый. Предназначен для систематизации и удобного хранения документов</t>
  </si>
  <si>
    <t>2183 Т</t>
  </si>
  <si>
    <t xml:space="preserve"> Технические характаристики: мощность нагрев 6-9 кВт, напряжение питания 380В, частота 50 Гц,  расход воздуха 1670 м3/ч, пульт дистанционного управления - есть, габариты ШхВхГ  1500х221х183 мм, может устанавливаться вертикально или горизонтально</t>
  </si>
  <si>
    <t>2184 Т</t>
  </si>
  <si>
    <t>27.20.22.00.00.02.01.05.1</t>
  </si>
  <si>
    <t>для ИПБ, свинцово-кислотный, напряжение 12 В, емкость 5А/ч</t>
  </si>
  <si>
    <t>Тип аккумулятора: AGM, Емкость аккумулятора: 5.0(А/ч), Напряжение: 12.0(В), Минимальная рабочая температура: -20.0(град.), Максимальная рабочая температура: 60.0(град.)</t>
  </si>
  <si>
    <t>2185 Т</t>
  </si>
  <si>
    <t>27.20.22.00.00.02.01.03.1</t>
  </si>
  <si>
    <t>для ИПБ, свинцово-кислотный, напряжение 12 В, емкость 9А/ч</t>
  </si>
  <si>
    <t>Тип аккумулятора: AGM, Емкость аккумулятора: 7.0(А/ч), Напряжение: 12.0(В), Минимальная рабочая температура: -20.0(град.), Максимальная рабочая температура: 60.0(град.)</t>
  </si>
  <si>
    <t>2186 Т</t>
  </si>
  <si>
    <t>Тип аккумулятора: AGM, Емкость аккумулятора: 20.0(А/ч), Напряжение: 12.0(В), Минимальная рабочая температура: -20.0(град.), Максимальная рабочая температура: 60.0(град.)</t>
  </si>
  <si>
    <t xml:space="preserve">Емкость аккумулятора: 12(А/ч), Напряжение: 12.0(В), </t>
  </si>
  <si>
    <t>192-1 У</t>
  </si>
  <si>
    <t>В течение всего периода проведения строительно-монтажных работ по устройству и пуско-наладке системы видеонаблюдения на Объекте</t>
  </si>
  <si>
    <t>14</t>
  </si>
  <si>
    <t>193 У</t>
  </si>
  <si>
    <t>Услуги по авторскому надзору работ по устройству и пуско-наладке автоматизированной системы мониторинга конструкций на объекте, расположенном по адресу: г.Астана, Административное здание "Изумрудный квартал", Блок Б</t>
  </si>
  <si>
    <t>В течение всего периода проведения строительно-монтажных работ по устройству и пуско-наладке автоматизированной  системы мониторинга конструкций на Объекте</t>
  </si>
  <si>
    <t>194 У</t>
  </si>
  <si>
    <t>73.11.11.11.00.00.00</t>
  </si>
  <si>
    <t>Услуги по размещению бегущей строки на телевидении</t>
  </si>
  <si>
    <t>периодическое размещение текстов объявлений в бегущую строку на телевидении</t>
  </si>
  <si>
    <t>195 У</t>
  </si>
  <si>
    <t>2187 Т</t>
  </si>
  <si>
    <t>25.71.11.00.00.30.20.10.1</t>
  </si>
  <si>
    <t>Ножницы для резки пластиковых труб</t>
  </si>
  <si>
    <t>2188 Т</t>
  </si>
  <si>
    <t>Ножницы для металлопластиковых и полипропиленовых труб, которые позволяют не прилагая особых усилий отрезать трубы диаметром 20-63 мм.</t>
  </si>
  <si>
    <t>Ножницы для металлопластиковых и полипропиленовых труб, которые позволяют не прилагая особых усилий отрезать трубы диаметром 20-40 мм.</t>
  </si>
  <si>
    <t>1500-3 Т</t>
  </si>
  <si>
    <t>май-июнь,июль-август-сентябрь</t>
  </si>
  <si>
    <t>20.30.11.00.00.00.10.81.3</t>
  </si>
  <si>
    <t>1499-2 Т</t>
  </si>
  <si>
    <t>1478-3 Т</t>
  </si>
  <si>
    <t>1509-3 Т</t>
  </si>
  <si>
    <t>1340-3 Т</t>
  </si>
  <si>
    <t>1338-2 Т</t>
  </si>
  <si>
    <t>2189 Т</t>
  </si>
  <si>
    <t>22.19.27.00.00.10.10.20.1</t>
  </si>
  <si>
    <t>Уплотнители резиновые тип I, группа - а</t>
  </si>
  <si>
    <t>Уплотнители резиновые тип I, группа - а твердость по Шору (А) от 45 до 55 ед. П - для поливинилхлоридных оконных и дверных блоков</t>
  </si>
  <si>
    <t xml:space="preserve">Уплотнительные резинки для окон </t>
  </si>
  <si>
    <t>1353-2 Т</t>
  </si>
  <si>
    <t>1893-3 Т</t>
  </si>
  <si>
    <t>1902-2 Т</t>
  </si>
  <si>
    <t>1897-2 Т</t>
  </si>
  <si>
    <t>1898-2 Т</t>
  </si>
  <si>
    <t>1899-2 Т</t>
  </si>
  <si>
    <t>2190 Т</t>
  </si>
  <si>
    <t>диск с алмазным напылением, диматером 125 мм</t>
  </si>
  <si>
    <t>55 Р</t>
  </si>
  <si>
    <t>80.20.10.23.00.00.00</t>
  </si>
  <si>
    <t>Работы по изготовлению и установке плана эвакуации</t>
  </si>
  <si>
    <t>Работы по изготовлению планов эвакуаций в количестве 190 штук для административного здания "Изумрудный квартал" блок Б</t>
  </si>
  <si>
    <t>2191 Т</t>
  </si>
  <si>
    <t>2192 Т</t>
  </si>
  <si>
    <t>2193 Т</t>
  </si>
  <si>
    <t>21.20.13.00.00.03.64.64.1</t>
  </si>
  <si>
    <t>Масло пихты, касторовое масло, шишек хмеля экстракт жидкий, масло мяты перечной, плодов моркови дикой экстракт жидкий, травы душицы экстракт жидкий</t>
  </si>
  <si>
    <t>объемом 500 мл</t>
  </si>
  <si>
    <t>2194 Т</t>
  </si>
  <si>
    <t>2195 Т</t>
  </si>
  <si>
    <t>2196 Т</t>
  </si>
  <si>
    <t>2197 Т</t>
  </si>
  <si>
    <t>2198 Т</t>
  </si>
  <si>
    <t>32.99.59.90.00.00.00.15.1</t>
  </si>
  <si>
    <t>Набор для сауны</t>
  </si>
  <si>
    <t>состоит из бадьи, ковш-черпака</t>
  </si>
  <si>
    <t>32.30.15.00.00.00.14.20.1</t>
  </si>
  <si>
    <t>Мячи надувные</t>
  </si>
  <si>
    <t>2199 Т</t>
  </si>
  <si>
    <t>2200 Т</t>
  </si>
  <si>
    <t>Мяч для футбола кожаный</t>
  </si>
  <si>
    <t>Мяч для мини-футбола кожаный</t>
  </si>
  <si>
    <t>2201 Т</t>
  </si>
  <si>
    <t>32.30.15.00.00.00.23.01.1</t>
  </si>
  <si>
    <t>для мини-футбольных ворот. Размеры:  шестиугольная, площадью 100 см2, произведена по безузловой технологии, стандартные четырехугольные ячейки 10х10 см</t>
  </si>
  <si>
    <t>Сетка для мини-футбола капроновая</t>
  </si>
  <si>
    <t>2202 Т</t>
  </si>
  <si>
    <t>20.59.41.99.01.20.10.15.1</t>
  </si>
  <si>
    <t>Смазка</t>
  </si>
  <si>
    <t>для тренажеров, силиконовая</t>
  </si>
  <si>
    <t>Специальная смазка для тренажеров</t>
  </si>
  <si>
    <t>2203 Т</t>
  </si>
  <si>
    <t>силиконовая смазка для беговых дорожек</t>
  </si>
  <si>
    <t>2204 Т</t>
  </si>
  <si>
    <t>25.72.12.00.00.10.15.10.1</t>
  </si>
  <si>
    <t>Замок висячий малый</t>
  </si>
  <si>
    <t>Замок с ключами для шкафчиков 19 мм, круглые,железные.</t>
  </si>
  <si>
    <t>2205 Т</t>
  </si>
  <si>
    <t>32.99.59.99.00.00.21.26.1</t>
  </si>
  <si>
    <t>для насоса надувания спортивных мячей</t>
  </si>
  <si>
    <t>1983-1 Т</t>
  </si>
  <si>
    <t>июнь-июль,август-сентябрь</t>
  </si>
  <si>
    <t>183-1 У</t>
  </si>
  <si>
    <t>196 У</t>
  </si>
  <si>
    <t>Услуги консультационные по сопровождению сделок по ликвидации/реализации юридических лиц</t>
  </si>
  <si>
    <t>70.22.30.10.10.10.00</t>
  </si>
  <si>
    <t>197 У</t>
  </si>
  <si>
    <t>Услуги по размещению рекламы  ("бегущая строка")  аренды административного здания "Изумрудный квартал" блок Б" на телеканалах "КТК" и "НТК".</t>
  </si>
  <si>
    <t>Услуги по размещению рекламы ("бегущая строка") оздоровительного комплекса "Сункар" на телеканалах "КТК" и "НТК" по г. Астана.</t>
  </si>
  <si>
    <t>Услуги по размещению рекламы  ("бегущая строка")  оздоровительного комплекса "Сункар" на телеканалах "КТК" и "НТК" по Акмолинской области.</t>
  </si>
  <si>
    <t xml:space="preserve">Услуги по ликвидации АО «КазМунайГаз-Сервис NS»  и передачи основных активов Компании на баланс ТОО  "КазМунайГаз-Сервис" (без приостановки деятельности активов на период ликвидации компании) </t>
  </si>
  <si>
    <t>2206 Т</t>
  </si>
  <si>
    <t>С  изменениями и дополнениями от 26.08.2015 г. №406</t>
  </si>
  <si>
    <t>1401-2 Т</t>
  </si>
  <si>
    <t>май-июнь,сентябрь-октябрь</t>
  </si>
  <si>
    <t>1496-2 Т</t>
  </si>
  <si>
    <t>май-июнь, сентябрь-октябрь</t>
  </si>
  <si>
    <t>1467-2 Т</t>
  </si>
  <si>
    <t>1441-2 Т</t>
  </si>
  <si>
    <t>1406-2 Т</t>
  </si>
  <si>
    <t>1973-1 Т</t>
  </si>
  <si>
    <t>1408-2 Т</t>
  </si>
  <si>
    <t>1471-2 Т</t>
  </si>
  <si>
    <t>1469-2 Т</t>
  </si>
  <si>
    <t>1340-4 Т</t>
  </si>
  <si>
    <t>1390-3 Т</t>
  </si>
  <si>
    <t>1397-2 Т</t>
  </si>
  <si>
    <t>1531-3 Т</t>
  </si>
  <si>
    <t>1338-3 Т</t>
  </si>
  <si>
    <t>1337-2 Т</t>
  </si>
  <si>
    <t>1448-2 Т</t>
  </si>
  <si>
    <t>1499-3 Т</t>
  </si>
  <si>
    <t>2207 Т</t>
  </si>
  <si>
    <t>20.52.10.00.00.00.09.05.1</t>
  </si>
  <si>
    <t>Клей обойный</t>
  </si>
  <si>
    <t>обойный, изготовленный на основе высококачественной хлопковой целлюлозы и преднозначен для наклеевания всех видов обоев на бумажной основе</t>
  </si>
  <si>
    <t>1500-4 Т</t>
  </si>
  <si>
    <t>2157-1 Т</t>
  </si>
  <si>
    <t>июнь-июль,сентярь-октябрь</t>
  </si>
  <si>
    <t>1479-3 Т</t>
  </si>
  <si>
    <t>1502-3 Т</t>
  </si>
  <si>
    <t>май-июнь,июль-август,сентябрь</t>
  </si>
  <si>
    <t>1480-3 Т</t>
  </si>
  <si>
    <t>1723-2 Т</t>
  </si>
  <si>
    <t>1748-2 Т</t>
  </si>
  <si>
    <t>1745-2 Т</t>
  </si>
  <si>
    <t>1765-2 Т</t>
  </si>
  <si>
    <t>1803-2 Т</t>
  </si>
  <si>
    <t>февраль-март, июнь - июль,сентябрь</t>
  </si>
  <si>
    <t>1806-3 Т</t>
  </si>
  <si>
    <t>2127-1 Т</t>
  </si>
  <si>
    <t>2208 Т</t>
  </si>
  <si>
    <t>32.99.86.00.00.00.20.10.1</t>
  </si>
  <si>
    <t>Портрет</t>
  </si>
  <si>
    <t>готовый портрет в рамке</t>
  </si>
  <si>
    <t>Портрет Президента. Размер 50х59.5 см</t>
  </si>
  <si>
    <t>2209 Т</t>
  </si>
  <si>
    <t>17.23.12.70.10.10.10.10.1</t>
  </si>
  <si>
    <t>Плакат</t>
  </si>
  <si>
    <t>информационный, рекламный</t>
  </si>
  <si>
    <t>Плакат с государственнйо символикой и гимном</t>
  </si>
  <si>
    <t>2210 Т</t>
  </si>
  <si>
    <t>23.69.11.00.20.10.10.10.1</t>
  </si>
  <si>
    <t>Герб</t>
  </si>
  <si>
    <t>из гипса</t>
  </si>
  <si>
    <t>Герб диаметром  0.5 метров</t>
  </si>
  <si>
    <t>2211 Т</t>
  </si>
  <si>
    <t>13.92.29.00.00.00.60.30.1</t>
  </si>
  <si>
    <t>Флаг</t>
  </si>
  <si>
    <t>Флаги</t>
  </si>
  <si>
    <t>Флаг Республики Казахстан 1х2 м.</t>
  </si>
  <si>
    <t>2212 Т</t>
  </si>
  <si>
    <t>32.99.59.00.00.00.22.02.1</t>
  </si>
  <si>
    <t>Флагшток</t>
  </si>
  <si>
    <t>Флаг-шток (металл/золото)</t>
  </si>
  <si>
    <t>198 У</t>
  </si>
  <si>
    <t>Услуги по страхованию административного здания по ул.Ауэзова,18</t>
  </si>
  <si>
    <t>56 Р</t>
  </si>
  <si>
    <t>Работы по ремонту дизель-генераторной установки  в административном здании по пр.Кабанбай батыра 19, блок Б</t>
  </si>
  <si>
    <t>г.Астана, пр.Кабанбай батыра, 19, Блок  Б</t>
  </si>
  <si>
    <t>2213 Т</t>
  </si>
  <si>
    <t>26.51.52.14.11.11.10.60.1</t>
  </si>
  <si>
    <t>диаметр  корпуса 100 мм, класс  точности 1,5, диапазон показаний от 0 до 10</t>
  </si>
  <si>
    <t>Манометр для насосных станции систмем автоматического и рукавного пожаротушения  здания "Изумарудный Квартал". Класс точности 1,5, резьба 20 мм. Диапазон показаний от 0 до 10 Мпа.</t>
  </si>
  <si>
    <t>2214 Т</t>
  </si>
  <si>
    <t>26.20.21.01.14.13.14.13.1</t>
  </si>
  <si>
    <t>Размер 3,5'', интерфейс FireWire 800, емкость - 4 Тб</t>
  </si>
  <si>
    <t>Жесткий диск объемом 8 ТБ, USB 3.0/ . Тип HDD 3.5".</t>
  </si>
  <si>
    <t>2215 Т</t>
  </si>
  <si>
    <t>26.51.12.00.00.11.14.12.1</t>
  </si>
  <si>
    <t>Дальномер</t>
  </si>
  <si>
    <t>Лазерный</t>
  </si>
  <si>
    <t>27.90.40.09.10.00.00.01.1</t>
  </si>
  <si>
    <t>Аппарат для гидравлических испытаний</t>
  </si>
  <si>
    <t>аппарат для гидравлических испытаний систем отопления, холодоснабжения и прочего</t>
  </si>
  <si>
    <t xml:space="preserve">Опрессовочный насос. Объем резервуара: 12 л, Расход: ок. 45 мл/такт, Габариты: 720×170×260 мм </t>
  </si>
  <si>
    <t>27.90.32.00.00.01.05.55.1</t>
  </si>
  <si>
    <t>Элемент для пайки металлов</t>
  </si>
  <si>
    <t>Припой для пайки меди 5%</t>
  </si>
  <si>
    <t>25.73.20.00.00.13.13.10.2</t>
  </si>
  <si>
    <t>Плашка</t>
  </si>
  <si>
    <t>Разрезные плашки</t>
  </si>
  <si>
    <t xml:space="preserve">Клупп резьбонарезной ручной 1/2* - 2*. В комплекте: трещотка, цельный адаптер, головки, смазочно-охлаждающая жидкость. </t>
  </si>
  <si>
    <t>20.59.59.00.14.00.04.38.1</t>
  </si>
  <si>
    <t>Смесь аттестованная газовая</t>
  </si>
  <si>
    <t>поверочная газовая смесь содержащая точную концентрацию сероводорода, метил- и этилмеркаптанов: 1 баллон с меньшей концентрацией, в ppm - сероводорода 32, метилмеркаптана 29, этилмеркаптана 21, газ разбавитель- азот</t>
  </si>
  <si>
    <t>Мапп газ объемом 453 гр.</t>
  </si>
  <si>
    <t>Один  баллон</t>
  </si>
  <si>
    <t>Горелка газовая с автоподжигом</t>
  </si>
  <si>
    <t>27.90.31.00.01.02.04.10.1</t>
  </si>
  <si>
    <t>для проведения сварочных работ</t>
  </si>
  <si>
    <t xml:space="preserve">Флюс для пайки </t>
  </si>
  <si>
    <t>25.99.29.00.02.13.18.20.1</t>
  </si>
  <si>
    <t>Стремянка</t>
  </si>
  <si>
    <t>универсальная многофункциональная 3-секционная лестница-стремянка</t>
  </si>
  <si>
    <t>13.20.12.00.00.40.10.20.1</t>
  </si>
  <si>
    <t>Бильярдное сукно. Состав шерсть 70-85%, нейлон 10-30%</t>
  </si>
  <si>
    <t>Сукно для бильярдного стола размером 6х15 м.</t>
  </si>
  <si>
    <t>26.20.17.00.03.11.11.10.1</t>
  </si>
  <si>
    <t>Проектор</t>
  </si>
  <si>
    <t>Мультимедийный</t>
  </si>
  <si>
    <t>558-2 Т</t>
  </si>
  <si>
    <t>559-2 Т</t>
  </si>
  <si>
    <t>560-2 Т</t>
  </si>
  <si>
    <t>561-2 Т</t>
  </si>
  <si>
    <t>562-2 Т</t>
  </si>
  <si>
    <t>563-2 Т</t>
  </si>
  <si>
    <t>564-2 Т</t>
  </si>
  <si>
    <t>565-2 Т</t>
  </si>
  <si>
    <t>566-2 Т</t>
  </si>
  <si>
    <t>567-2 Т</t>
  </si>
  <si>
    <t>2171-1 Т</t>
  </si>
  <si>
    <t>июль-август,сентябрь-октябрь</t>
  </si>
  <si>
    <t>С  изменениями и дополнениями от 07.09.2015 г. №422</t>
  </si>
  <si>
    <t>2216 Т</t>
  </si>
  <si>
    <t>2217 Т</t>
  </si>
  <si>
    <t>2218 Т</t>
  </si>
  <si>
    <t>2219 Т</t>
  </si>
  <si>
    <t>2220 Т</t>
  </si>
  <si>
    <t>2221 Т</t>
  </si>
  <si>
    <t>2222 Т</t>
  </si>
  <si>
    <t>2223 Т</t>
  </si>
  <si>
    <t>2224 Т</t>
  </si>
  <si>
    <t>2118-1 Т</t>
  </si>
  <si>
    <t>1723-3 Т</t>
  </si>
  <si>
    <t>1257-1 Т</t>
  </si>
  <si>
    <t>февраль-март,сентябрь-октябрь</t>
  </si>
  <si>
    <t>1746-2 Т</t>
  </si>
  <si>
    <t>1748-3 Т</t>
  </si>
  <si>
    <t>1759-2 Т</t>
  </si>
  <si>
    <t>1766-2 Т</t>
  </si>
  <si>
    <t>1889-2 Т</t>
  </si>
  <si>
    <t>1893-4 Т</t>
  </si>
  <si>
    <t>2119-3 Т</t>
  </si>
  <si>
    <t>июнь-июль,август,сентябрь-октябрь</t>
  </si>
  <si>
    <t>2117-1 Т</t>
  </si>
  <si>
    <t>1901-2 Т</t>
  </si>
  <si>
    <t>2114-2 Т</t>
  </si>
  <si>
    <t>2116-1 Т</t>
  </si>
  <si>
    <t>1921-2 Т</t>
  </si>
  <si>
    <t>1891-2 Т</t>
  </si>
  <si>
    <t>Кислотное средство для общей чистки с использованием поломойных машин. Моющее средство эффективно удаляет цементные разводы, известковый налет, ржавчину, пивной и молочный камень. Кислое pH: 10-13. В пластиковой канистре. Состав: анионные тензиды, неионные тензиды, ароматизаторы, красители.  Объем 20л.</t>
  </si>
  <si>
    <t>2225 Т</t>
  </si>
  <si>
    <t>2226 Т</t>
  </si>
  <si>
    <t>2227 Т</t>
  </si>
  <si>
    <t>2228 Т</t>
  </si>
  <si>
    <t>2229 Т</t>
  </si>
  <si>
    <t>2230 Т</t>
  </si>
  <si>
    <t>2231 Т</t>
  </si>
  <si>
    <t>2232 Т</t>
  </si>
  <si>
    <t>2233 Т</t>
  </si>
  <si>
    <t>2234 Т</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</si>
  <si>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</si>
  <si>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20.41.44.00.00.00.00.40.1</t>
  </si>
  <si>
    <t>Ополаскиватель</t>
  </si>
  <si>
    <t>Концентрированный кондиционер для белья. Придает мягкость, свежесть, антистатик, облегчает глажение</t>
  </si>
  <si>
    <t>В средстве содержится:
5-15% катионные ПАВ, &lt;5% неиногенные ПАВ, консерванты, ароматизирующие добавки, 3-метил-4-(2,6,6-три-метил-2-2иклогексен-1-ил)-3-бутен-2-он, бензилсалицилат, 2-(4-тетрбутилбензил)пропиональдегид, цитронеллол, гексилкоричный альдегид, линалоол. В пластиковой упаковке, объемом 1 000 мл.</t>
  </si>
  <si>
    <t>2235 Т</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</si>
  <si>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t>
  </si>
  <si>
    <t>2236 Т</t>
  </si>
  <si>
    <t>2237 Т</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</si>
  <si>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250 мл.</t>
  </si>
  <si>
    <t>2238 Т</t>
  </si>
  <si>
    <t>г.Астана, ул.Ауэзова, д.19</t>
  </si>
  <si>
    <t>2239 Т</t>
  </si>
  <si>
    <t>2240 Т</t>
  </si>
  <si>
    <t xml:space="preserve">Перчатки резиновые хозяйственные из 100% латекса хлорированная поверхность, гипоалергенное, с хлопковым напылением внутри, против раздрожения кожи рук. </t>
  </si>
  <si>
    <t>2241 Т</t>
  </si>
  <si>
    <t>2242 Т</t>
  </si>
  <si>
    <t>2243 Т</t>
  </si>
  <si>
    <t>2244 Т</t>
  </si>
  <si>
    <t>2245 Т</t>
  </si>
  <si>
    <t>2246 Т</t>
  </si>
  <si>
    <t>2247 Т</t>
  </si>
  <si>
    <t>2248 Т</t>
  </si>
  <si>
    <t>2249 Т</t>
  </si>
  <si>
    <t>2250 Т</t>
  </si>
  <si>
    <t>57 Р</t>
  </si>
  <si>
    <t>43.22.12.10.14.00.00</t>
  </si>
  <si>
    <t>Работы по текущему ремонту системы отопления</t>
  </si>
  <si>
    <t>Работы по замене трубопровода теплового ввода в административное здание по уд. Ауэзова, 18</t>
  </si>
  <si>
    <t>г.Астана, ул. Ауэзова, 18</t>
  </si>
  <si>
    <t>19-3 У</t>
  </si>
  <si>
    <t>январь, март-апрель, сентябрь</t>
  </si>
  <si>
    <t>16-2 У</t>
  </si>
  <si>
    <t>январь,август,сентябрь</t>
  </si>
  <si>
    <t>с даты заключения договора по 31 августа 2015 г.</t>
  </si>
  <si>
    <t>58 Р</t>
  </si>
  <si>
    <t>с даты заключения договора в течение 45 календарных дней</t>
  </si>
  <si>
    <t>71.12.19.30.20.00.00</t>
  </si>
  <si>
    <t>Работы по корректировке проектно-сметной документации</t>
  </si>
  <si>
    <t>1806-4 Т</t>
  </si>
  <si>
    <t>2126-1 Т</t>
  </si>
  <si>
    <t>С  изменениями и дополнениями от 15.09.2015 г. №436</t>
  </si>
  <si>
    <t>2251 Т</t>
  </si>
  <si>
    <t>25.94.11.00.00.10.36.01.1</t>
  </si>
  <si>
    <t>Болт</t>
  </si>
  <si>
    <t>анкерный болт с гайкой 18*100 мм</t>
  </si>
  <si>
    <t>2252 Т</t>
  </si>
  <si>
    <t>диск алмазный отрезной, диаметром 125 х 22,2 мм</t>
  </si>
  <si>
    <t>2253 Т</t>
  </si>
  <si>
    <t>27.51.23.00.00.01.02.10.1</t>
  </si>
  <si>
    <t>Настенная</t>
  </si>
  <si>
    <t xml:space="preserve">Рукосушилка </t>
  </si>
  <si>
    <t>2254 Т</t>
  </si>
  <si>
    <t>Коврик резиновый для бассейна</t>
  </si>
  <si>
    <t>2256 Т</t>
  </si>
  <si>
    <t>2255 Т</t>
  </si>
  <si>
    <t xml:space="preserve"> Работы по проекту "Корректировка раздела проектно-сметной документации на устройство конференц-систем рабочего проекта "Административное здание "Изумрудный квартал". Перепланировка блок "Б" с 22 по 45 этажи и устройство дополнительных инженерных систем в г Астане",  с получением положительного заключения негосударственной экспертизы проектов".</t>
  </si>
  <si>
    <t>Услуги по аренде легковых автомобилей с водителем в г. Астана (легковой автомобиль бизнес класса - 5ед.)</t>
  </si>
  <si>
    <t>Грабли</t>
  </si>
  <si>
    <t>садово-огородные, металлические, 8 -зубовые, черенок деревянный, с круглым сечением зуба</t>
  </si>
  <si>
    <t>1751-2 Т</t>
  </si>
  <si>
    <t>1900-2 Т</t>
  </si>
  <si>
    <t>Вешалки для верхней одежды (кроме вешалок для верхней одежды, имеющих отличительные признаки мебели)</t>
  </si>
  <si>
    <t>Материал: аллюминий. Тип: трехсекционная. Универсальная лестница 3х6</t>
  </si>
  <si>
    <t>136-1 У</t>
  </si>
  <si>
    <t>2257 Т</t>
  </si>
  <si>
    <t>2258 Т</t>
  </si>
  <si>
    <t>LED лампа 6 W,  Е14 4100К</t>
  </si>
  <si>
    <t>LED лампа 6,5 W,Е27 4100К</t>
  </si>
  <si>
    <t>2259 Т</t>
  </si>
  <si>
    <t>Светильник светиодный уличный. Общий световой поток - 5800 лм, потребляемая мощность - 60 Вт, напряжение питания переменного тока - от 100 до 270 В, Частота 50\60 Гц, Защита от напряжения до 700 вольт, рабочий ток светодиодов - 160 мА, светоотдача с одного светодиода - 65 лм, Количество светодиодов - 96 шт, цветовая температура - 4500 К.</t>
  </si>
  <si>
    <t>96-1 Т</t>
  </si>
  <si>
    <t>139-1 У</t>
  </si>
  <si>
    <t>64-2 У</t>
  </si>
  <si>
    <t>апрель-май,сентябрь-октябрь</t>
  </si>
  <si>
    <t>172-2 У</t>
  </si>
  <si>
    <t>11,21,21</t>
  </si>
  <si>
    <t>2179-1 Т</t>
  </si>
  <si>
    <t>48-1 Р</t>
  </si>
  <si>
    <t>с даты заключения договора в течение 180 календарных дней</t>
  </si>
  <si>
    <t>11,18,20,21,22</t>
  </si>
  <si>
    <t>С  изменениями и дополнениями от 21.09.2015 г. №449</t>
  </si>
  <si>
    <t>1481-2 Т</t>
  </si>
  <si>
    <t>1523-2 Т</t>
  </si>
  <si>
    <t>2207-1 Т</t>
  </si>
  <si>
    <t>1480-4 Т</t>
  </si>
  <si>
    <t>1495-2 Т</t>
  </si>
  <si>
    <t>1499-4 Т</t>
  </si>
  <si>
    <t>1482-2 Т</t>
  </si>
  <si>
    <t>1508-2 Т</t>
  </si>
  <si>
    <t>1483-4 Т</t>
  </si>
  <si>
    <t>1464-2 Т</t>
  </si>
  <si>
    <t>1497-2 Т</t>
  </si>
  <si>
    <t>1340-5 Т</t>
  </si>
  <si>
    <t>1337-3 Т</t>
  </si>
  <si>
    <t>1535-2 Т</t>
  </si>
  <si>
    <t>1510-2 Т</t>
  </si>
  <si>
    <t>1500-5 Т</t>
  </si>
  <si>
    <t>1509-4 Т</t>
  </si>
  <si>
    <t>1521-2 Т</t>
  </si>
  <si>
    <t>2159-1 Т</t>
  </si>
  <si>
    <t>1522-2 Т</t>
  </si>
  <si>
    <t>1467-3 Т</t>
  </si>
  <si>
    <t>1516-3 Т</t>
  </si>
  <si>
    <t>2260 Т</t>
  </si>
  <si>
    <t>27.51.25.01.03.00.00.10.1</t>
  </si>
  <si>
    <t>Водонагреватель</t>
  </si>
  <si>
    <t>Электрический. Быстрого или продолжительного нагрева.</t>
  </si>
  <si>
    <t>Накопительный электрический водонагреватель, бак для воды на 30 л, мощность 1.5 кВт, для сети 220 В</t>
  </si>
  <si>
    <t>2261 Т</t>
  </si>
  <si>
    <t>Накопительный электрический водонагреватель, бак для воды на 10 л, мощность 1.5 кВт, для сети 220 В</t>
  </si>
  <si>
    <t>2262 Т</t>
  </si>
  <si>
    <t xml:space="preserve">Накопительный электрический водонагреватель, бак для воды на 50 л, мощность 1.5 кВт, для сети 220 В, </t>
  </si>
  <si>
    <t>178-2 У</t>
  </si>
  <si>
    <t>2263 Т</t>
  </si>
  <si>
    <t>22.29.29.00.00.00.78.02.1</t>
  </si>
  <si>
    <t>Поликарбонат (полигаль)</t>
  </si>
  <si>
    <t>в листах, толщина 6 мм</t>
  </si>
  <si>
    <t>Структуированный (сотовый) тепло-сберегающий защитный материал, является прочным полимером, толщина материала 6 мм. Размер листа: 2,1х12 м</t>
  </si>
  <si>
    <t>2264 Т</t>
  </si>
  <si>
    <t>22.23.14.00.00.65.10.10.1</t>
  </si>
  <si>
    <t>Держатель ламели</t>
  </si>
  <si>
    <t>для жалюзи</t>
  </si>
  <si>
    <t>2265 Т</t>
  </si>
  <si>
    <t>31.01.12.00.00.04.06.10.1</t>
  </si>
  <si>
    <t>пластмассовый</t>
  </si>
  <si>
    <t>Плечик на жалюзи вертикальные. Материал гибкий и прочный, состоит из пластика.</t>
  </si>
  <si>
    <t>Грузики на жалюзи вертикальны. Материал плотный и прочный, состоит из пластика. Держатель ламели крепиться между собой цепью.</t>
  </si>
  <si>
    <t>2266 Т</t>
  </si>
  <si>
    <t>29.32.30.00.15.00.12.20.1</t>
  </si>
  <si>
    <t>Блок управления</t>
  </si>
  <si>
    <t>бортовой компьютер системы управления автомобиля</t>
  </si>
  <si>
    <t>2267 Т</t>
  </si>
  <si>
    <t>26.40.11.01.01.01.01.01.1</t>
  </si>
  <si>
    <t>Автомагнитола с выходом AUX на передней панели, аудио MP3, WMA, ID3, усилитель, эквалайзер, USB, FM/AM радио</t>
  </si>
  <si>
    <t>Автомагнитола</t>
  </si>
  <si>
    <t xml:space="preserve"> Блок управления двигателем на автомобиль Ssang Yong Chairman</t>
  </si>
  <si>
    <t xml:space="preserve"> Штатная автомагнитола на автомобиль Ssang Yong Chairman</t>
  </si>
  <si>
    <t>2268 Т</t>
  </si>
  <si>
    <t>30.20.31.00.00.90.05.01.1</t>
  </si>
  <si>
    <t>щеточный, для снегоуборочной техники</t>
  </si>
  <si>
    <t>Диск щеточный для МКСМ-800</t>
  </si>
  <si>
    <t>2269 Т</t>
  </si>
  <si>
    <t>2270 Т</t>
  </si>
  <si>
    <t>28.22.20.00.00.00.35.10.1</t>
  </si>
  <si>
    <t>просеивающий, к экскаватору</t>
  </si>
  <si>
    <t>Ковш основной для МКСМ-800</t>
  </si>
  <si>
    <t>2271 Т</t>
  </si>
  <si>
    <t>2272 Т</t>
  </si>
  <si>
    <t>28.29.12.00.00.00.30.08.1</t>
  </si>
  <si>
    <t>Фильтрующий элемент</t>
  </si>
  <si>
    <t>тонкость фильтрации от 50 до 75 мкм</t>
  </si>
  <si>
    <t>Фильтрующий элемент H22 для МКСМ-800</t>
  </si>
  <si>
    <t>2273 Т</t>
  </si>
  <si>
    <t>2274 Т</t>
  </si>
  <si>
    <t>28.29.13.00.00.00.11.13.1</t>
  </si>
  <si>
    <t>Фильт масляный для МКСМ-800</t>
  </si>
  <si>
    <t>Фильтр топливный для МКСМ-800</t>
  </si>
  <si>
    <t>2275 Т</t>
  </si>
  <si>
    <t>27.20.21.00.00.00.02.25.1</t>
  </si>
  <si>
    <t>ГОСТ 959-2002 марка 6СТ-90; кислотный, стартерный, напряжением 12 В, емкостью 90 А*час</t>
  </si>
  <si>
    <t>АКБ 6СТ90  для МКСМ-800</t>
  </si>
  <si>
    <t>2276 Т</t>
  </si>
  <si>
    <t>27.40.14.00.00.00.01.20.1</t>
  </si>
  <si>
    <t>Автомобильная лампа накаливания</t>
  </si>
  <si>
    <t>Электрическая лампа, состоит из металлического цоколя, стеклянного баллона, вольфрамовых нитей накала и контактов.</t>
  </si>
  <si>
    <t>Лампочка для МКСМ 800</t>
  </si>
  <si>
    <t>2277 Т</t>
  </si>
  <si>
    <t>29.31.23.00.00.00.50.50.1</t>
  </si>
  <si>
    <t>Стеклоочиститель</t>
  </si>
  <si>
    <t>для прочих автомобилей, с каркасной щеткой</t>
  </si>
  <si>
    <t>Стелоочититель для МКСМ-800</t>
  </si>
  <si>
    <t>2278 Т</t>
  </si>
  <si>
    <t>29.32.20.00.00.00.60.26.1</t>
  </si>
  <si>
    <t>Боковое ветровое стекло</t>
  </si>
  <si>
    <t>сталинит, для прочих автомобилей</t>
  </si>
  <si>
    <t>Стекло двери МКСМ- 800</t>
  </si>
  <si>
    <t>2168-1 Т</t>
  </si>
  <si>
    <t>1xE5-2609v2 / 2x4Gb / 2x 2.5" HDD SAS  300 GB / IC108S PCI контроллер RS232/ RAID 0,1,5,10 / DVD-RW / /4U/ No Soft/LGA2011 Intel C606 Chipset Server Motherboard, DDR3, SATA 6Gb/s, VGA, PCIE3.0, Gigabit LAN</t>
  </si>
  <si>
    <t>6,11,19,20,21</t>
  </si>
  <si>
    <t>2169-1 Т</t>
  </si>
  <si>
    <t>700 Watts /1000 VA, USB, RJ-45 Serial, SmartSlot</t>
  </si>
  <si>
    <t>2170-1 Т</t>
  </si>
  <si>
    <t>MS Windows Svr Std 2012 R2 x64 Russian</t>
  </si>
  <si>
    <t>199 У</t>
  </si>
  <si>
    <t>49.41.20.12.00.00.00</t>
  </si>
  <si>
    <t>Услуги по аренде автовышки с водителем</t>
  </si>
  <si>
    <t>Услуга аренды автовышки  для ремонта прожекторов наружного освещения  административного здания по пр.Кабанбай батыра, 19.</t>
  </si>
  <si>
    <t>2279 Т</t>
  </si>
  <si>
    <t>23.61.20.00.70.10.01.15.1</t>
  </si>
  <si>
    <t>бетонный</t>
  </si>
  <si>
    <t>Лоток бетонный с чугунной решеткой</t>
  </si>
  <si>
    <t>2280 Т</t>
  </si>
  <si>
    <t>25.93.13.00.00.10.11.10.1</t>
  </si>
  <si>
    <t>Решетки, сетки и ограждения</t>
  </si>
  <si>
    <t>Сварные из проволоки из черных металлов</t>
  </si>
  <si>
    <t xml:space="preserve">Метр </t>
  </si>
  <si>
    <t>Решетка чугунная</t>
  </si>
  <si>
    <t>1342-1 Т</t>
  </si>
  <si>
    <t>1486-2 Т</t>
  </si>
  <si>
    <t>1606-2 Т</t>
  </si>
  <si>
    <t>1893-5 Т</t>
  </si>
  <si>
    <t>май-июнь,август-сентябрь-октябрь</t>
  </si>
  <si>
    <t>1900-3 Т</t>
  </si>
  <si>
    <t>1902-3 Т</t>
  </si>
  <si>
    <t>1901-3 Т</t>
  </si>
  <si>
    <t>1343-1 Т</t>
  </si>
  <si>
    <t>1344-1 Т</t>
  </si>
  <si>
    <t>1345-1 Т</t>
  </si>
  <si>
    <t>1346-1 Т</t>
  </si>
  <si>
    <t>1347-1 Т</t>
  </si>
  <si>
    <t>1348-1 Т</t>
  </si>
  <si>
    <t>1349-1 Т</t>
  </si>
  <si>
    <t>1350-1 Т</t>
  </si>
  <si>
    <t>1351-1 Т</t>
  </si>
  <si>
    <t>1352-1 Т</t>
  </si>
  <si>
    <t>1319-2 Т</t>
  </si>
  <si>
    <t>29.32.30.00.01.01.15.03.1</t>
  </si>
  <si>
    <t>Ремень вариатора для снегохода Exptdition</t>
  </si>
  <si>
    <t>29.32.30.00.09.00.12.03.1</t>
  </si>
  <si>
    <t>Передняя пружина для снегохода Exptdition</t>
  </si>
  <si>
    <t>2281 Т</t>
  </si>
  <si>
    <t>Задняя пружина для снегохода Exptdition</t>
  </si>
  <si>
    <t>2282 Т</t>
  </si>
  <si>
    <t>29.31.21.00.00.00.10.10.1</t>
  </si>
  <si>
    <t>на легковые автомобили, короткие, резьба - М10</t>
  </si>
  <si>
    <t>Свеча зажигания для снегохода Exptdition</t>
  </si>
  <si>
    <t>2283 Т</t>
  </si>
  <si>
    <t>30.11.31.10.10.11.14.01.1</t>
  </si>
  <si>
    <t>Кольцо движителя водомета</t>
  </si>
  <si>
    <t>для водного транспорта</t>
  </si>
  <si>
    <t>Кольцо для гидроцикла Sea-doo</t>
  </si>
  <si>
    <t>2284 Т</t>
  </si>
  <si>
    <t>2285 Т</t>
  </si>
  <si>
    <t>25.99.26.00.00.10.10.10.1</t>
  </si>
  <si>
    <t>Винт</t>
  </si>
  <si>
    <t>Гребные судовые</t>
  </si>
  <si>
    <t>Винт для гидроцикла Sea-doo</t>
  </si>
  <si>
    <t>2286 Т</t>
  </si>
  <si>
    <t>Фильтр масляный для снегохода Exptdition</t>
  </si>
  <si>
    <t xml:space="preserve">Фильтр масляный для квадроцикла Outlander max xt </t>
  </si>
  <si>
    <t>2287 Т</t>
  </si>
  <si>
    <t xml:space="preserve">Топливный фильтр для квадроцикла Outlander max xt </t>
  </si>
  <si>
    <t>2288 Т</t>
  </si>
  <si>
    <t xml:space="preserve">Воздушный фильтр для квадроцикла Outlander max xt </t>
  </si>
  <si>
    <t>200 У</t>
  </si>
  <si>
    <t>Оценка автотранспортных средств в количестве 18 единиц</t>
  </si>
  <si>
    <t>С  изменениями и дополнениями от 30.09.2015 г. №459</t>
  </si>
  <si>
    <t>г.Атырау, Административное здание по ул.З.Гумарова, 96</t>
  </si>
  <si>
    <t>октябрь-ноябрь</t>
  </si>
  <si>
    <t>Выемка битых клееных стеклопакетов из переплетов. Остекление оконных переплетов трехслойными стеклопакетами, в административном здании расположенном по адресу: г.Атырау, З.Гумарова, 96. Общая площадь остекления фасада - 1 350 кв.м.</t>
  </si>
  <si>
    <t>43.33.10.13.00.00.00</t>
  </si>
  <si>
    <t>Работы по облицовке наружных стен плитами и плитками из прочих материалов</t>
  </si>
  <si>
    <t>Замена плит керамогранита специалистом по отделке, фундамента административного здания расположенного по адресу: г.Атырау, З.Гумарова, 96. Общая площадь фундамента здания 265,2 кв.м.</t>
  </si>
  <si>
    <t>41.00.40.10.60.00.00</t>
  </si>
  <si>
    <t>Работы по возведению навесов</t>
  </si>
  <si>
    <t xml:space="preserve">Возведение навеса на 4 машины (размер 10м х 5м), навеса над чилером (размер 7м х 7м х 3,5м), расположенных на территории административного здания расположенного по адресу: г.Атырау, З.Гумарова, 96.   </t>
  </si>
  <si>
    <t xml:space="preserve">Работы по ремонту и гидроизоляции кровли площадью 364 кв.м, административного здания расположенного по адресу: г.Атырау, З.Гумарова, 96. </t>
  </si>
  <si>
    <t>43.99.90.30.10.00.00</t>
  </si>
  <si>
    <t>Текущий ремонт кабинетов</t>
  </si>
  <si>
    <t>Ремонтные работы включают в себя покраску стен и потолка на 2 раза, перестил напольного покрытия (ламинат), установка плинтусов.</t>
  </si>
  <si>
    <t>33.11.12.16.00.00.00</t>
  </si>
  <si>
    <t>Текущий ремонт резервуаров и резервуарного парка</t>
  </si>
  <si>
    <t xml:space="preserve">Ремонт водяного и пожарного резервуара (шпатлевание, окраска), административного здания расположенного по адресу: г.Атырау, З.Гумарова, 96.  </t>
  </si>
  <si>
    <t>43.29.12.20.00.00.00</t>
  </si>
  <si>
    <t>Работы по ремонту ограждений территории</t>
  </si>
  <si>
    <t>Работы по ремонту ограждений территории с заменой элементов конструкции</t>
  </si>
  <si>
    <t xml:space="preserve">Очистка, огрунтовка, окраска металлических поверхностей ограждения территории административного здания расположенного по адресу: г.Атырау, З.Гумарова, 96. </t>
  </si>
  <si>
    <t>43.21.10.18.10.00.00</t>
  </si>
  <si>
    <t>Работы монтажные по ремонту систем уличного освещения</t>
  </si>
  <si>
    <t>Прокладка кабеля, ревизия светильников, частичная замена комплектующих, ревизия распредкоробок</t>
  </si>
  <si>
    <t>43.32.10.11.00.00.00</t>
  </si>
  <si>
    <t>Работы столярные по монтажу</t>
  </si>
  <si>
    <t>Работы столярные по установке дверных и оконных конструкций</t>
  </si>
  <si>
    <t>Ремонт и перенос дверных блоков, монтаж петель, замков и последующая регулировка.</t>
  </si>
  <si>
    <t>43.29.11.50.14.00.00</t>
  </si>
  <si>
    <t xml:space="preserve">Зачистка трубопроводов от наслоений, покраска, нанесение защитного покрытия, и теплоизоляции. </t>
  </si>
  <si>
    <t>33.11.19.10.00.00.00</t>
  </si>
  <si>
    <t>Техническое обслуживание трубопроводов</t>
  </si>
  <si>
    <t>Комплекс операций по поддержанию работоспособности трубопроводов и входящих в его состав устройств при их эксплуатации (соединительные детали трубопроводов, запорно-регулирующая арматура, узлы учета и контроля, фильтры-грязеуловители и другие устройства)</t>
  </si>
  <si>
    <t xml:space="preserve">Профилактическое обслуживание и ремонт запорной арматуры (шаровые краны, вентиля, клиновые задвижки). Плановый осмотр и проверка работоспособности устройства. </t>
  </si>
  <si>
    <t>59 Р</t>
  </si>
  <si>
    <t>60 Р</t>
  </si>
  <si>
    <t>61 Р</t>
  </si>
  <si>
    <t>62 Р</t>
  </si>
  <si>
    <t>63 Р</t>
  </si>
  <si>
    <t>64 Р</t>
  </si>
  <si>
    <t>65 Р</t>
  </si>
  <si>
    <t>66 Р</t>
  </si>
  <si>
    <t>67 Р</t>
  </si>
  <si>
    <t>68 Р</t>
  </si>
  <si>
    <t>69 Р</t>
  </si>
  <si>
    <t>2289 Т</t>
  </si>
  <si>
    <t>22.23.12.00.00.11.10.11.1</t>
  </si>
  <si>
    <t>Душевая кабина</t>
  </si>
  <si>
    <t>акриловая прямоугольная со стальным поддоном со стеклянными дверцами</t>
  </si>
  <si>
    <t>2290 Т</t>
  </si>
  <si>
    <t>26.51.82.71.01.01.01.01.1</t>
  </si>
  <si>
    <t>Осушитель</t>
  </si>
  <si>
    <t>для анализатора влажности, ресурс осушителя газа сравнения 2 000 000 ppm/час</t>
  </si>
  <si>
    <t>Осушитель воздуха, скорость осушения воздуха 30литров/сутки, максимальная температура 35 °С, минимальная температура  5°С.</t>
  </si>
  <si>
    <t>2291 Т</t>
  </si>
  <si>
    <t>28.13.14.00.00.00.36.00.1</t>
  </si>
  <si>
    <t>циркуляционный, для системы отопления</t>
  </si>
  <si>
    <t xml:space="preserve">Производительность насоса – 20куб.м. Высота подъема – 7,5 м.
</t>
  </si>
  <si>
    <t>Душевая кабина, прямоугольная, массажная, размеры:170х85х215 см. В комплекте с душевой кабинкой: тропический душ, полотенцедержатель, полочка, лейка, зеркало, смеситель, 6 форсунок, в поддоне каскадный накопитель. Стекло серового цвета, Задняя стенка-стекло черное.</t>
  </si>
  <si>
    <t>49-2 Т</t>
  </si>
  <si>
    <t>февраль-март, июнь-июль,октябрь</t>
  </si>
  <si>
    <t xml:space="preserve"> 70 Р</t>
  </si>
  <si>
    <t>42.22.21.20.11.10.00</t>
  </si>
  <si>
    <t>Работы строительные по ремонту волоконно-оптической линии связи</t>
  </si>
  <si>
    <t>Комплекс строительных работ по ремонту и реконструкции волоконно-оптической линии связи</t>
  </si>
  <si>
    <t>Работы по ремонту  волоконно-оптической линии связи на объекте ОК "Зеренда"</t>
  </si>
  <si>
    <t>2292 Т</t>
  </si>
  <si>
    <t>22.21.29.00.00.56.10.10.1</t>
  </si>
  <si>
    <t>Ниппель</t>
  </si>
  <si>
    <t>ниппель резьбовой из поливинилхлорида</t>
  </si>
  <si>
    <t>Соединительный ниппель диаметром 20 мм</t>
  </si>
  <si>
    <t>2293 Т</t>
  </si>
  <si>
    <t>25.99.29.00.01.25.01.05.1</t>
  </si>
  <si>
    <t>Компенсатор</t>
  </si>
  <si>
    <t>Компенсатор фланцевый (гибкая вставка), Т от -40°С до +130°С, PN 16, DN 100</t>
  </si>
  <si>
    <t>Компенсатор антивибрационный диаметром 100 мм</t>
  </si>
  <si>
    <t>2294 Т</t>
  </si>
  <si>
    <t>Компенсатор фланцевый (гибкая вставка), Т от -40°С до +130°С, PN 16, DN 125</t>
  </si>
  <si>
    <t>25.99.29.00.01.25.01.06.1</t>
  </si>
  <si>
    <t>Компенсатор антивибрационный диаметром 125 мм</t>
  </si>
  <si>
    <t>2295 Т</t>
  </si>
  <si>
    <t>25.99.29.00.01.25.01.07.1</t>
  </si>
  <si>
    <t>Компенсатор фланцевый (гибкая вставка), Т от -40°С до +130°С, PN 16, DN 150</t>
  </si>
  <si>
    <t>Компенсатор антивибрационный диаметром 150 мм</t>
  </si>
  <si>
    <t>2296 Т</t>
  </si>
  <si>
    <t>25.99.29.00.01.25.01.10.1</t>
  </si>
  <si>
    <t>Компенсатор фланцевый (гибкая вставка), Т от -40°С до +130°С, PN 16, DN 300</t>
  </si>
  <si>
    <t>Компенсатор антивибрационный диаметром 300 мм</t>
  </si>
  <si>
    <t>2297 Т</t>
  </si>
  <si>
    <t>27.90.31.00.01.12.19.11.1</t>
  </si>
  <si>
    <t>Аппарат сварочный</t>
  </si>
  <si>
    <t>2298 Т</t>
  </si>
  <si>
    <t>25.73.30.00.00.17.11.10.1</t>
  </si>
  <si>
    <t>Дрель ударная</t>
  </si>
  <si>
    <t>2299 Т</t>
  </si>
  <si>
    <t>30.20.31.00.00.00.08.06.1</t>
  </si>
  <si>
    <t>предназначен для завертывания и отвертывания путевых шурупов, гаек клеммных и закладных болтов и сверления отверстий в шпалах</t>
  </si>
  <si>
    <t>Аккумуляторный шуруповерт</t>
  </si>
  <si>
    <t>2300 Т</t>
  </si>
  <si>
    <t>28.29.60.00.00.05.10.10.1</t>
  </si>
  <si>
    <t>Машинка</t>
  </si>
  <si>
    <t>шлифовальная</t>
  </si>
  <si>
    <t>Угловая шлифовальная машина</t>
  </si>
  <si>
    <t>2301 Т</t>
  </si>
  <si>
    <t>17.29.11.10.00.00.45.10.1</t>
  </si>
  <si>
    <t>Наклейка</t>
  </si>
  <si>
    <t>самоклеящаяся</t>
  </si>
  <si>
    <t>Наклейка для ящиков пожарного крана содержащую информацию: порядковый номер пожарного крана, знак пожарного оборудования находящегося в пожарном кране, номер телефона пожарной части в количестве 400 штук</t>
  </si>
  <si>
    <t>2302 Т</t>
  </si>
  <si>
    <t>26.30.60.00.00.00.30.10.1</t>
  </si>
  <si>
    <t>Ствол</t>
  </si>
  <si>
    <t>пожарный</t>
  </si>
  <si>
    <t>Ствол 66А</t>
  </si>
  <si>
    <t>2303 Т</t>
  </si>
  <si>
    <t>28.29.22.00.00.00.02.09.1</t>
  </si>
  <si>
    <t>Огнетушитель порошковый</t>
  </si>
  <si>
    <t>ОП-8 (з) (А, В, С, Е)</t>
  </si>
  <si>
    <t>Огнетушитель ОП-8</t>
  </si>
  <si>
    <t>2304 Т</t>
  </si>
  <si>
    <t>Подъемник автомобильный</t>
  </si>
  <si>
    <t>грузоподъемность 4 т, для подъема автотранспортных средств</t>
  </si>
  <si>
    <t>28.22.13.05.01.03.01.01.1</t>
  </si>
  <si>
    <t xml:space="preserve">Грузоподъемность: 4000 кг. Минимальная высота подъема: 100 мм. Высота подъема: 1900 мм.  Время  подъема: 50 сек.  Время 
спуска: 40 сек </t>
  </si>
  <si>
    <t>2305 Т</t>
  </si>
  <si>
    <t>50-1 Р</t>
  </si>
  <si>
    <t>май-июнь,октябрь-ноябрь</t>
  </si>
  <si>
    <t>71 Р</t>
  </si>
  <si>
    <t>41.00.40.20.13.10.10</t>
  </si>
  <si>
    <t>Работы строительные по капитальному ремонту фасада производственно-технического здания</t>
  </si>
  <si>
    <t>Комплекс работ по капитальному ремонту фасада производственно-технического здания</t>
  </si>
  <si>
    <t>Работы по ремонту алюкобонда на фасаде административного здания по адресу г.Астана пр.Кабанбай-батыра, 19 А Общая площадь составляет 90 кв.м.</t>
  </si>
  <si>
    <t>г.Астана, пр.Кабанбай батыра, 19, Блок  А и Б</t>
  </si>
  <si>
    <t>43.29.19.10.16.00.00</t>
  </si>
  <si>
    <t>Работы по изготовлению, сборке и монтажу пластиковых конструкций со стеклами</t>
  </si>
  <si>
    <t>2306 Т</t>
  </si>
  <si>
    <t>22.19.35.00.00.00.32.01.2</t>
  </si>
  <si>
    <t>Рукав высокого давления</t>
  </si>
  <si>
    <t>резиновый</t>
  </si>
  <si>
    <t>2307 Т</t>
  </si>
  <si>
    <t>Рукав высокого давления  диаметром 27 мм для МКСМ-800</t>
  </si>
  <si>
    <t>Рукав высокого давления  диаметром 24 мм  для МКСМ-800</t>
  </si>
  <si>
    <t>2308 Т</t>
  </si>
  <si>
    <t>Рукав высокого давления  диаметром 36 мм  для МКСМ-800</t>
  </si>
  <si>
    <t>2309 Т</t>
  </si>
  <si>
    <t>28.30.93.00.00.00.15.18.1</t>
  </si>
  <si>
    <t>Диск колеса</t>
  </si>
  <si>
    <t>для трактора</t>
  </si>
  <si>
    <t>Колесный диск внутренний для МКСМ-800</t>
  </si>
  <si>
    <t>2310 Т</t>
  </si>
  <si>
    <t>Колесный диск наружный для МКСМ-800</t>
  </si>
  <si>
    <t>2311 Т</t>
  </si>
  <si>
    <t>29.31.23.00.00.00.10.16.1</t>
  </si>
  <si>
    <t>Фара</t>
  </si>
  <si>
    <t>левая, передняя, противотуманная</t>
  </si>
  <si>
    <t>2312 Т</t>
  </si>
  <si>
    <t>29.31.23.00.00.00.10.17.1</t>
  </si>
  <si>
    <t>правая, передняя, противотуманная</t>
  </si>
  <si>
    <t>2313 Т</t>
  </si>
  <si>
    <t>29.31.23.00.00.00.31.14.1</t>
  </si>
  <si>
    <t>передний</t>
  </si>
  <si>
    <t>2314 Т</t>
  </si>
  <si>
    <t>Фонарь передний в комплекте для МКСМ-800</t>
  </si>
  <si>
    <t>29.31.23.00.00.00.11.12.1</t>
  </si>
  <si>
    <t>заднего хода</t>
  </si>
  <si>
    <t>Фонарь задний в комплекте для МКСМ-800</t>
  </si>
  <si>
    <t>Противотуманная фара белая для МКСМ-800</t>
  </si>
  <si>
    <t>2315 Т</t>
  </si>
  <si>
    <t>Ремень генератора Hatz для МКСМ-800</t>
  </si>
  <si>
    <t>2316 Т</t>
  </si>
  <si>
    <t>22.11.14.00.00.00.05.50.1</t>
  </si>
  <si>
    <t>Размер: 10,0/75-15,3. Шина пневматическая новая для машин сельского и лесного хозяйства, машин производственных. Конструкция шины: диагональная</t>
  </si>
  <si>
    <t>Шина для МКСМ-800</t>
  </si>
  <si>
    <t>2317 Т</t>
  </si>
  <si>
    <t>26.20.30.00.00.00.06.00.1</t>
  </si>
  <si>
    <t>Шредер</t>
  </si>
  <si>
    <t>Уничтожитель машинных носителей информации</t>
  </si>
  <si>
    <t>2318 Т</t>
  </si>
  <si>
    <t>Шредер,  ширина резки 4*46 мм,  максимальное количество 7 листов,  объем 14 литров, уничтожает скобы, скрепки</t>
  </si>
  <si>
    <t>Шредер,  ширина резки 4*46 мм,  максимальное количество 8 листов,  объем 15 литров, уничтожает скобы, скрепки</t>
  </si>
  <si>
    <t>72 Р</t>
  </si>
  <si>
    <t>43.99.90.31.01.00.00</t>
  </si>
  <si>
    <t>Текущий ремонт замены оконных и дверных блоков</t>
  </si>
  <si>
    <t>Работы по установке дверных блоков в входной группе корпуса №2 ДО "Малиновый Мыс"</t>
  </si>
  <si>
    <t>1786-1 Т</t>
  </si>
  <si>
    <t>февраль-март,октябрь-ноябрь</t>
  </si>
  <si>
    <t>2174-1 Т</t>
  </si>
  <si>
    <t>август-сентябрь,октябрь</t>
  </si>
  <si>
    <t>2175-1 Т</t>
  </si>
  <si>
    <t>2176-1 Т</t>
  </si>
  <si>
    <t>2177-1 Т</t>
  </si>
  <si>
    <t>73 Р</t>
  </si>
  <si>
    <t xml:space="preserve">Работы по изготовлению планов эвакуации в рамке (размер А3) в количестве 21 штук </t>
  </si>
  <si>
    <t>1300-1 Т</t>
  </si>
  <si>
    <t>январь-февраль,октябрь</t>
  </si>
  <si>
    <t>Огнетушитель ОУ-5 в комплнете с настенным кронштейном</t>
  </si>
  <si>
    <t>6,11,12,19,20,21</t>
  </si>
  <si>
    <t>2319 Т</t>
  </si>
  <si>
    <t>Огнетушитель ОП-5 в комплекте с настенным кронштейном</t>
  </si>
  <si>
    <t>28.29.22.00.00.00.02.07.1</t>
  </si>
  <si>
    <t>ОП-5 (з) (А, В, С, Е)</t>
  </si>
  <si>
    <t>2260-1 Т</t>
  </si>
  <si>
    <t>2262-1 Т</t>
  </si>
  <si>
    <t>С  изменениями и дополнениями от 08.10.2015 г. №471</t>
  </si>
  <si>
    <t>Без посторонних привкусов и запахов. Консистенция и внешний вид – однородная, пластичная, плотная. Поверхность масла на разрезе блестящая, сухая на вид. Цвет – от белого до желтого, однородный по всей массе. Сладкосливочное несоленое</t>
  </si>
  <si>
    <t>Поверхность гладкая, без крупных трещин и подрывов. Цвет - от светло-коричневого до темно-коричневого. Мякиш пропеченный, не липкий, не влажный на ощупь, эластичный. Вкус и запах - свойственные данному виду изделия, без постороннего привкуса и запаха.   Из сеяной муки</t>
  </si>
  <si>
    <t xml:space="preserve"> Ремень клиновый приводный с сечением А-1120. ГОСТ 1284.2-89 </t>
  </si>
  <si>
    <t xml:space="preserve"> Ремень клиновый приводный с сечением А-1500. ГОСТ 1284.2-89</t>
  </si>
  <si>
    <t>Ремень клиновый приводный с сечением А-1400. ГОСТ 1284.2-89</t>
  </si>
  <si>
    <t xml:space="preserve"> Ремень клиновый приводный с сечением А-1180. ГОСТ 1284.2-89</t>
  </si>
  <si>
    <t>для обрезки плодовых деревьев, кустарников, виноградной лозы, нарезки черенков, двухстороннего резания, рукоятка пластиковая</t>
  </si>
  <si>
    <t>Ремень клиновый приводный с сечением А-1900. ГОСТ 1284.2-89</t>
  </si>
  <si>
    <t xml:space="preserve"> Ремень клиновый приводный  с сечением В(Б)-2120. ГОСТ 1284.2-89</t>
  </si>
  <si>
    <t>Ремень клиновый приводный  с сечением В(Б)-2120. ГОСТ 1284.2-89</t>
  </si>
  <si>
    <t>концентрированный (95%), ГОСТ 28084-89</t>
  </si>
  <si>
    <t>Полный цикл работ строительных по возведению навесов</t>
  </si>
  <si>
    <t>Работы по ремонту офисных кабинетов (покраска стен, потолков, наклеивание обоев,покрытие паркетных полов лаком)</t>
  </si>
  <si>
    <t>Ремонт кровли, верхних поясов стенки, сифонных кранов, набивка сальников задвижек, ремонт отмостки, заземления, окраска и прочее</t>
  </si>
  <si>
    <t>Ремонт тепловой изоляции трубопроводов пара , мазута и горячей воды</t>
  </si>
  <si>
    <t>Ремонт тепловой изоляции  трубопроводов пара , мазута и горячей воды</t>
  </si>
  <si>
    <t>21-3 Т</t>
  </si>
  <si>
    <t>май-июнь,август-сентябрь,октябрь</t>
  </si>
  <si>
    <t xml:space="preserve"> Ремень клиновый приводный с сечением А-1250. ГОСТ 1284.2-89</t>
  </si>
  <si>
    <t>2188-1 Т</t>
  </si>
  <si>
    <t>2189-1 Т</t>
  </si>
  <si>
    <t>1553-2 Т</t>
  </si>
  <si>
    <t>1554-3 Т</t>
  </si>
  <si>
    <t>1555-2 Т</t>
  </si>
  <si>
    <t>1556-2 Т</t>
  </si>
  <si>
    <t>201 У</t>
  </si>
  <si>
    <t>18.13.30.14.00.00.00</t>
  </si>
  <si>
    <t>Услуги, связанные с полиграфией прочие</t>
  </si>
  <si>
    <t>Услуги по разработке, изготовлению, подготовке набора, печатанию  рекламных каталогов, проспектов, постеров и продукции рекламной прочей</t>
  </si>
  <si>
    <t>74 Р</t>
  </si>
  <si>
    <t>Разработка проектно-сметной документации на оснащение объекта «Музей истории Казахстана в г. Астана», расположенный по адресу: Республика Казахстан, город Астана, пр. Тәуелсіздік, 54 дополнительными системами безопасности, с получением положительного заключения РГП «Госэкспертиза»</t>
  </si>
  <si>
    <t>2320 Т</t>
  </si>
  <si>
    <t>32.99.61.00.00.00.30.60.1</t>
  </si>
  <si>
    <t>Программное обеспечение</t>
  </si>
  <si>
    <t>Программный продукт - прочий</t>
  </si>
  <si>
    <t>202 У</t>
  </si>
  <si>
    <t>Обновление программного комплекса ABC-4, дополнение (передача всех текущих редакций и модификаций в течение года) на одно рабочее место</t>
  </si>
  <si>
    <t>Программный комплекс АBC-4 на 1 рабочее место.</t>
  </si>
  <si>
    <t>203 У</t>
  </si>
  <si>
    <t>65.12.11.00.00.00.01</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</si>
  <si>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</si>
  <si>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</si>
  <si>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 xml:space="preserve">Услуги по изготовлению рекламной продукции,  а именно брошюр, буклетов, баннеров, визиток. </t>
  </si>
  <si>
    <t>С  дополнениями от 15.10.2015 г. №480</t>
  </si>
  <si>
    <t>13-3 Т</t>
  </si>
  <si>
    <t>11,18,19</t>
  </si>
  <si>
    <t>11-3 Т</t>
  </si>
  <si>
    <t>январь-февраль, июнь,октябрь</t>
  </si>
  <si>
    <t>18-3 Т</t>
  </si>
  <si>
    <t>20-3 Т</t>
  </si>
  <si>
    <t>2321 Т</t>
  </si>
  <si>
    <t>28.25.11.00.00.00.17.20.1</t>
  </si>
  <si>
    <t>Калорифер</t>
  </si>
  <si>
    <t>прибор для нагрева воздуха в системах отопления, вентиляции и кондиционирования воздуха</t>
  </si>
  <si>
    <t>Электрический нагреватель, номинальное напряжение 380 В, номинальная мощность 9 кВт, максимальная производительность  1500 м3/ч, увеличение температуры на выходе 40° С</t>
  </si>
  <si>
    <t>2322 Т</t>
  </si>
  <si>
    <t>Жидкий напыляемый утеплитель, всесезонный, объемом 890 мл</t>
  </si>
  <si>
    <t>Мощность 7,5 кВТ (220/380) ПДУ, длина 90 см</t>
  </si>
  <si>
    <t>2323 Т</t>
  </si>
  <si>
    <t>2324 Т</t>
  </si>
  <si>
    <t>2325 Т</t>
  </si>
  <si>
    <t>22.29.29.00.00.00.10.71.1</t>
  </si>
  <si>
    <t>Номерок</t>
  </si>
  <si>
    <t>пластмассовый, гардеробный</t>
  </si>
  <si>
    <t>2173-1 Т</t>
  </si>
  <si>
    <t>73-1 Р</t>
  </si>
  <si>
    <t xml:space="preserve">Работы по изготовлению планов эвакуации в рамке (размер А3) в количестве 30 штук </t>
  </si>
  <si>
    <t>1300-2 Т</t>
  </si>
  <si>
    <t>204 У</t>
  </si>
  <si>
    <t>69.10.14.05.00.00.00</t>
  </si>
  <si>
    <t>Услуги юридические консультационные</t>
  </si>
  <si>
    <t>Услуги  юридические консультационные по правовому сопровождению</t>
  </si>
  <si>
    <t>Юридические услуги по реорганизации дочерних организаций ТОО "КазМунайГаз-Сервис" в Кыргызской Республике</t>
  </si>
  <si>
    <t xml:space="preserve"> Кыргызская Республика г.Бишкек</t>
  </si>
  <si>
    <t>с даты заключения договора по 1 февраля 2016 г.</t>
  </si>
  <si>
    <t>2326 Т</t>
  </si>
  <si>
    <t>27.40.24.00.00.13.11.30.1</t>
  </si>
  <si>
    <t>Конус сигнальный</t>
  </si>
  <si>
    <t>дорожный</t>
  </si>
  <si>
    <t>Конус дорожный мягкий, комбинированный с утяжелителем. Материал изготовления полиэтилен. Вес 2.4 кг, высота 520 мм.</t>
  </si>
  <si>
    <t>2327 Т</t>
  </si>
  <si>
    <t>23.61.20.00.70.80.00.01.1</t>
  </si>
  <si>
    <t>Столбик</t>
  </si>
  <si>
    <t>сигнальный</t>
  </si>
  <si>
    <t>Парковочный столбик с квадратным основанием. Высота 750 мм. Материал эластичный полиуретан. Цвет черный, 3 светоотражающей полосы желтого цвета. Масса столбика 1,4 кг.</t>
  </si>
  <si>
    <t>2328 Т</t>
  </si>
  <si>
    <t>Парковочный столбик с  основанием. Высота 800 мм. Длина основания 273 мм. Диаметр основания 76 мм. Материал металл. Цвет серебристый глянец, 2 светоотражающие полосы красного цвета. Масса столбика 9 кг.</t>
  </si>
  <si>
    <t>2329 Т</t>
  </si>
  <si>
    <t>25.93.17.00.00.10.13.10.1</t>
  </si>
  <si>
    <t>Цепь</t>
  </si>
  <si>
    <t>Цепи якорные и их части из черных металлов</t>
  </si>
  <si>
    <t>Цепь короткозвеньевая, диаметр сечения 3 мм, длина в бухте 100 м. Цвет серебристый.</t>
  </si>
  <si>
    <t>2330 Т</t>
  </si>
  <si>
    <t>25.93.11.50.10.10.30.00.1</t>
  </si>
  <si>
    <t>Карабин</t>
  </si>
  <si>
    <t>для стропы</t>
  </si>
  <si>
    <t>Карабин диаметр сечения 4мм. Применяется для присоеденения оцинкованной цепи к парковочному столбику</t>
  </si>
  <si>
    <t>2331 Т</t>
  </si>
  <si>
    <t>26.51.66.17.11.12.11.50.1</t>
  </si>
  <si>
    <t>Прибор</t>
  </si>
  <si>
    <t>для измерения и контроля уровня давления</t>
  </si>
  <si>
    <t>Прибор измерительный типа PFM 5001 для измерения перепада давления, расхода и температуры, а также проведения гидравлической балансировки систем тепло- и холодоснабжения</t>
  </si>
  <si>
    <t>1305-1 Т</t>
  </si>
  <si>
    <t>107 У</t>
  </si>
  <si>
    <t>96.09.19.90.09.10.10</t>
  </si>
  <si>
    <t>Услуги технического обслуживания ворот</t>
  </si>
  <si>
    <t>107-1 У</t>
  </si>
  <si>
    <t>С  изменениями и дополнениями от 27.10.2015 г. №490</t>
  </si>
  <si>
    <t>2332 Т</t>
  </si>
  <si>
    <t>23.31.10.01.03.01.01.07.1</t>
  </si>
  <si>
    <t>из керамического грамита, напольная, размер 300х300 мм</t>
  </si>
  <si>
    <t>Плитка напольная, цвет супер черный (глянцевый)</t>
  </si>
  <si>
    <t>2333 Т</t>
  </si>
  <si>
    <t>Плитка напольная, цвет темно-серый</t>
  </si>
  <si>
    <t>9-3 Т</t>
  </si>
  <si>
    <t>14-3 Т</t>
  </si>
  <si>
    <t>15-3 Т</t>
  </si>
  <si>
    <t>17-3 Т</t>
  </si>
  <si>
    <t>январь-февраль, июнь,ноябрь</t>
  </si>
  <si>
    <t>1965-1 Т</t>
  </si>
  <si>
    <t>апрель-май,ноябрь</t>
  </si>
  <si>
    <t>65.12.12.10.00.00.01</t>
  </si>
  <si>
    <t>Услуги по страхованию от болезней</t>
  </si>
  <si>
    <t>Медицинское страхование работников и членов их семей на случай болезни</t>
  </si>
  <si>
    <t>205 У</t>
  </si>
  <si>
    <t>7,18,19</t>
  </si>
  <si>
    <t>2334 Т</t>
  </si>
  <si>
    <t>21.20.13.00.00.03.50.20.1</t>
  </si>
  <si>
    <t>Панты марала</t>
  </si>
  <si>
    <t>настойка</t>
  </si>
  <si>
    <t>Пантовый отвар во флаконе объемом 1 л.</t>
  </si>
  <si>
    <t>872</t>
  </si>
  <si>
    <t>2335 Т</t>
  </si>
  <si>
    <t>30.99.10.00.00.00.10.30.1</t>
  </si>
  <si>
    <t>Ручные четырехколесные платформенные тележки для перемещения крупногабаритных грузов или – большого количества мелкого груза,могут быть как плоскими, так и оборудованными бортами.Тип покрышек (резина, полиуретан, протектор и др.), оснащены поворотными и не поворотными колесными опорами</t>
  </si>
  <si>
    <t>Тележка платформенная. Размер платформы тежеки 700х1200 мм</t>
  </si>
  <si>
    <t>2336 Т</t>
  </si>
  <si>
    <t>30.99.10.10.10.10.60.10.1</t>
  </si>
  <si>
    <t>Колесо</t>
  </si>
  <si>
    <t>для хозяйственных тележек.</t>
  </si>
  <si>
    <t>колесо промышленное поворотное  диаметром 160 мм</t>
  </si>
  <si>
    <t>2337 Т</t>
  </si>
  <si>
    <t>колесо промышленное  неповоротное  диаметром 160 мм</t>
  </si>
  <si>
    <t>авансовый платеж - 0%, оставшаяся часть до 28.02.2016 г.</t>
  </si>
  <si>
    <t>2338 Т</t>
  </si>
  <si>
    <t>27.11.41.03.00.00.01.00.1</t>
  </si>
  <si>
    <t>Трансформатор силовой сухой</t>
  </si>
  <si>
    <t>Трансформатор силовой сухой, для преобразования напряжения</t>
  </si>
  <si>
    <t>ТСЛ-1600/10-0,4 кВ</t>
  </si>
  <si>
    <t>ноябрь-декабрь</t>
  </si>
  <si>
    <t>2339 Т</t>
  </si>
  <si>
    <t>Папка подвесная для картотеки формата А4, желтая</t>
  </si>
  <si>
    <t>206 У</t>
  </si>
  <si>
    <t>39.00.23.14.00.00.00</t>
  </si>
  <si>
    <t>Услуги разработки проекта нормативов предельно допустимых выбросов</t>
  </si>
  <si>
    <t>Разработка проекта нормативов предельно допустимых выбросов на основании полученных данных</t>
  </si>
  <si>
    <t>Услуга по разроботке проекта нормативов эмиссий ПДВ для оздоровительных комплексов "Сункар" и "Зеренда", дома отдыха "Малиновый Мыс" (3 промплощадки) ( с согласованием в ГУ "управление природных ресурсов и регулирования природопользования Акмолинской области") и подготовка заявочных материалов на получение разрешения на эмиссии в окружающую среду на 2015-2016 годы.</t>
  </si>
  <si>
    <t>С  изменениями и дополнениями от 30.10.2015 г. №498</t>
  </si>
  <si>
    <t>11, 18, 20, 21</t>
  </si>
  <si>
    <t>1965-2 Т</t>
  </si>
  <si>
    <t>апрель-май, ноябрь-декабрь</t>
  </si>
  <si>
    <t>1311-1 Т</t>
  </si>
  <si>
    <t>универсальное удобрение для уличных цветов и растений. Упавковка 5 кг. Соотношение азота, фосфора и калия составляет 8-14%, содержит селен</t>
  </si>
  <si>
    <t>февраль-март, ноябрь-декабрь</t>
  </si>
  <si>
    <t>1312-1 Т</t>
  </si>
  <si>
    <t>1313-1 Т</t>
  </si>
  <si>
    <t>136-2 У</t>
  </si>
  <si>
    <t>ноябрь</t>
  </si>
  <si>
    <t>2340 Т</t>
  </si>
  <si>
    <t>2341 Т</t>
  </si>
  <si>
    <t>2342 Т</t>
  </si>
  <si>
    <t>2343 Т</t>
  </si>
  <si>
    <t>2344 Т</t>
  </si>
  <si>
    <t>2345 Т</t>
  </si>
  <si>
    <t>20.15.79.00.00.00.10.10.1</t>
  </si>
  <si>
    <t>Удобрения минеральные или химические в таблетках или формах или в упаковках аналогичных, брутто-масса которых не превышает 10 кг</t>
  </si>
  <si>
    <t>Удобрение-палочки для цветущих растений,содержат медленнорастворимые в воде формы элементов питания. Палочки содержат полный комплекс макроэлементов, включая магний, и микроэлементов.Азот 8%, фосфор 8%, Калий 10%, магний 1%.</t>
  </si>
  <si>
    <t>гербицид в бутылках 1л. Глифосад в кислом эквиваленте, а также 135г/л смеси поверхностн-активных веществ из натурального сырья</t>
  </si>
  <si>
    <t>20.15.59.00.00.00.00.10.2</t>
  </si>
  <si>
    <t>универсальное удобрение  для комнатных цветов и растений. Бутылка. Азот 10%, калий 10%, ЗР солевых суспензий 8-10%, Фосфор 10%, гуминовые вещества 2% Жидкое натуральное универсальное удобрение применяется для корневых и внекорневых подкормок любых цветов, комнатных и декоративных растений, цветочной рассады, а также для замачивания семян, клубней и луковиц цветов и укоренения черенков.
Бутылка 0,5 л.</t>
  </si>
  <si>
    <t>Для цветов от грибковых заболеваний (Био-фунгицид), пачка. Действующее вещество- суспензионный концентрат бромуконазол 100г/л</t>
  </si>
  <si>
    <t>20.15.39.90.09.99.11.11.7</t>
  </si>
  <si>
    <t>для стимуляции роста растений, универсальное, в жидкой форме</t>
  </si>
  <si>
    <t>Препарат, повышающий устойчивость всех растений к различным заболеваниям и жестким условиям произрастания</t>
  </si>
  <si>
    <t>25.11.23.90.09.99.10.10.7</t>
  </si>
  <si>
    <t>Опора</t>
  </si>
  <si>
    <t>для растений, металлическая</t>
  </si>
  <si>
    <t>Моховая опора, приспособление для проявления декоративных качеств растения и для обеспечения правильного роста и развития. 1,5 м, д-6-7 см</t>
  </si>
  <si>
    <t>2346 Т</t>
  </si>
  <si>
    <t>Настенный вертикальный водонагреватель цилиндрической формы с технологией нагревательного элемента специальным сплавом на основе серебра. Габариты: 95,8*44,5*45,5см. Мощность 1500 Вт, объем 100 л.</t>
  </si>
  <si>
    <t>2347 Т</t>
  </si>
  <si>
    <t>28.13.23.900.002.00.0796.000000000000</t>
  </si>
  <si>
    <t xml:space="preserve"> компрессор винтовой</t>
  </si>
  <si>
    <t xml:space="preserve"> винтовой</t>
  </si>
  <si>
    <t>винтовый компрессор для чиллера 30HXC175 c комплектом</t>
  </si>
  <si>
    <t>С  изменениями и дополнениями от 06.11.2015 г. №508</t>
  </si>
  <si>
    <t>11,15,18,20,21</t>
  </si>
  <si>
    <t>864-4 Т</t>
  </si>
  <si>
    <t>июнь-июль,август,ноябрь-декабрь</t>
  </si>
  <si>
    <t>865-4 Т</t>
  </si>
  <si>
    <t>866-3 Т</t>
  </si>
  <si>
    <t>867-3 Т</t>
  </si>
  <si>
    <t>868-3 Т</t>
  </si>
  <si>
    <t>871-3 Т</t>
  </si>
  <si>
    <t>872-4 Т</t>
  </si>
  <si>
    <t>1299-1 Т</t>
  </si>
  <si>
    <t xml:space="preserve"> ноябрь-декабрь</t>
  </si>
  <si>
    <t>1302-1 Т</t>
  </si>
  <si>
    <t>2348 Т</t>
  </si>
  <si>
    <t>насос циркуляционный из серого чугуна. Макс температура от -10 до 110, напор 7м.,габариты 192/102. В наборе с гайкой накидной 25мм (чугун, вн. резьба)</t>
  </si>
  <si>
    <t>2349 Т</t>
  </si>
  <si>
    <t>Поверхностынй циркуляционный насос. Потребляемая мощность 880Вт, максимальный напор 10 м, вес 17,8кг.</t>
  </si>
  <si>
    <t>2350 Т</t>
  </si>
  <si>
    <t>28.30.93.00.00.00.13.11.1</t>
  </si>
  <si>
    <t>Масляный фильтр</t>
  </si>
  <si>
    <t>служит для очистки масла от продуктов износа</t>
  </si>
  <si>
    <t>масляный фильтр грубой очистки для чиллера carrier 19 xr,</t>
  </si>
  <si>
    <t>2351 Т</t>
  </si>
  <si>
    <t>масляный фильтр для чиллера carrier</t>
  </si>
  <si>
    <t>2352 Т</t>
  </si>
  <si>
    <t>для чиллера carrier 19 xr,</t>
  </si>
  <si>
    <t>2353 Т</t>
  </si>
  <si>
    <t>для чиллера carrier 30 hxc</t>
  </si>
  <si>
    <t>2354 Т</t>
  </si>
  <si>
    <t>13.99.13.00.00.00.71.05.1</t>
  </si>
  <si>
    <t>Кольцо-фильтр</t>
  </si>
  <si>
    <t>ФП</t>
  </si>
  <si>
    <t>фильтр и уплотнительное кольцо для чиллера carrier 30 hxc</t>
  </si>
  <si>
    <t>2355 Т</t>
  </si>
  <si>
    <t>нейлоновая для чистки трубок конденсатора чиллера carrier ф 20мм</t>
  </si>
  <si>
    <t>2356 Т</t>
  </si>
  <si>
    <t>13.93.19.00.00.30.13.10.1</t>
  </si>
  <si>
    <t>Напольное покрытие</t>
  </si>
  <si>
    <t>из синтетической резины</t>
  </si>
  <si>
    <t>Резиновое полотно с толщиной в 8 мм. Рифление-квадрат, Ширина 1500 мм, длина -10м. Цвет черный. Вес-11,5 кг/кв.м в комплекте с элементами крепления для установки механическим способом (дюбель-гвоздь 6/40, шайба)</t>
  </si>
  <si>
    <t>2357 Т</t>
  </si>
  <si>
    <t xml:space="preserve">Воздушно-тепловая завеса. Габариты 1500*215*183 мм, 11,8 кВт </t>
  </si>
  <si>
    <t>2358 Т</t>
  </si>
  <si>
    <t>Воздушно-тепловая завеса. Габариты 900*215*180мм., 7.5 кВт</t>
  </si>
  <si>
    <t>2359 Т</t>
  </si>
  <si>
    <t>Куртка утеплленная из ткани хлопчатобумажной с масловодоотталкивающией пропиткой, подкладка отстегивающаяся, устойчивая к ветру (не продувается). Требование к ткани для спецодежды согласно  ГОСТ 11209-85</t>
  </si>
  <si>
    <t>2360 Т</t>
  </si>
  <si>
    <t>Костюм летний: рубашка с коротким рукавом и брюки. Состав ткани 100% хлопок. Цвет рубашки голубой, цвет брюк темно-серый или синий.</t>
  </si>
  <si>
    <t>75 Р</t>
  </si>
  <si>
    <t>Работы по разработке проектно-сметной документации по утсройству фитнес-зала на 2м этаже на объекте в г.Астана: Административное здание "Изумрудный квартал" (Блок Б)</t>
  </si>
  <si>
    <t>76 Р</t>
  </si>
  <si>
    <t>33.12.18.17.10.00.00</t>
  </si>
  <si>
    <t>Ремонт и обслуживание промышленных кондиционеров и холодильников</t>
  </si>
  <si>
    <t>77 Р</t>
  </si>
  <si>
    <t>82.99.19.18.00.00.00</t>
  </si>
  <si>
    <t>Работы по изготовлению стендов</t>
  </si>
  <si>
    <t>Изготовление информационных стендов</t>
  </si>
  <si>
    <t>73.11.19.12.00.00.00</t>
  </si>
  <si>
    <t>Услуги в области рекламы прочие</t>
  </si>
  <si>
    <t>предоставление рекламно-информационных услуг</t>
  </si>
  <si>
    <t>11,15,20,21</t>
  </si>
  <si>
    <t>2257-1 Т</t>
  </si>
  <si>
    <t>сентябрь-октябрь,ноябрь-декабрь</t>
  </si>
  <si>
    <t>2258-1 Т</t>
  </si>
  <si>
    <t>2259-1 Т</t>
  </si>
  <si>
    <t>Выполнение тематических стендов для оформления интерьера помещения для изучения государственного языка в административном здании по пр. Республики 32, кабинет 705</t>
  </si>
  <si>
    <t>Профилактические работы по чистке холодильных машин, расположенных в администратиыном здании "Изумрудный квартал" Блок Б</t>
  </si>
  <si>
    <t>11,15,18</t>
  </si>
  <si>
    <t>С  изменениями и дополнениями от 17.11.2015 г. №517</t>
  </si>
  <si>
    <t>207 У</t>
  </si>
  <si>
    <t>1973-2 Т</t>
  </si>
  <si>
    <t>май-июнь,сентябрь-октябрь, ноябрь-декабрь</t>
  </si>
  <si>
    <t>78 Р</t>
  </si>
  <si>
    <t>Работы по изготовлению и монтажу дверей</t>
  </si>
  <si>
    <t>43.29.19.10.18.15.00</t>
  </si>
  <si>
    <t>авансовый платеж - 50%, оставшаяся часть по факту выполнения работ</t>
  </si>
  <si>
    <t>Изготовление 5 металлических дверей с размером 1300 на 2000 мм (Шир-Дл), 2 створч; 5 металлических дверей с размером 1270 на 2000 мм (ширДл); 5 металлических дверей с размером 1130 на 2000 мм (ШирДл); Покрытие попрощковой краской в цвет; доставка и монтаж</t>
  </si>
  <si>
    <t>32.91.19.00.00.00.40.10.1</t>
  </si>
  <si>
    <t>Комплект щеток и щетки для пылесосов</t>
  </si>
  <si>
    <t>насадка на пылесос PUZZI 100</t>
  </si>
  <si>
    <t>1480-5 Т</t>
  </si>
  <si>
    <t>май-июнь,июль-август,сентябрь, ноябрь-декабрь</t>
  </si>
  <si>
    <t>сентябрь-октябрь, ноябрь-декабрь</t>
  </si>
  <si>
    <t>май-июнь, ноябрь-декабрь</t>
  </si>
  <si>
    <t>1521-3 Т</t>
  </si>
  <si>
    <t>2207-2 Т</t>
  </si>
  <si>
    <t>1327-2 Т</t>
  </si>
  <si>
    <t>май-июнь,ноябрь-декабрь</t>
  </si>
  <si>
    <t>1323-2 Т</t>
  </si>
  <si>
    <t>1509-5 Т</t>
  </si>
  <si>
    <t>май-июнь,август-сентябрь, ноябрь-декабрь</t>
  </si>
  <si>
    <t>2361 Т</t>
  </si>
  <si>
    <t>2362 Т</t>
  </si>
  <si>
    <t>Аккумуляторная батарея для поломоечной машины Karcher BD50/40 RSBP GF 12 70 V 70 Ah (c20)</t>
  </si>
  <si>
    <t>1364-1Т</t>
  </si>
  <si>
    <t>1365-1 Т</t>
  </si>
  <si>
    <t>1372-1 Т</t>
  </si>
  <si>
    <t>1463-2 Т</t>
  </si>
  <si>
    <t>2363 Т</t>
  </si>
  <si>
    <t>23.31.10.01.03.01.01.11.1</t>
  </si>
  <si>
    <t>из керамического грамита, напольная, размер 400х400 мм</t>
  </si>
  <si>
    <t>Напольная плитка квадро бежевая 400*400 Н51830 1с</t>
  </si>
  <si>
    <t>109-1 У</t>
  </si>
  <si>
    <t>январь-февраль, ноябрь-декабрь</t>
  </si>
  <si>
    <t>60-1 У</t>
  </si>
  <si>
    <t>15-4 Т</t>
  </si>
  <si>
    <t>январь-февраль, июнь,ноябрь, декабрь</t>
  </si>
  <si>
    <t>2233-1 Т</t>
  </si>
  <si>
    <t>2239-1 Т</t>
  </si>
  <si>
    <t>627-1 Т</t>
  </si>
  <si>
    <t>2226-1 Т</t>
  </si>
  <si>
    <t>13.93.19.00.00.30.12.20.2</t>
  </si>
  <si>
    <t>Ковролины из искусственного  волокна</t>
  </si>
  <si>
    <t>Ковролин из искуственной шерсти 4м 16054/15055</t>
  </si>
  <si>
    <t>2365 Т</t>
  </si>
  <si>
    <t>25.99.29.00.01.15.17.10.1</t>
  </si>
  <si>
    <t>Балансировочный</t>
  </si>
  <si>
    <t>208 У</t>
  </si>
  <si>
    <t>59.11.11.20.01.01.00</t>
  </si>
  <si>
    <t>Услуги, связанные с производством видеофильмов, видеороликов и аудиороликов</t>
  </si>
  <si>
    <t>33.19.10.51.00.00.00</t>
  </si>
  <si>
    <t>79 Р</t>
  </si>
  <si>
    <t>Работы по ремонту и по сервисному обслуживанию автоматических подъемных ворот и шлагбаумов</t>
  </si>
  <si>
    <t>Услуга по замене привода гаражных ворот пав А верхнего гаража, комплекса административных зданий АО "НК "КазМунайГаз". В работы входят привод вальный промышленный и монтажные работы</t>
  </si>
  <si>
    <t>Работы по созданию видеопродукции в видео обучающего видеоролика по вопросам пожарной безопасности в административном здании "Изумрудный квартал" (Блок Б) г. Астана, пр. Кунаева, 8 с использованием профессионального оборудования в формате 3 D</t>
  </si>
  <si>
    <t>ручной балансировочный клапан, д 25. Предназначен для гидравлической балансировки систем отопления, тепло и холодоснабжения, ГВС</t>
  </si>
  <si>
    <t>ручной балансировочный клапан, д 32. Предназначен для гидравлической балансировки систем отопления, тепло и холодоснабжения, ГВС</t>
  </si>
  <si>
    <t>25.94.13.00.00.10.15.10.1</t>
  </si>
  <si>
    <t>электрический сетевой</t>
  </si>
  <si>
    <t>Перфоратор мощностью 850 Вт, питание от сети, максимальное количество ударов в минуту 3300 уд/мин, максимальная энергия удара 6,4 Дж</t>
  </si>
  <si>
    <t>2364 Т</t>
  </si>
  <si>
    <t>2366 Т</t>
  </si>
  <si>
    <t>2367 Т</t>
  </si>
  <si>
    <t>2368 Т</t>
  </si>
  <si>
    <t>2369 Т</t>
  </si>
  <si>
    <t>2370 Т</t>
  </si>
  <si>
    <t>2371 Т</t>
  </si>
  <si>
    <t>2372 Т</t>
  </si>
  <si>
    <t>2373 Т</t>
  </si>
  <si>
    <t>2374 Т</t>
  </si>
  <si>
    <t>2375 Т</t>
  </si>
  <si>
    <t>32.99.51.00.00.00.11.01.1</t>
  </si>
  <si>
    <t>Мишура</t>
  </si>
  <si>
    <t>новогодняя</t>
  </si>
  <si>
    <t>новогодняя мишура</t>
  </si>
  <si>
    <t>новогодний дождик</t>
  </si>
  <si>
    <t>32.99.51.00.00.00.11.30.1</t>
  </si>
  <si>
    <t>Украшение елочное</t>
  </si>
  <si>
    <t>Украшение елочное стеклянное без механизмов</t>
  </si>
  <si>
    <t>20.51.13.00.00.10.10.10.2</t>
  </si>
  <si>
    <t>новогодние игрушки в упаковке</t>
  </si>
  <si>
    <t>Фейрверк</t>
  </si>
  <si>
    <t>создают впечатляющие эффекты с помощью акустических, световых или дымовых эффектов при сгорании</t>
  </si>
  <si>
    <t>27.12.24.26.11.11.11.10.1</t>
  </si>
  <si>
    <t>контрольное</t>
  </si>
  <si>
    <t>реле для новогодних гирлянд</t>
  </si>
  <si>
    <t>27.40.32.00.00.00.00.01.3</t>
  </si>
  <si>
    <t>Гирлянда</t>
  </si>
  <si>
    <t>Светодиодная световая гирлянда для украшения новогодних елок, малое энергопотребление, больший ресурс работы, высокая яркость.</t>
  </si>
  <si>
    <t>дюралайт</t>
  </si>
  <si>
    <t>27.40.32.00.00.00.00.01.1</t>
  </si>
  <si>
    <t>новогодняя гирлянда</t>
  </si>
  <si>
    <t>новогодняя гирлянда - водопад</t>
  </si>
  <si>
    <t>2376 Т</t>
  </si>
  <si>
    <t>25.72.13.00.00.30.20.10.1</t>
  </si>
  <si>
    <t>Контрольная пломба</t>
  </si>
  <si>
    <t>Пломбы одноразовые</t>
  </si>
  <si>
    <t>Пломба из полипропилена, замок из нержавеющей стали. Общая длина 415 мм, рабочая длина 330 мм. Диаметр хвоста 2,3 мм.</t>
  </si>
  <si>
    <t>209 У</t>
  </si>
  <si>
    <t xml:space="preserve"> 68.31.16.10.01.00.00</t>
  </si>
  <si>
    <t>Оценка рыночной стоимости офисного здания, расположенного по адресу: Республика Казахстан, г. Астана, улица Ауэзова, 18, ВП2.</t>
  </si>
  <si>
    <t>декабрь</t>
  </si>
  <si>
    <t>с даты заключения договора и в течении 10 рабочих дней</t>
  </si>
  <si>
    <t>2015-2016</t>
  </si>
  <si>
    <t>210 У</t>
  </si>
  <si>
    <t>Оценка рыночной стоимости Дома отдыха «Малиновый Мыс», расположенного по адресу: Республика Казахстан, Акмолинская область, Зерендинский район,  пос. Зеренда.</t>
  </si>
  <si>
    <t>Акмолинская область, п.Зеренда, Дома отдыха «Малиновый Мыс»</t>
  </si>
  <si>
    <t>итого по работам</t>
  </si>
  <si>
    <t>С  изменениями и дополнениями от 25.11.2015 г. №530</t>
  </si>
  <si>
    <t>С  изменениями и дополнениями от 30.11.2015 г. №541</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</si>
</sst>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quot;р.&quot;_-;\-* #,##0.00&quot;р.&quot;_-;_-* &quot;-&quot;??&quot;р.&quot;_-;_-@_-"/>
    <numFmt numFmtId="43" formatCode="_-* #,##0.00_р_._-;\-* #,##0.00_р_._-;_-* &quot;-&quot;??_р_._-;_-@_-"/>
    <numFmt numFmtId="164" formatCode="_-* #,##0.00_-;\-* #,##0.00_-;_-* &quot;-&quot;??_-;_-@_-"/>
    <numFmt numFmtId="165" formatCode="_(* #,##0.00_);_(* \(#,##0.00\);_(* &quot;-&quot;??_);_(@_)"/>
    <numFmt numFmtId="166" formatCode="0.000"/>
    <numFmt numFmtId="167" formatCode="0.0000"/>
    <numFmt numFmtId="168" formatCode="0.00000"/>
    <numFmt numFmtId="169" formatCode="0.000000"/>
  </numFmts>
  <fonts count="23" x14ac:knownFonts="1">
    <font>
      <sz val="10"/>
      <name val="Arial"/>
    </font>
    <font>
      <sz val="10"/>
      <name val="Arial"/>
      <family val="2"/>
      <charset val="204"/>
    </font>
    <font>
      <sz val="10"/>
      <name val="Arial"/>
      <family val="2"/>
      <charset val="204"/>
    </font>
    <font>
      <sz val="10"/>
      <name val="Arial Cyr"/>
      <charset val="204"/>
    </font>
    <font>
      <sz val="10"/>
      <name val="Times New Roman"/>
      <family val="1"/>
      <charset val="204"/>
    </font>
    <font>
      <b/>
      <sz val="10"/>
      <name val="Times New Roman"/>
      <family val="1"/>
      <charset val="204"/>
    </font>
    <font>
      <i/>
      <sz val="10"/>
      <name val="Times New Roman"/>
      <family val="1"/>
      <charset val="204"/>
    </font>
    <font>
      <b/>
      <sz val="11"/>
      <name val="Times New Roman"/>
      <family val="1"/>
      <charset val="204"/>
    </font>
    <font>
      <sz val="11"/>
      <color indexed="8"/>
      <name val="Calibri"/>
      <family val="2"/>
      <charset val="204"/>
    </font>
    <font>
      <sz val="10"/>
      <name val="Helv"/>
    </font>
    <font>
      <sz val="10"/>
      <color indexed="8"/>
      <name val="Arial"/>
      <family val="2"/>
      <charset val="204"/>
    </font>
    <font>
      <b/>
      <i/>
      <sz val="10"/>
      <name val="Times New Roman"/>
      <family val="1"/>
      <charset val="204"/>
    </font>
    <font>
      <sz val="10"/>
      <name val="Arial"/>
      <family val="2"/>
      <charset val="204"/>
    </font>
    <font>
      <sz val="10"/>
      <name val="Arial"/>
      <family val="2"/>
      <charset val="204"/>
    </font>
    <font>
      <sz val="10"/>
      <color indexed="8"/>
      <name val="Times New Roman"/>
      <family val="1"/>
      <charset val="204"/>
    </font>
    <font>
      <sz val="11"/>
      <color theme="1"/>
      <name val="Calibri"/>
      <family val="2"/>
      <charset val="204"/>
    </font>
    <font>
      <sz val="8"/>
      <name val="Times New Roman"/>
      <family val="1"/>
      <charset val="204"/>
    </font>
    <font>
      <sz val="8"/>
      <color rgb="FFFF0000"/>
      <name val="Calibri"/>
      <family val="2"/>
      <charset val="204"/>
    </font>
    <font>
      <sz val="10"/>
      <color theme="1"/>
      <name val="Times New Roman"/>
      <family val="1"/>
      <charset val="204"/>
    </font>
    <font>
      <sz val="14"/>
      <name val="Times New Roman"/>
      <family val="1"/>
      <charset val="204"/>
    </font>
    <font>
      <sz val="9"/>
      <name val="Times New Roman"/>
      <family val="1"/>
      <charset val="204"/>
    </font>
    <font>
      <sz val="10"/>
      <name val="Arial"/>
      <family val="2"/>
      <charset val="204"/>
    </font>
    <font>
      <b/>
      <sz val="12"/>
      <name val="Times New Roman"/>
      <family val="1"/>
      <charset val="204"/>
    </font>
  </fonts>
  <fills count="3">
    <fill>
      <patternFill patternType="none"/>
    </fill>
    <fill>
      <patternFill patternType="gray125"/>
    </fill>
    <fill>
      <patternFill patternType="solid">
        <fgColor theme="0"/>
        <bgColor indexed="64"/>
      </patternFill>
    </fill>
  </fills>
  <borders count="29">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s>
  <cellStyleXfs count="78">
    <xf numFmtId="0" fontId="0" fillId="0" borderId="0"/>
    <xf numFmtId="0" fontId="15" fillId="0" borderId="0"/>
    <xf numFmtId="44" fontId="8" fillId="0" borderId="0" applyFont="0" applyFill="0" applyBorder="0" applyAlignment="0" applyProtection="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8" fillId="0" borderId="0"/>
    <xf numFmtId="0" fontId="3" fillId="0" borderId="0"/>
    <xf numFmtId="0" fontId="1" fillId="0" borderId="0"/>
    <xf numFmtId="0" fontId="8" fillId="0" borderId="0"/>
    <xf numFmtId="0" fontId="8" fillId="0" borderId="0"/>
    <xf numFmtId="0" fontId="8" fillId="0" borderId="0"/>
    <xf numFmtId="0" fontId="3" fillId="0" borderId="0"/>
    <xf numFmtId="0" fontId="3"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3" fillId="0" borderId="0"/>
    <xf numFmtId="0" fontId="1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 fillId="0" borderId="0"/>
    <xf numFmtId="0" fontId="9"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3" fillId="0" borderId="0"/>
    <xf numFmtId="0" fontId="21" fillId="0" borderId="0"/>
    <xf numFmtId="43" fontId="1" fillId="0" borderId="0" applyFont="0" applyFill="0" applyBorder="0" applyAlignment="0" applyProtection="0"/>
  </cellStyleXfs>
  <cellXfs count="273">
    <xf numFmtId="0" fontId="0" fillId="0" borderId="0" xfId="0"/>
    <xf numFmtId="0" fontId="4" fillId="2" borderId="2" xfId="17"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2" xfId="17" applyFont="1" applyFill="1" applyBorder="1" applyAlignment="1">
      <alignment horizontal="center" vertical="center" wrapText="1"/>
    </xf>
    <xf numFmtId="0" fontId="4" fillId="2" borderId="2" xfId="17" applyFont="1" applyFill="1" applyBorder="1" applyAlignment="1">
      <alignment horizontal="center" vertical="center" wrapText="1"/>
    </xf>
    <xf numFmtId="9" fontId="14" fillId="2" borderId="2" xfId="17" applyNumberFormat="1" applyFont="1" applyFill="1" applyBorder="1" applyAlignment="1">
      <alignment horizontal="center" vertical="center" wrapText="1"/>
    </xf>
    <xf numFmtId="0" fontId="1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pplyProtection="1">
      <alignment horizontal="center" vertical="center" wrapText="1"/>
      <protection locked="0"/>
    </xf>
    <xf numFmtId="165" fontId="14" fillId="2" borderId="13" xfId="65" applyFont="1" applyFill="1" applyBorder="1" applyAlignment="1">
      <alignment horizontal="center" vertical="center" wrapText="1"/>
    </xf>
    <xf numFmtId="165" fontId="4" fillId="2" borderId="2" xfId="65" applyFont="1" applyFill="1" applyBorder="1" applyAlignment="1">
      <alignment horizontal="center" vertical="center" wrapText="1"/>
    </xf>
    <xf numFmtId="0" fontId="4" fillId="2" borderId="3" xfId="17" applyFont="1" applyFill="1" applyBorder="1" applyAlignment="1">
      <alignment horizontal="center" vertical="center"/>
    </xf>
    <xf numFmtId="0" fontId="14" fillId="2" borderId="8" xfId="0" applyFont="1" applyFill="1" applyBorder="1" applyAlignment="1" applyProtection="1">
      <alignment horizontal="center" vertical="center" wrapText="1"/>
      <protection locked="0"/>
    </xf>
    <xf numFmtId="0" fontId="14" fillId="2" borderId="0" xfId="17" applyFont="1" applyFill="1" applyBorder="1" applyAlignment="1">
      <alignment vertical="center"/>
    </xf>
    <xf numFmtId="0" fontId="14" fillId="2" borderId="7" xfId="17" applyFont="1" applyFill="1" applyBorder="1" applyAlignment="1">
      <alignment horizontal="center" vertical="center" wrapText="1"/>
    </xf>
    <xf numFmtId="0" fontId="4" fillId="2" borderId="7" xfId="17" applyFont="1" applyFill="1" applyBorder="1" applyAlignment="1">
      <alignment horizontal="center" vertical="center" wrapText="1"/>
    </xf>
    <xf numFmtId="3" fontId="4" fillId="2" borderId="2" xfId="0" applyNumberFormat="1" applyFont="1" applyFill="1" applyBorder="1" applyAlignment="1">
      <alignment horizontal="center" vertical="center" wrapText="1"/>
    </xf>
    <xf numFmtId="9" fontId="4" fillId="2" borderId="2" xfId="17" applyNumberFormat="1" applyFont="1" applyFill="1" applyBorder="1" applyAlignment="1">
      <alignment horizontal="center" vertical="center"/>
    </xf>
    <xf numFmtId="0" fontId="4" fillId="2" borderId="2" xfId="0" applyNumberFormat="1" applyFont="1" applyFill="1" applyBorder="1" applyAlignment="1">
      <alignment horizontal="center" vertical="center" wrapText="1"/>
    </xf>
    <xf numFmtId="165" fontId="4" fillId="2" borderId="3" xfId="65" applyFont="1" applyFill="1" applyBorder="1" applyAlignment="1">
      <alignment horizontal="center" vertical="center"/>
    </xf>
    <xf numFmtId="0" fontId="4" fillId="2" borderId="2" xfId="17" applyFont="1" applyFill="1" applyBorder="1" applyAlignment="1">
      <alignment vertical="center"/>
    </xf>
    <xf numFmtId="0" fontId="4" fillId="2" borderId="0" xfId="17" applyFont="1" applyFill="1" applyBorder="1" applyAlignment="1">
      <alignment vertical="center"/>
    </xf>
    <xf numFmtId="9" fontId="4" fillId="2" borderId="2" xfId="17" applyNumberFormat="1" applyFont="1" applyFill="1" applyBorder="1" applyAlignment="1">
      <alignment horizontal="center" vertical="center" wrapText="1"/>
    </xf>
    <xf numFmtId="0" fontId="4" fillId="2" borderId="0" xfId="17" applyFont="1" applyFill="1" applyBorder="1" applyAlignment="1">
      <alignment horizontal="center" vertical="center" wrapText="1"/>
    </xf>
    <xf numFmtId="3" fontId="4" fillId="2" borderId="7" xfId="0" applyNumberFormat="1" applyFont="1" applyFill="1" applyBorder="1" applyAlignment="1">
      <alignment horizontal="center" vertical="center" wrapText="1"/>
    </xf>
    <xf numFmtId="1" fontId="4" fillId="2" borderId="2" xfId="0" applyNumberFormat="1" applyFont="1" applyFill="1" applyBorder="1" applyAlignment="1">
      <alignment horizontal="center" vertical="center" wrapText="1"/>
    </xf>
    <xf numFmtId="165" fontId="4" fillId="2" borderId="2" xfId="65" applyFont="1" applyFill="1" applyBorder="1" applyAlignment="1">
      <alignment horizontal="center" vertical="center"/>
    </xf>
    <xf numFmtId="49" fontId="4" fillId="2" borderId="2" xfId="17" applyNumberFormat="1" applyFont="1" applyFill="1" applyBorder="1" applyAlignment="1">
      <alignment horizontal="center" vertical="center" wrapText="1"/>
    </xf>
    <xf numFmtId="0" fontId="4" fillId="2" borderId="0" xfId="17" applyFont="1" applyFill="1" applyBorder="1" applyAlignment="1">
      <alignment horizontal="center" vertical="center"/>
    </xf>
    <xf numFmtId="0" fontId="4" fillId="2" borderId="2" xfId="17" applyNumberFormat="1"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2" xfId="59"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165" fontId="4" fillId="2" borderId="3" xfId="65" applyFont="1" applyFill="1" applyBorder="1" applyAlignment="1">
      <alignment horizontal="center" vertical="center" wrapText="1"/>
    </xf>
    <xf numFmtId="0" fontId="4" fillId="2" borderId="3" xfId="17" applyFont="1" applyFill="1" applyBorder="1" applyAlignment="1">
      <alignment horizontal="center" vertical="center" wrapText="1"/>
    </xf>
    <xf numFmtId="0" fontId="4" fillId="2" borderId="2" xfId="17" applyFont="1" applyFill="1" applyBorder="1" applyAlignment="1">
      <alignment vertical="center" wrapText="1"/>
    </xf>
    <xf numFmtId="0" fontId="17" fillId="2" borderId="0" xfId="0" applyFont="1" applyFill="1"/>
    <xf numFmtId="0" fontId="14" fillId="2" borderId="1" xfId="0" applyFont="1" applyFill="1" applyBorder="1" applyAlignment="1">
      <alignment horizontal="center" vertical="center" wrapText="1"/>
    </xf>
    <xf numFmtId="0" fontId="14" fillId="2" borderId="8" xfId="0" applyFont="1" applyFill="1" applyBorder="1" applyAlignment="1">
      <alignment horizontal="center" vertical="center" wrapText="1"/>
    </xf>
    <xf numFmtId="49" fontId="4" fillId="2" borderId="2" xfId="17" applyNumberFormat="1" applyFont="1" applyFill="1" applyBorder="1" applyAlignment="1">
      <alignment horizontal="center" vertical="center"/>
    </xf>
    <xf numFmtId="0" fontId="18" fillId="2" borderId="0" xfId="17" applyFont="1" applyFill="1" applyBorder="1" applyAlignment="1">
      <alignment horizontal="center" vertical="center"/>
    </xf>
    <xf numFmtId="0" fontId="18" fillId="2" borderId="2" xfId="17" applyFont="1" applyFill="1" applyBorder="1" applyAlignment="1">
      <alignment horizontal="center" vertical="center"/>
    </xf>
    <xf numFmtId="0" fontId="18" fillId="2" borderId="7" xfId="17" applyFont="1" applyFill="1" applyBorder="1" applyAlignment="1">
      <alignment horizontal="center" vertical="center" wrapText="1"/>
    </xf>
    <xf numFmtId="0" fontId="18" fillId="2" borderId="2" xfId="17" applyFont="1" applyFill="1" applyBorder="1" applyAlignment="1">
      <alignment horizontal="center" vertical="center" wrapText="1"/>
    </xf>
    <xf numFmtId="9" fontId="18" fillId="2" borderId="2" xfId="17" applyNumberFormat="1" applyFont="1" applyFill="1" applyBorder="1" applyAlignment="1">
      <alignment horizontal="center" vertical="center"/>
    </xf>
    <xf numFmtId="0" fontId="18" fillId="2" borderId="2" xfId="0" applyNumberFormat="1" applyFont="1" applyFill="1" applyBorder="1" applyAlignment="1">
      <alignment horizontal="center" vertical="center" wrapText="1"/>
    </xf>
    <xf numFmtId="165" fontId="18" fillId="2" borderId="2" xfId="65" applyFont="1" applyFill="1" applyBorder="1" applyAlignment="1">
      <alignment horizontal="center" vertical="center"/>
    </xf>
    <xf numFmtId="0" fontId="18" fillId="2" borderId="3" xfId="17" applyFont="1" applyFill="1" applyBorder="1" applyAlignment="1">
      <alignment horizontal="center" vertical="center"/>
    </xf>
    <xf numFmtId="49" fontId="18" fillId="2" borderId="2" xfId="17" applyNumberFormat="1" applyFont="1" applyFill="1" applyBorder="1" applyAlignment="1">
      <alignment horizontal="center" vertical="center" wrapText="1"/>
    </xf>
    <xf numFmtId="0" fontId="14" fillId="2" borderId="8" xfId="17" applyFont="1" applyFill="1" applyBorder="1" applyAlignment="1">
      <alignment horizontal="center" vertical="center" wrapText="1"/>
    </xf>
    <xf numFmtId="0" fontId="1" fillId="2" borderId="2" xfId="0" applyFont="1" applyFill="1" applyBorder="1" applyAlignment="1">
      <alignment horizontal="left" vertical="center" wrapText="1"/>
    </xf>
    <xf numFmtId="1" fontId="14" fillId="2" borderId="2" xfId="0" applyNumberFormat="1" applyFont="1" applyFill="1" applyBorder="1" applyAlignment="1">
      <alignment horizontal="center" vertical="center" wrapText="1"/>
    </xf>
    <xf numFmtId="165" fontId="14" fillId="2" borderId="13" xfId="65"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7" xfId="60" applyFont="1" applyFill="1" applyBorder="1" applyAlignment="1">
      <alignment horizontal="center" vertical="center" wrapText="1"/>
    </xf>
    <xf numFmtId="165" fontId="4" fillId="2" borderId="3" xfId="67" applyFont="1" applyFill="1" applyBorder="1" applyAlignment="1">
      <alignment horizontal="center" vertical="center"/>
    </xf>
    <xf numFmtId="0" fontId="14" fillId="2" borderId="0" xfId="0" applyFont="1" applyFill="1" applyAlignment="1">
      <alignment vertical="center"/>
    </xf>
    <xf numFmtId="3" fontId="4" fillId="2" borderId="0" xfId="0" applyNumberFormat="1" applyFont="1" applyFill="1" applyBorder="1" applyAlignment="1">
      <alignment horizontal="center" vertical="center" wrapText="1"/>
    </xf>
    <xf numFmtId="0" fontId="4" fillId="2" borderId="2" xfId="17" applyFont="1" applyFill="1" applyBorder="1" applyAlignment="1">
      <alignment horizontal="right" vertical="center"/>
    </xf>
    <xf numFmtId="0" fontId="14" fillId="2" borderId="2" xfId="17" applyFont="1" applyFill="1" applyBorder="1" applyAlignment="1">
      <alignment horizontal="center" vertical="center"/>
    </xf>
    <xf numFmtId="0" fontId="4" fillId="2" borderId="0" xfId="17" applyFont="1" applyFill="1" applyBorder="1"/>
    <xf numFmtId="0" fontId="14" fillId="2" borderId="2" xfId="0" applyFont="1" applyFill="1" applyBorder="1" applyAlignment="1" applyProtection="1">
      <alignment horizontal="center" vertical="center" wrapText="1"/>
      <protection locked="0"/>
    </xf>
    <xf numFmtId="9" fontId="4" fillId="2" borderId="2" xfId="0" applyNumberFormat="1" applyFont="1" applyFill="1" applyBorder="1" applyAlignment="1">
      <alignment horizontal="center" vertical="center" wrapText="1"/>
    </xf>
    <xf numFmtId="0" fontId="4" fillId="2" borderId="2" xfId="63" applyFont="1" applyFill="1" applyBorder="1" applyAlignment="1">
      <alignment horizontal="center" vertical="center" wrapText="1"/>
    </xf>
    <xf numFmtId="0" fontId="4" fillId="2" borderId="2" xfId="63" applyNumberFormat="1" applyFont="1" applyFill="1" applyBorder="1" applyAlignment="1">
      <alignment horizontal="center" vertical="center" wrapText="1"/>
    </xf>
    <xf numFmtId="0" fontId="4" fillId="2" borderId="2" xfId="0" applyFont="1" applyFill="1" applyBorder="1" applyAlignment="1">
      <alignment horizontal="center" vertical="center"/>
    </xf>
    <xf numFmtId="0" fontId="1" fillId="2" borderId="2" xfId="0" applyFont="1" applyFill="1" applyBorder="1" applyAlignment="1">
      <alignment vertical="center"/>
    </xf>
    <xf numFmtId="0" fontId="4" fillId="2" borderId="2" xfId="0" applyFont="1" applyFill="1" applyBorder="1" applyAlignment="1">
      <alignment vertical="center"/>
    </xf>
    <xf numFmtId="165" fontId="14" fillId="2" borderId="2" xfId="65" applyFont="1" applyFill="1" applyBorder="1" applyAlignment="1">
      <alignment horizontal="center" vertical="center" wrapText="1"/>
    </xf>
    <xf numFmtId="3" fontId="14"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9" fontId="18" fillId="2" borderId="2" xfId="17" applyNumberFormat="1" applyFont="1" applyFill="1" applyBorder="1" applyAlignment="1">
      <alignment horizontal="center" vertical="center" wrapText="1"/>
    </xf>
    <xf numFmtId="0" fontId="18" fillId="2" borderId="2" xfId="0" applyFont="1" applyFill="1" applyBorder="1" applyAlignment="1" applyProtection="1">
      <alignment horizontal="center" vertical="center" wrapText="1"/>
      <protection locked="0"/>
    </xf>
    <xf numFmtId="165" fontId="18" fillId="2" borderId="2" xfId="65" applyFont="1" applyFill="1" applyBorder="1" applyAlignment="1">
      <alignment horizontal="center" vertical="center" wrapText="1"/>
    </xf>
    <xf numFmtId="0" fontId="10" fillId="2" borderId="2" xfId="0" applyFont="1" applyFill="1" applyBorder="1" applyAlignment="1">
      <alignment horizontal="left" vertical="center" wrapText="1"/>
    </xf>
    <xf numFmtId="49" fontId="4" fillId="2" borderId="2" xfId="0" applyNumberFormat="1" applyFont="1" applyFill="1" applyBorder="1" applyAlignment="1" applyProtection="1">
      <alignment horizontal="center" vertical="center" wrapText="1"/>
      <protection locked="0"/>
    </xf>
    <xf numFmtId="0" fontId="14" fillId="2" borderId="2" xfId="17" applyFont="1" applyFill="1" applyBorder="1" applyAlignment="1">
      <alignment vertical="center"/>
    </xf>
    <xf numFmtId="1" fontId="14" fillId="2" borderId="2" xfId="0" applyNumberFormat="1" applyFont="1" applyFill="1" applyBorder="1" applyAlignment="1">
      <alignment horizontal="center" vertical="center"/>
    </xf>
    <xf numFmtId="164" fontId="14" fillId="2" borderId="2" xfId="0" applyNumberFormat="1" applyFont="1" applyFill="1" applyBorder="1" applyAlignment="1" applyProtection="1">
      <alignment horizontal="center" vertical="center" wrapText="1"/>
      <protection locked="0"/>
    </xf>
    <xf numFmtId="0" fontId="0" fillId="2" borderId="2" xfId="0" applyFill="1" applyBorder="1" applyAlignment="1">
      <alignment horizontal="left" vertical="center" wrapText="1"/>
    </xf>
    <xf numFmtId="49" fontId="4" fillId="2" borderId="2" xfId="27" applyNumberFormat="1" applyFont="1" applyFill="1" applyBorder="1" applyAlignment="1">
      <alignment horizontal="center" vertical="center" wrapText="1"/>
    </xf>
    <xf numFmtId="0" fontId="4" fillId="2" borderId="2" xfId="58" applyFont="1" applyFill="1" applyBorder="1" applyAlignment="1">
      <alignment horizontal="center" vertical="center" wrapText="1"/>
    </xf>
    <xf numFmtId="0" fontId="4" fillId="2" borderId="8" xfId="17" applyFont="1" applyFill="1" applyBorder="1" applyAlignment="1">
      <alignment horizontal="center" vertical="center" wrapText="1"/>
    </xf>
    <xf numFmtId="0" fontId="18" fillId="2" borderId="0" xfId="0" applyFont="1" applyFill="1"/>
    <xf numFmtId="1" fontId="4" fillId="2" borderId="0" xfId="0" applyNumberFormat="1" applyFont="1" applyFill="1" applyBorder="1" applyAlignment="1">
      <alignment horizontal="center" vertical="center" wrapText="1"/>
    </xf>
    <xf numFmtId="0" fontId="4" fillId="2" borderId="7" xfId="18" applyFont="1" applyFill="1" applyBorder="1" applyAlignment="1">
      <alignment horizontal="center" vertical="center" wrapText="1"/>
    </xf>
    <xf numFmtId="0" fontId="4" fillId="2" borderId="2" xfId="18" applyFont="1" applyFill="1" applyBorder="1" applyAlignment="1">
      <alignment horizontal="center" vertical="center" wrapText="1"/>
    </xf>
    <xf numFmtId="0" fontId="4" fillId="2" borderId="2" xfId="18" applyFont="1" applyFill="1" applyBorder="1" applyAlignment="1">
      <alignment horizontal="center" vertical="center"/>
    </xf>
    <xf numFmtId="0" fontId="20" fillId="2" borderId="2" xfId="18" applyFont="1" applyFill="1" applyBorder="1" applyAlignment="1">
      <alignment horizontal="center" vertical="center" wrapText="1"/>
    </xf>
    <xf numFmtId="0" fontId="4" fillId="2" borderId="2" xfId="12" applyFont="1" applyFill="1" applyBorder="1" applyAlignment="1">
      <alignment horizontal="center" vertical="center" wrapText="1"/>
    </xf>
    <xf numFmtId="0" fontId="3" fillId="2" borderId="2" xfId="12" applyFill="1" applyBorder="1" applyAlignment="1">
      <alignment horizontal="center" vertical="center"/>
    </xf>
    <xf numFmtId="0" fontId="3" fillId="2" borderId="2" xfId="12" applyFill="1" applyBorder="1"/>
    <xf numFmtId="0" fontId="4" fillId="2" borderId="0" xfId="0" applyFont="1" applyFill="1" applyBorder="1" applyAlignment="1">
      <alignment horizontal="center" vertical="center" wrapText="1"/>
    </xf>
    <xf numFmtId="0" fontId="4" fillId="2" borderId="3" xfId="0" applyFont="1" applyFill="1" applyBorder="1" applyAlignment="1" applyProtection="1">
      <alignment horizontal="center" vertical="center" wrapText="1"/>
      <protection locked="0"/>
    </xf>
    <xf numFmtId="0" fontId="0" fillId="2" borderId="2" xfId="0" applyFill="1" applyBorder="1" applyAlignment="1">
      <alignment horizontal="center" vertical="center"/>
    </xf>
    <xf numFmtId="0" fontId="4" fillId="2" borderId="7" xfId="0" applyNumberFormat="1" applyFont="1" applyFill="1" applyBorder="1" applyAlignment="1">
      <alignment horizontal="center" vertical="center" wrapText="1"/>
    </xf>
    <xf numFmtId="0" fontId="4" fillId="2" borderId="2" xfId="0" applyFont="1" applyFill="1" applyBorder="1" applyAlignment="1" applyProtection="1">
      <alignment horizontal="center" vertical="center" wrapText="1"/>
    </xf>
    <xf numFmtId="165" fontId="4" fillId="2" borderId="2" xfId="65" applyFont="1" applyFill="1" applyBorder="1" applyAlignment="1" applyProtection="1">
      <alignment horizontal="center" vertical="center" wrapText="1"/>
      <protection locked="0"/>
    </xf>
    <xf numFmtId="0" fontId="4" fillId="2" borderId="0" xfId="17" applyFont="1" applyFill="1" applyBorder="1" applyAlignment="1">
      <alignment horizontal="left" vertical="center"/>
    </xf>
    <xf numFmtId="0" fontId="16" fillId="2" borderId="2" xfId="0" applyFont="1" applyFill="1" applyBorder="1"/>
    <xf numFmtId="0" fontId="4" fillId="2" borderId="7" xfId="17" applyFont="1" applyFill="1" applyBorder="1" applyAlignment="1">
      <alignment vertical="center"/>
    </xf>
    <xf numFmtId="0" fontId="4" fillId="2" borderId="2" xfId="59" applyFont="1" applyFill="1" applyBorder="1" applyAlignment="1">
      <alignment horizontal="center" vertical="center"/>
    </xf>
    <xf numFmtId="0" fontId="5" fillId="2" borderId="2" xfId="17" applyFont="1" applyFill="1" applyBorder="1" applyAlignment="1">
      <alignment horizontal="center" vertical="center"/>
    </xf>
    <xf numFmtId="0" fontId="5" fillId="2" borderId="7" xfId="17" applyFont="1" applyFill="1" applyBorder="1" applyAlignment="1">
      <alignment horizontal="center" vertical="center"/>
    </xf>
    <xf numFmtId="49" fontId="4" fillId="2" borderId="2" xfId="59" applyNumberFormat="1" applyFont="1" applyFill="1" applyBorder="1" applyAlignment="1">
      <alignment horizontal="center" vertical="center" wrapText="1"/>
    </xf>
    <xf numFmtId="165" fontId="5" fillId="2" borderId="2" xfId="65" applyFont="1" applyFill="1" applyBorder="1" applyAlignment="1">
      <alignment horizontal="center" vertical="center"/>
    </xf>
    <xf numFmtId="0" fontId="5" fillId="2" borderId="0" xfId="17" applyFont="1" applyFill="1" applyBorder="1" applyAlignment="1">
      <alignment horizontal="center" vertical="center"/>
    </xf>
    <xf numFmtId="0" fontId="4" fillId="2" borderId="0" xfId="59" applyFont="1" applyFill="1" applyBorder="1" applyAlignment="1">
      <alignment horizontal="center" vertical="center" wrapText="1"/>
    </xf>
    <xf numFmtId="0" fontId="4" fillId="2" borderId="0" xfId="59" applyFont="1" applyFill="1" applyBorder="1" applyAlignment="1">
      <alignment vertical="center" wrapText="1"/>
    </xf>
    <xf numFmtId="165" fontId="4" fillId="2" borderId="0" xfId="65" applyFont="1" applyFill="1" applyBorder="1" applyAlignment="1">
      <alignment horizontal="center" vertical="center"/>
    </xf>
    <xf numFmtId="49" fontId="4" fillId="2" borderId="0" xfId="59" applyNumberFormat="1" applyFont="1" applyFill="1" applyBorder="1" applyAlignment="1">
      <alignment vertical="center" wrapText="1"/>
    </xf>
    <xf numFmtId="0" fontId="5" fillId="2" borderId="0" xfId="17" applyFont="1" applyFill="1" applyBorder="1" applyAlignment="1">
      <alignment vertical="center" wrapText="1"/>
    </xf>
    <xf numFmtId="0" fontId="5" fillId="2" borderId="0" xfId="17" applyFont="1" applyFill="1" applyBorder="1" applyAlignment="1">
      <alignment vertical="center"/>
    </xf>
    <xf numFmtId="165" fontId="4" fillId="2" borderId="0" xfId="65" applyFont="1" applyFill="1" applyBorder="1" applyAlignment="1">
      <alignment horizontal="center" vertical="center" wrapText="1"/>
    </xf>
    <xf numFmtId="0" fontId="3" fillId="2" borderId="0" xfId="12" applyFill="1"/>
    <xf numFmtId="0" fontId="4" fillId="2" borderId="13" xfId="17" applyFont="1" applyFill="1" applyBorder="1" applyAlignment="1">
      <alignment horizontal="center" vertical="center" wrapText="1"/>
    </xf>
    <xf numFmtId="43" fontId="4" fillId="2" borderId="2" xfId="65" applyNumberFormat="1" applyFont="1" applyFill="1" applyBorder="1" applyAlignment="1">
      <alignment horizontal="center" vertical="center"/>
    </xf>
    <xf numFmtId="43" fontId="4" fillId="2" borderId="2" xfId="65" applyNumberFormat="1" applyFont="1" applyFill="1" applyBorder="1" applyAlignment="1">
      <alignment horizontal="center" vertical="center" wrapText="1"/>
    </xf>
    <xf numFmtId="0" fontId="18" fillId="2" borderId="0" xfId="0" applyFont="1" applyFill="1" applyAlignment="1">
      <alignment horizontal="center" vertical="center"/>
    </xf>
    <xf numFmtId="43" fontId="4" fillId="2" borderId="2" xfId="74" applyFont="1" applyFill="1" applyBorder="1" applyAlignment="1">
      <alignment horizontal="center" vertical="center" wrapText="1"/>
    </xf>
    <xf numFmtId="0" fontId="4" fillId="2" borderId="2" xfId="17" applyFont="1" applyFill="1" applyBorder="1" applyAlignment="1">
      <alignment horizontal="left" vertical="center"/>
    </xf>
    <xf numFmtId="0" fontId="18" fillId="2" borderId="0" xfId="0" applyFont="1" applyFill="1" applyAlignment="1">
      <alignment horizontal="left" vertical="center"/>
    </xf>
    <xf numFmtId="0" fontId="4" fillId="2" borderId="2" xfId="64"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0" fontId="4" fillId="2" borderId="7" xfId="48" applyFont="1" applyFill="1" applyBorder="1" applyAlignment="1">
      <alignment horizontal="center" vertical="center" wrapText="1"/>
    </xf>
    <xf numFmtId="0" fontId="4" fillId="2" borderId="2" xfId="48" applyFont="1" applyFill="1" applyBorder="1" applyAlignment="1">
      <alignment horizontal="center" vertical="center" wrapText="1"/>
    </xf>
    <xf numFmtId="3" fontId="4" fillId="2" borderId="2" xfId="48" applyNumberFormat="1" applyFont="1" applyFill="1" applyBorder="1" applyAlignment="1">
      <alignment horizontal="center" vertical="center" wrapText="1"/>
    </xf>
    <xf numFmtId="0" fontId="14" fillId="2" borderId="2" xfId="12" applyFont="1" applyFill="1" applyBorder="1" applyAlignment="1">
      <alignment horizontal="center" vertical="center" wrapText="1"/>
    </xf>
    <xf numFmtId="9" fontId="14" fillId="2" borderId="8" xfId="17" applyNumberFormat="1" applyFont="1" applyFill="1" applyBorder="1" applyAlignment="1">
      <alignment horizontal="center" vertical="center" wrapText="1"/>
    </xf>
    <xf numFmtId="165" fontId="4" fillId="2" borderId="2" xfId="65" applyNumberFormat="1" applyFont="1" applyFill="1" applyBorder="1" applyAlignment="1">
      <alignment horizontal="center" vertical="center"/>
    </xf>
    <xf numFmtId="0" fontId="4" fillId="2" borderId="2" xfId="17" applyFont="1" applyFill="1" applyBorder="1"/>
    <xf numFmtId="0" fontId="14" fillId="2" borderId="2" xfId="0" applyNumberFormat="1" applyFont="1" applyFill="1" applyBorder="1" applyAlignment="1">
      <alignment horizontal="center" wrapText="1"/>
    </xf>
    <xf numFmtId="0" fontId="1" fillId="2" borderId="0" xfId="0" applyFont="1" applyFill="1" applyAlignment="1">
      <alignment vertical="center"/>
    </xf>
    <xf numFmtId="167" fontId="1" fillId="2" borderId="0" xfId="0" applyNumberFormat="1" applyFont="1" applyFill="1" applyAlignment="1">
      <alignment vertical="center"/>
    </xf>
    <xf numFmtId="167" fontId="4" fillId="2" borderId="0" xfId="17" applyNumberFormat="1" applyFont="1" applyFill="1" applyBorder="1" applyAlignment="1">
      <alignment vertical="center"/>
    </xf>
    <xf numFmtId="167" fontId="14" fillId="2" borderId="0" xfId="17" applyNumberFormat="1" applyFont="1" applyFill="1" applyBorder="1" applyAlignment="1">
      <alignment vertical="center"/>
    </xf>
    <xf numFmtId="166" fontId="14" fillId="2" borderId="0" xfId="17" applyNumberFormat="1" applyFont="1" applyFill="1" applyBorder="1" applyAlignment="1">
      <alignment vertical="center"/>
    </xf>
    <xf numFmtId="2" fontId="4" fillId="2" borderId="0" xfId="17" applyNumberFormat="1" applyFont="1" applyFill="1" applyBorder="1" applyAlignment="1">
      <alignment vertical="center"/>
    </xf>
    <xf numFmtId="166" fontId="4" fillId="2" borderId="0" xfId="17" applyNumberFormat="1" applyFont="1" applyFill="1" applyBorder="1" applyAlignment="1">
      <alignment vertical="center"/>
    </xf>
    <xf numFmtId="0" fontId="4" fillId="2" borderId="0" xfId="0" applyFont="1" applyFill="1" applyAlignment="1">
      <alignment vertical="center"/>
    </xf>
    <xf numFmtId="168" fontId="14" fillId="2" borderId="0" xfId="17" applyNumberFormat="1" applyFont="1" applyFill="1" applyBorder="1" applyAlignment="1">
      <alignment vertical="center"/>
    </xf>
    <xf numFmtId="169" fontId="4" fillId="2" borderId="0" xfId="17" applyNumberFormat="1" applyFont="1" applyFill="1" applyBorder="1" applyAlignment="1">
      <alignment vertical="center"/>
    </xf>
    <xf numFmtId="168" fontId="4" fillId="2" borderId="0" xfId="17" applyNumberFormat="1" applyFont="1" applyFill="1" applyBorder="1" applyAlignment="1">
      <alignment vertical="center"/>
    </xf>
    <xf numFmtId="165" fontId="14" fillId="2" borderId="2" xfId="65" applyNumberFormat="1" applyFont="1" applyFill="1" applyBorder="1" applyAlignment="1">
      <alignment horizontal="center" vertical="center" wrapText="1"/>
    </xf>
    <xf numFmtId="0" fontId="4" fillId="2" borderId="2" xfId="75" applyFont="1" applyFill="1" applyBorder="1" applyAlignment="1">
      <alignment horizontal="center" vertical="center" wrapText="1"/>
    </xf>
    <xf numFmtId="166" fontId="4" fillId="2" borderId="0" xfId="17" applyNumberFormat="1" applyFont="1" applyFill="1" applyBorder="1" applyAlignment="1">
      <alignment horizontal="center" vertical="center"/>
    </xf>
    <xf numFmtId="43" fontId="4" fillId="2" borderId="2" xfId="77" applyFont="1" applyFill="1" applyBorder="1" applyAlignment="1">
      <alignment horizontal="center" vertical="center" wrapText="1"/>
    </xf>
    <xf numFmtId="1" fontId="4" fillId="2" borderId="8" xfId="0" applyNumberFormat="1" applyFont="1" applyFill="1" applyBorder="1" applyAlignment="1">
      <alignment horizontal="center" vertical="center" wrapText="1"/>
    </xf>
    <xf numFmtId="0" fontId="4" fillId="2" borderId="0" xfId="17" applyFont="1" applyFill="1"/>
    <xf numFmtId="0" fontId="4" fillId="2" borderId="0" xfId="17" applyFont="1" applyFill="1" applyAlignment="1">
      <alignment wrapText="1"/>
    </xf>
    <xf numFmtId="165" fontId="4" fillId="2" borderId="18" xfId="65" applyFont="1" applyFill="1" applyBorder="1" applyAlignment="1">
      <alignment horizontal="left"/>
    </xf>
    <xf numFmtId="165" fontId="4" fillId="2" borderId="19" xfId="65" applyFont="1" applyFill="1" applyBorder="1" applyAlignment="1">
      <alignment horizontal="center" vertical="center"/>
    </xf>
    <xf numFmtId="165" fontId="4" fillId="2" borderId="19" xfId="65" applyFont="1" applyFill="1" applyBorder="1"/>
    <xf numFmtId="0" fontId="4" fillId="2" borderId="19" xfId="17" applyFont="1" applyFill="1" applyBorder="1"/>
    <xf numFmtId="0" fontId="4" fillId="2" borderId="10" xfId="17" applyFont="1" applyFill="1" applyBorder="1"/>
    <xf numFmtId="0" fontId="4" fillId="2" borderId="0" xfId="17" applyFont="1" applyFill="1" applyBorder="1" applyAlignment="1">
      <alignment horizontal="left"/>
    </xf>
    <xf numFmtId="0" fontId="4" fillId="2" borderId="0" xfId="17" applyFont="1" applyFill="1" applyBorder="1" applyAlignment="1">
      <alignment horizontal="left" wrapText="1"/>
    </xf>
    <xf numFmtId="0" fontId="4" fillId="2" borderId="0" xfId="17" applyFont="1" applyFill="1" applyBorder="1" applyAlignment="1">
      <alignment wrapText="1"/>
    </xf>
    <xf numFmtId="165" fontId="4" fillId="2" borderId="20" xfId="65" applyFont="1" applyFill="1" applyBorder="1" applyAlignment="1">
      <alignment horizontal="left"/>
    </xf>
    <xf numFmtId="165" fontId="4" fillId="2" borderId="21" xfId="65" applyFont="1" applyFill="1" applyBorder="1" applyAlignment="1">
      <alignment horizontal="center" vertical="center"/>
    </xf>
    <xf numFmtId="165" fontId="4" fillId="2" borderId="21" xfId="65" applyFont="1" applyFill="1" applyBorder="1"/>
    <xf numFmtId="165" fontId="5" fillId="2" borderId="21" xfId="65" applyFont="1" applyFill="1" applyBorder="1" applyAlignment="1"/>
    <xf numFmtId="0" fontId="5" fillId="2" borderId="21" xfId="17" applyFont="1" applyFill="1" applyBorder="1" applyAlignment="1"/>
    <xf numFmtId="0" fontId="4" fillId="2" borderId="21" xfId="17" applyFont="1" applyFill="1" applyBorder="1" applyAlignment="1"/>
    <xf numFmtId="0" fontId="4" fillId="2" borderId="22" xfId="17" applyFont="1" applyFill="1" applyBorder="1"/>
    <xf numFmtId="0" fontId="5" fillId="2" borderId="0" xfId="17" applyFont="1" applyFill="1" applyBorder="1" applyAlignment="1"/>
    <xf numFmtId="165" fontId="4" fillId="2" borderId="0" xfId="65" applyFont="1" applyFill="1"/>
    <xf numFmtId="165" fontId="5" fillId="2" borderId="0" xfId="65" applyFont="1" applyFill="1" applyBorder="1" applyAlignment="1"/>
    <xf numFmtId="0" fontId="4" fillId="2" borderId="0" xfId="17" applyFont="1" applyFill="1" applyBorder="1" applyAlignment="1"/>
    <xf numFmtId="0" fontId="5" fillId="2" borderId="0" xfId="17" applyFont="1" applyFill="1" applyBorder="1" applyAlignment="1">
      <alignment wrapText="1"/>
    </xf>
    <xf numFmtId="0" fontId="5" fillId="2" borderId="0" xfId="17" applyFont="1" applyFill="1" applyBorder="1" applyAlignment="1">
      <alignment horizontal="left" vertical="center"/>
    </xf>
    <xf numFmtId="0" fontId="5" fillId="2" borderId="0" xfId="17" applyFont="1" applyFill="1" applyBorder="1" applyAlignment="1">
      <alignment horizontal="left" vertical="center" wrapText="1"/>
    </xf>
    <xf numFmtId="165" fontId="5" fillId="2" borderId="0" xfId="65" applyFont="1" applyFill="1" applyBorder="1" applyAlignment="1">
      <alignment horizontal="left" vertical="center"/>
    </xf>
    <xf numFmtId="0" fontId="5" fillId="2" borderId="0" xfId="17" applyFont="1" applyFill="1" applyBorder="1" applyAlignment="1">
      <alignment horizontal="left"/>
    </xf>
    <xf numFmtId="0" fontId="5" fillId="2" borderId="0" xfId="17" applyFont="1" applyFill="1" applyBorder="1" applyAlignment="1">
      <alignment horizontal="left" wrapText="1"/>
    </xf>
    <xf numFmtId="165" fontId="5" fillId="2" borderId="0" xfId="65" applyFont="1" applyFill="1" applyBorder="1" applyAlignment="1">
      <alignment horizontal="left"/>
    </xf>
    <xf numFmtId="165" fontId="5" fillId="2" borderId="0" xfId="65" applyFont="1" applyFill="1" applyBorder="1" applyAlignment="1">
      <alignment horizontal="right" vertical="center"/>
    </xf>
    <xf numFmtId="0" fontId="5" fillId="2" borderId="0" xfId="17" applyFont="1" applyFill="1" applyBorder="1" applyAlignment="1">
      <alignment horizontal="right" vertical="center"/>
    </xf>
    <xf numFmtId="0" fontId="5" fillId="2" borderId="25" xfId="17" applyFont="1" applyFill="1" applyBorder="1" applyAlignment="1">
      <alignment horizontal="center" vertical="center" wrapText="1"/>
    </xf>
    <xf numFmtId="0" fontId="5" fillId="2" borderId="5" xfId="17" applyFont="1" applyFill="1" applyBorder="1" applyAlignment="1">
      <alignment horizontal="center" vertical="center" wrapText="1"/>
    </xf>
    <xf numFmtId="165" fontId="5" fillId="2" borderId="25" xfId="65" applyFont="1" applyFill="1" applyBorder="1" applyAlignment="1">
      <alignment horizontal="center" vertical="center" wrapText="1"/>
    </xf>
    <xf numFmtId="0" fontId="11" fillId="2" borderId="4" xfId="17" applyFont="1" applyFill="1" applyBorder="1" applyAlignment="1">
      <alignment horizontal="center" vertical="center" wrapText="1"/>
    </xf>
    <xf numFmtId="0" fontId="11" fillId="2" borderId="9" xfId="17" applyFont="1" applyFill="1" applyBorder="1" applyAlignment="1">
      <alignment horizontal="center" vertical="center" wrapText="1"/>
    </xf>
    <xf numFmtId="0" fontId="11" fillId="2" borderId="6" xfId="17" applyFont="1" applyFill="1" applyBorder="1" applyAlignment="1">
      <alignment horizontal="center" vertical="center" wrapText="1"/>
    </xf>
    <xf numFmtId="0" fontId="6" fillId="2" borderId="0" xfId="17" applyFont="1" applyFill="1" applyBorder="1" applyAlignment="1">
      <alignment vertical="center"/>
    </xf>
    <xf numFmtId="1" fontId="4" fillId="2" borderId="2" xfId="0" applyNumberFormat="1" applyFont="1" applyFill="1" applyBorder="1" applyAlignment="1">
      <alignment horizontal="center" vertical="center"/>
    </xf>
    <xf numFmtId="3" fontId="4" fillId="2" borderId="7" xfId="5" applyNumberFormat="1" applyFont="1" applyFill="1" applyBorder="1" applyAlignment="1">
      <alignment horizontal="center" vertical="center" wrapText="1"/>
    </xf>
    <xf numFmtId="0" fontId="4" fillId="2" borderId="2" xfId="5" applyFont="1" applyFill="1" applyBorder="1" applyAlignment="1">
      <alignment horizontal="center" vertical="center" wrapText="1"/>
    </xf>
    <xf numFmtId="3" fontId="4" fillId="2" borderId="2" xfId="5" applyNumberFormat="1" applyFont="1" applyFill="1" applyBorder="1" applyAlignment="1">
      <alignment horizontal="center" vertical="center" wrapText="1"/>
    </xf>
    <xf numFmtId="0" fontId="4" fillId="2" borderId="2" xfId="61" applyFont="1" applyFill="1" applyBorder="1" applyAlignment="1">
      <alignment horizontal="center" vertical="center" wrapText="1"/>
    </xf>
    <xf numFmtId="3" fontId="4" fillId="2" borderId="2" xfId="64" applyNumberFormat="1" applyFont="1" applyFill="1" applyBorder="1" applyAlignment="1">
      <alignment horizontal="center" vertical="center" wrapText="1"/>
    </xf>
    <xf numFmtId="0" fontId="4" fillId="2" borderId="2" xfId="62" applyFont="1" applyFill="1" applyBorder="1" applyAlignment="1">
      <alignment horizontal="center" vertical="center" wrapText="1"/>
    </xf>
    <xf numFmtId="0" fontId="4" fillId="2" borderId="7" xfId="0" applyFont="1" applyFill="1" applyBorder="1" applyAlignment="1" applyProtection="1">
      <alignment horizontal="center" vertical="center" wrapText="1"/>
      <protection locked="0"/>
    </xf>
    <xf numFmtId="0" fontId="1" fillId="2" borderId="0" xfId="0" applyFont="1" applyFill="1" applyBorder="1" applyAlignment="1">
      <alignment vertical="center"/>
    </xf>
    <xf numFmtId="9" fontId="4" fillId="2" borderId="8" xfId="17" applyNumberFormat="1" applyFont="1" applyFill="1" applyBorder="1" applyAlignment="1">
      <alignment horizontal="center" vertical="center"/>
    </xf>
    <xf numFmtId="0" fontId="4" fillId="2" borderId="8"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pplyProtection="1">
      <alignment horizontal="center" vertical="center" wrapText="1"/>
      <protection locked="0"/>
    </xf>
    <xf numFmtId="165" fontId="4" fillId="2" borderId="8" xfId="65" applyFont="1" applyFill="1" applyBorder="1" applyAlignment="1">
      <alignment horizontal="center" vertical="center" wrapText="1"/>
    </xf>
    <xf numFmtId="0" fontId="4" fillId="2" borderId="8" xfId="17" applyFont="1" applyFill="1" applyBorder="1" applyAlignment="1">
      <alignment vertical="center"/>
    </xf>
    <xf numFmtId="3" fontId="4" fillId="2" borderId="1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1" fontId="4" fillId="2" borderId="14" xfId="0" applyNumberFormat="1" applyFont="1" applyFill="1" applyBorder="1" applyAlignment="1">
      <alignment horizontal="center" vertical="center" wrapText="1"/>
    </xf>
    <xf numFmtId="0" fontId="4" fillId="2" borderId="14" xfId="17" applyFont="1" applyFill="1" applyBorder="1" applyAlignment="1">
      <alignment horizontal="center" vertical="center"/>
    </xf>
    <xf numFmtId="9" fontId="4" fillId="2" borderId="14" xfId="17" applyNumberFormat="1" applyFont="1" applyFill="1" applyBorder="1" applyAlignment="1">
      <alignment horizontal="center" vertical="center"/>
    </xf>
    <xf numFmtId="0" fontId="4" fillId="2" borderId="14" xfId="0" applyNumberFormat="1" applyFont="1" applyFill="1" applyBorder="1" applyAlignment="1">
      <alignment horizontal="center" vertical="center" wrapText="1"/>
    </xf>
    <xf numFmtId="0" fontId="4" fillId="2" borderId="14" xfId="17"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4" xfId="0" applyFont="1" applyFill="1" applyBorder="1" applyAlignment="1" applyProtection="1">
      <alignment horizontal="center" vertical="center" wrapText="1"/>
      <protection locked="0"/>
    </xf>
    <xf numFmtId="165" fontId="4" fillId="2" borderId="14" xfId="65" applyFont="1" applyFill="1" applyBorder="1" applyAlignment="1">
      <alignment horizontal="center" vertical="center" wrapText="1"/>
    </xf>
    <xf numFmtId="0" fontId="4" fillId="2" borderId="16" xfId="17" applyFont="1" applyFill="1" applyBorder="1" applyAlignment="1">
      <alignment horizontal="center" vertical="center"/>
    </xf>
    <xf numFmtId="0" fontId="4" fillId="2" borderId="8" xfId="17" applyFont="1" applyFill="1" applyBorder="1" applyAlignment="1">
      <alignment horizontal="center" vertical="center"/>
    </xf>
    <xf numFmtId="0" fontId="4" fillId="2" borderId="13" xfId="17" applyFont="1" applyFill="1" applyBorder="1" applyAlignment="1">
      <alignment horizontal="center" vertical="center"/>
    </xf>
    <xf numFmtId="1" fontId="4" fillId="2" borderId="3" xfId="17" applyNumberFormat="1" applyFont="1" applyFill="1" applyBorder="1" applyAlignment="1">
      <alignment horizontal="center" vertical="center" wrapText="1"/>
    </xf>
    <xf numFmtId="0" fontId="4" fillId="2" borderId="17" xfId="17" applyFont="1" applyFill="1" applyBorder="1" applyAlignment="1">
      <alignment horizontal="center" vertical="center" wrapText="1"/>
    </xf>
    <xf numFmtId="0" fontId="0" fillId="2" borderId="0" xfId="0" applyFill="1" applyAlignment="1">
      <alignment vertical="center" wrapText="1"/>
    </xf>
    <xf numFmtId="0" fontId="4" fillId="2" borderId="0" xfId="0" applyFont="1" applyFill="1" applyBorder="1" applyAlignment="1">
      <alignment horizontal="center" vertical="center"/>
    </xf>
    <xf numFmtId="0" fontId="1" fillId="2" borderId="0" xfId="0" applyFont="1" applyFill="1" applyAlignment="1">
      <alignment horizontal="center" vertical="center"/>
    </xf>
    <xf numFmtId="0" fontId="18" fillId="2" borderId="0" xfId="17" applyFont="1" applyFill="1" applyBorder="1" applyAlignment="1">
      <alignment vertical="center"/>
    </xf>
    <xf numFmtId="0" fontId="4" fillId="2" borderId="1" xfId="0" applyFont="1" applyFill="1" applyBorder="1" applyAlignment="1">
      <alignment horizontal="center" vertical="center" wrapText="1"/>
    </xf>
    <xf numFmtId="165" fontId="4" fillId="2" borderId="13" xfId="65" applyFont="1" applyFill="1" applyBorder="1" applyAlignment="1">
      <alignment horizontal="center" vertical="center" wrapText="1"/>
    </xf>
    <xf numFmtId="3" fontId="14" fillId="2" borderId="7" xfId="0" applyNumberFormat="1" applyFont="1" applyFill="1" applyBorder="1" applyAlignment="1">
      <alignment horizontal="center" vertical="center" wrapText="1"/>
    </xf>
    <xf numFmtId="0" fontId="14" fillId="2" borderId="0" xfId="17" applyFont="1" applyFill="1" applyBorder="1" applyAlignment="1">
      <alignment horizontal="center" vertical="center"/>
    </xf>
    <xf numFmtId="49" fontId="4" fillId="2" borderId="14" xfId="17" applyNumberFormat="1" applyFont="1" applyFill="1" applyBorder="1" applyAlignment="1">
      <alignment horizontal="center" vertical="center"/>
    </xf>
    <xf numFmtId="43" fontId="4" fillId="2" borderId="14" xfId="74" applyFont="1" applyFill="1" applyBorder="1" applyAlignment="1">
      <alignment horizontal="center" vertical="center" wrapText="1"/>
    </xf>
    <xf numFmtId="9" fontId="4" fillId="2" borderId="14" xfId="17" applyNumberFormat="1" applyFont="1" applyFill="1" applyBorder="1" applyAlignment="1">
      <alignment horizontal="center" vertical="center" wrapText="1"/>
    </xf>
    <xf numFmtId="165" fontId="14" fillId="2" borderId="28" xfId="65" applyNumberFormat="1" applyFont="1" applyFill="1" applyBorder="1" applyAlignment="1">
      <alignment horizontal="center" vertical="center" wrapText="1"/>
    </xf>
    <xf numFmtId="43" fontId="4" fillId="2" borderId="14" xfId="65" applyNumberFormat="1" applyFont="1" applyFill="1" applyBorder="1" applyAlignment="1">
      <alignment horizontal="center" vertical="center"/>
    </xf>
    <xf numFmtId="43" fontId="4" fillId="2" borderId="14" xfId="65" applyNumberFormat="1" applyFont="1" applyFill="1" applyBorder="1" applyAlignment="1">
      <alignment horizontal="center" vertical="center" wrapText="1"/>
    </xf>
    <xf numFmtId="0" fontId="5" fillId="2" borderId="2" xfId="17" applyFont="1" applyFill="1" applyBorder="1" applyAlignment="1">
      <alignment vertical="center"/>
    </xf>
    <xf numFmtId="0" fontId="19" fillId="2" borderId="2" xfId="0" applyFont="1" applyFill="1" applyBorder="1"/>
    <xf numFmtId="165" fontId="4" fillId="2" borderId="3" xfId="73" applyFont="1" applyFill="1" applyBorder="1" applyAlignment="1">
      <alignment horizontal="center" vertical="center"/>
    </xf>
    <xf numFmtId="164" fontId="4" fillId="2" borderId="2" xfId="17" applyNumberFormat="1" applyFont="1" applyFill="1" applyBorder="1" applyAlignment="1">
      <alignment horizontal="center" vertical="center" wrapText="1"/>
    </xf>
    <xf numFmtId="2" fontId="4" fillId="2" borderId="0" xfId="17" applyNumberFormat="1" applyFont="1" applyFill="1" applyBorder="1"/>
    <xf numFmtId="2" fontId="4" fillId="2" borderId="2" xfId="67" applyNumberFormat="1" applyFont="1" applyFill="1" applyBorder="1" applyAlignment="1">
      <alignment horizontal="center" vertical="center"/>
    </xf>
    <xf numFmtId="1" fontId="4" fillId="2" borderId="2" xfId="17" applyNumberFormat="1" applyFont="1" applyFill="1" applyBorder="1" applyAlignment="1">
      <alignment horizontal="left" vertical="center"/>
    </xf>
    <xf numFmtId="0" fontId="5" fillId="2" borderId="12" xfId="17" applyFont="1" applyFill="1" applyBorder="1" applyAlignment="1">
      <alignment vertical="center"/>
    </xf>
    <xf numFmtId="0" fontId="5" fillId="2" borderId="11" xfId="17" applyFont="1" applyFill="1" applyBorder="1" applyAlignment="1">
      <alignment vertical="center" wrapText="1"/>
    </xf>
    <xf numFmtId="165" fontId="5" fillId="2" borderId="2" xfId="65" applyFont="1" applyFill="1" applyBorder="1" applyAlignment="1" applyProtection="1">
      <alignment horizontal="center" vertical="center" wrapText="1"/>
      <protection locked="0"/>
    </xf>
    <xf numFmtId="165" fontId="5" fillId="2" borderId="0" xfId="65" applyFont="1" applyFill="1" applyBorder="1" applyAlignment="1">
      <alignment horizontal="center" vertical="center"/>
    </xf>
    <xf numFmtId="49" fontId="4" fillId="2" borderId="0" xfId="17" applyNumberFormat="1" applyFont="1" applyFill="1" applyBorder="1" applyAlignment="1">
      <alignment vertical="center"/>
    </xf>
    <xf numFmtId="49" fontId="4" fillId="2" borderId="0" xfId="17" applyNumberFormat="1" applyFont="1" applyFill="1" applyBorder="1" applyAlignment="1">
      <alignment vertical="center" wrapText="1"/>
    </xf>
    <xf numFmtId="0" fontId="22" fillId="2" borderId="2" xfId="17" applyFont="1" applyFill="1" applyBorder="1" applyAlignment="1">
      <alignment horizontal="left" vertical="center"/>
    </xf>
    <xf numFmtId="0" fontId="18" fillId="2" borderId="2" xfId="0" applyFont="1" applyFill="1" applyBorder="1"/>
    <xf numFmtId="0" fontId="18" fillId="2" borderId="0" xfId="0" applyFont="1" applyFill="1" applyBorder="1"/>
    <xf numFmtId="166" fontId="18" fillId="2" borderId="0" xfId="0" applyNumberFormat="1" applyFont="1" applyFill="1" applyBorder="1"/>
    <xf numFmtId="0" fontId="5" fillId="2" borderId="8" xfId="17" applyFont="1" applyFill="1" applyBorder="1" applyAlignment="1">
      <alignment vertical="center"/>
    </xf>
    <xf numFmtId="0" fontId="4" fillId="2" borderId="12" xfId="17" applyFont="1" applyFill="1" applyBorder="1" applyAlignment="1">
      <alignment vertical="center"/>
    </xf>
    <xf numFmtId="0" fontId="19" fillId="2" borderId="8" xfId="0" applyFont="1" applyFill="1" applyBorder="1" applyAlignment="1">
      <alignment horizontal="justify"/>
    </xf>
    <xf numFmtId="165" fontId="4" fillId="2" borderId="8" xfId="65" applyFont="1" applyFill="1" applyBorder="1" applyAlignment="1">
      <alignment horizontal="center" vertical="center"/>
    </xf>
    <xf numFmtId="165" fontId="5" fillId="2" borderId="8" xfId="65" applyFont="1" applyFill="1" applyBorder="1" applyAlignment="1">
      <alignment horizontal="center" vertical="center"/>
    </xf>
    <xf numFmtId="0" fontId="4" fillId="2" borderId="1" xfId="17" applyFont="1" applyFill="1" applyBorder="1" applyAlignment="1">
      <alignment vertical="center"/>
    </xf>
    <xf numFmtId="0" fontId="4" fillId="2" borderId="7" xfId="17" applyFont="1" applyFill="1" applyBorder="1" applyAlignment="1">
      <alignment vertical="center" wrapText="1"/>
    </xf>
    <xf numFmtId="0" fontId="19" fillId="2" borderId="2" xfId="0" applyFont="1" applyFill="1" applyBorder="1" applyAlignment="1">
      <alignment horizontal="justify"/>
    </xf>
    <xf numFmtId="0" fontId="5" fillId="2" borderId="1" xfId="17" applyFont="1" applyFill="1" applyBorder="1" applyAlignment="1">
      <alignment vertical="center"/>
    </xf>
    <xf numFmtId="0" fontId="5" fillId="2" borderId="1" xfId="17" applyFont="1" applyFill="1" applyBorder="1" applyAlignment="1">
      <alignment vertical="center" wrapText="1"/>
    </xf>
    <xf numFmtId="0" fontId="4" fillId="2" borderId="2" xfId="59" applyFont="1" applyFill="1" applyBorder="1" applyAlignment="1">
      <alignment horizontal="center" vertical="center" wrapText="1" shrinkToFit="1"/>
    </xf>
    <xf numFmtId="165" fontId="5" fillId="2" borderId="1" xfId="65" applyFont="1" applyFill="1" applyBorder="1" applyAlignment="1">
      <alignment horizontal="center" vertical="center"/>
    </xf>
    <xf numFmtId="165" fontId="5" fillId="2" borderId="7" xfId="65" applyFont="1" applyFill="1" applyBorder="1" applyAlignment="1">
      <alignment horizontal="center" vertical="center"/>
    </xf>
    <xf numFmtId="0" fontId="4" fillId="2" borderId="0" xfId="17" applyFont="1" applyFill="1" applyBorder="1" applyAlignment="1">
      <alignment horizontal="left" vertical="center" wrapText="1"/>
    </xf>
    <xf numFmtId="0" fontId="4" fillId="2" borderId="0" xfId="17" applyFont="1" applyFill="1" applyBorder="1" applyAlignment="1">
      <alignment vertical="center" wrapText="1"/>
    </xf>
    <xf numFmtId="43" fontId="5" fillId="2" borderId="26" xfId="74" applyFont="1" applyFill="1" applyBorder="1" applyAlignment="1">
      <alignment horizontal="right" vertical="center" wrapText="1"/>
    </xf>
    <xf numFmtId="43" fontId="5" fillId="2" borderId="27" xfId="74" applyFont="1" applyFill="1" applyBorder="1" applyAlignment="1">
      <alignment horizontal="right" vertical="center" wrapText="1"/>
    </xf>
    <xf numFmtId="43" fontId="5" fillId="2" borderId="5" xfId="74" applyFont="1" applyFill="1" applyBorder="1" applyAlignment="1">
      <alignment horizontal="right" vertical="center" wrapText="1"/>
    </xf>
    <xf numFmtId="0" fontId="5" fillId="2" borderId="0" xfId="17" applyFont="1" applyFill="1" applyBorder="1" applyAlignment="1">
      <alignment horizontal="center"/>
    </xf>
    <xf numFmtId="43" fontId="5" fillId="2" borderId="0" xfId="74" applyFont="1" applyFill="1" applyBorder="1" applyAlignment="1">
      <alignment horizontal="center"/>
    </xf>
    <xf numFmtId="43" fontId="5" fillId="2" borderId="23" xfId="74" applyFont="1" applyFill="1" applyBorder="1" applyAlignment="1">
      <alignment horizontal="right" vertical="center"/>
    </xf>
    <xf numFmtId="43" fontId="5" fillId="2" borderId="4" xfId="74" applyFont="1" applyFill="1" applyBorder="1" applyAlignment="1">
      <alignment horizontal="right" vertical="center"/>
    </xf>
    <xf numFmtId="0" fontId="5" fillId="2" borderId="4" xfId="17" applyFont="1" applyFill="1" applyBorder="1" applyAlignment="1">
      <alignment horizontal="right" vertical="center"/>
    </xf>
    <xf numFmtId="0" fontId="5" fillId="2" borderId="24" xfId="17" applyFont="1" applyFill="1" applyBorder="1" applyAlignment="1">
      <alignment horizontal="right" vertical="center"/>
    </xf>
    <xf numFmtId="0" fontId="4" fillId="2" borderId="0" xfId="17" applyFont="1" applyFill="1" applyBorder="1" applyAlignment="1">
      <alignment horizontal="left" vertical="center" wrapText="1"/>
    </xf>
    <xf numFmtId="0" fontId="4" fillId="2" borderId="0" xfId="17" applyFont="1" applyFill="1" applyBorder="1" applyAlignment="1">
      <alignment vertical="center" wrapText="1"/>
    </xf>
  </cellXfs>
  <cellStyles count="78">
    <cellStyle name="Normal 6 2" xfId="1"/>
    <cellStyle name="Денежный 2" xfId="2"/>
    <cellStyle name="Обычный" xfId="0" builtinId="0"/>
    <cellStyle name="Обычный 10" xfId="3"/>
    <cellStyle name="Обычный 10 2" xfId="4"/>
    <cellStyle name="Обычный 10 2 2" xfId="5"/>
    <cellStyle name="Обычный 10 3" xfId="6"/>
    <cellStyle name="Обычный 10 3 2" xfId="7"/>
    <cellStyle name="Обычный 10 4" xfId="8"/>
    <cellStyle name="Обычный 11" xfId="9"/>
    <cellStyle name="Обычный 11 2" xfId="10"/>
    <cellStyle name="Обычный 12" xfId="11"/>
    <cellStyle name="Обычный 13" xfId="12"/>
    <cellStyle name="Обычный 14" xfId="13"/>
    <cellStyle name="Обычный 15" xfId="76"/>
    <cellStyle name="Обычный 17" xfId="14"/>
    <cellStyle name="Обычный 18" xfId="15"/>
    <cellStyle name="Обычный 19" xfId="16"/>
    <cellStyle name="Обычный 2" xfId="17"/>
    <cellStyle name="Обычный 2 2 2" xfId="18"/>
    <cellStyle name="Обычный 2 3" xfId="75"/>
    <cellStyle name="Обычный 3" xfId="19"/>
    <cellStyle name="Обычный 3 2" xfId="20"/>
    <cellStyle name="Обычный 4" xfId="21"/>
    <cellStyle name="Обычный 4 2" xfId="22"/>
    <cellStyle name="Обычный 4 2 2" xfId="23"/>
    <cellStyle name="Обычный 4 3" xfId="24"/>
    <cellStyle name="Обычный 4 3 2" xfId="25"/>
    <cellStyle name="Обычный 4 4" xfId="26"/>
    <cellStyle name="Обычный 4 5" xfId="27"/>
    <cellStyle name="Обычный 5" xfId="28"/>
    <cellStyle name="Обычный 5 2" xfId="29"/>
    <cellStyle name="Обычный 5 2 2" xfId="30"/>
    <cellStyle name="Обычный 5 3" xfId="31"/>
    <cellStyle name="Обычный 5 3 2" xfId="32"/>
    <cellStyle name="Обычный 5 4" xfId="33"/>
    <cellStyle name="Обычный 6" xfId="34"/>
    <cellStyle name="Обычный 6 2" xfId="35"/>
    <cellStyle name="Обычный 6 2 2" xfId="36"/>
    <cellStyle name="Обычный 6 3" xfId="37"/>
    <cellStyle name="Обычный 6 3 2" xfId="38"/>
    <cellStyle name="Обычный 6 4" xfId="39"/>
    <cellStyle name="Обычный 7" xfId="40"/>
    <cellStyle name="Обычный 7 2" xfId="41"/>
    <cellStyle name="Обычный 7 2 2" xfId="42"/>
    <cellStyle name="Обычный 7 3" xfId="43"/>
    <cellStyle name="Обычный 7 3 2" xfId="44"/>
    <cellStyle name="Обычный 7 4" xfId="45"/>
    <cellStyle name="Обычный 8" xfId="46"/>
    <cellStyle name="Обычный 8 2" xfId="47"/>
    <cellStyle name="Обычный 8 2 2" xfId="48"/>
    <cellStyle name="Обычный 8 3" xfId="49"/>
    <cellStyle name="Обычный 8 3 2" xfId="50"/>
    <cellStyle name="Обычный 8 4" xfId="51"/>
    <cellStyle name="Обычный 9" xfId="52"/>
    <cellStyle name="Обычный 9 2" xfId="53"/>
    <cellStyle name="Обычный 9 2 2" xfId="54"/>
    <cellStyle name="Обычный 9 3" xfId="55"/>
    <cellStyle name="Обычный 9 3 2" xfId="56"/>
    <cellStyle name="Обычный 9 4" xfId="57"/>
    <cellStyle name="Обычный_20" xfId="58"/>
    <cellStyle name="Обычный_Лист1" xfId="59"/>
    <cellStyle name="Обычный_Лист1 11" xfId="60"/>
    <cellStyle name="Обычный_Лист1 2" xfId="61"/>
    <cellStyle name="Обычный_Лист2" xfId="62"/>
    <cellStyle name="Обычный_Продукты фарм_21.1_Препараты фарм_21.2" xfId="63"/>
    <cellStyle name="Стиль 1" xfId="64"/>
    <cellStyle name="Финансовый" xfId="65" builtinId="3"/>
    <cellStyle name="Финансовый 2" xfId="66"/>
    <cellStyle name="Финансовый 2 2" xfId="67"/>
    <cellStyle name="Финансовый 3" xfId="68"/>
    <cellStyle name="Финансовый 3 2" xfId="69"/>
    <cellStyle name="Финансовый 3 2 2" xfId="70"/>
    <cellStyle name="Финансовый 3 3" xfId="71"/>
    <cellStyle name="Финансовый 4" xfId="72"/>
    <cellStyle name="Финансовый 4 2" xfId="73"/>
    <cellStyle name="Финансовый 5" xfId="74"/>
    <cellStyle name="Финансовый 6" xfId="7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enstru.skc.kz/ru/ntru/detail/?kpved=25.93.14.00.00.10.16.14.1" TargetMode="External"/><Relationship Id="rId671" Type="http://schemas.openxmlformats.org/officeDocument/2006/relationships/hyperlink" Target="http://enstru.skc.kz/ru/ntru/detail/?kpved=28.93.13.00.00.00.07.02.1" TargetMode="External"/><Relationship Id="rId769" Type="http://schemas.openxmlformats.org/officeDocument/2006/relationships/hyperlink" Target="http://enstru.skc.kz/ru/ntru/detail/?kpved=22.21.29.00.00.23.13.12.1" TargetMode="External"/><Relationship Id="rId21" Type="http://schemas.openxmlformats.org/officeDocument/2006/relationships/hyperlink" Target="http://enstru.skc.kz/ru/ntru/detail/?kpved=22.19.34.00.00.26.11.05.1" TargetMode="External"/><Relationship Id="rId324" Type="http://schemas.openxmlformats.org/officeDocument/2006/relationships/hyperlink" Target="http://enstru.skc.kz/ru/ntru/detail/?kpved=27.12.24.19.11.11.11.10.1" TargetMode="External"/><Relationship Id="rId531" Type="http://schemas.openxmlformats.org/officeDocument/2006/relationships/hyperlink" Target="http://enstru.skc.kz/ru/ntru/detail/?kpved=20.30.11.00.00.00.10.50.1" TargetMode="External"/><Relationship Id="rId629" Type="http://schemas.openxmlformats.org/officeDocument/2006/relationships/hyperlink" Target="http://enstru.skc.kz/ru/ntru/detail/?kpved=22.29.21.20.00.00.10.10.1" TargetMode="External"/><Relationship Id="rId170" Type="http://schemas.openxmlformats.org/officeDocument/2006/relationships/hyperlink" Target="http://enstru.skc.kz/ru/ntru/detail/?kpved=22.22.13.45.01.01.10.00.1" TargetMode="External"/><Relationship Id="rId268" Type="http://schemas.openxmlformats.org/officeDocument/2006/relationships/hyperlink" Target="http://enstru.skc.kz/ru/ntru/detail/?kpved=25.94.12.00.00.12.10.10.2" TargetMode="External"/><Relationship Id="rId475" Type="http://schemas.openxmlformats.org/officeDocument/2006/relationships/hyperlink" Target="http://enstru.skc.kz/ru/ntru/detail/?kpved=25.73.30.00.00.32.47.10.1" TargetMode="External"/><Relationship Id="rId682" Type="http://schemas.openxmlformats.org/officeDocument/2006/relationships/hyperlink" Target="http://enstru.skc.kz/ru/ntru/detail/?kpved=20.30.21.00.21.04.17.05.2" TargetMode="External"/><Relationship Id="rId32" Type="http://schemas.openxmlformats.org/officeDocument/2006/relationships/hyperlink" Target="http://enstru.skc.kz/ru/ntru/detail/?kpved=22.19.72.00.00.10.10.20.1" TargetMode="External"/><Relationship Id="rId128" Type="http://schemas.openxmlformats.org/officeDocument/2006/relationships/hyperlink" Target="http://enstru.skc.kz/ru/ntru/detail/?kpved=22.22.13.45.01.01.10.00.1" TargetMode="External"/><Relationship Id="rId335" Type="http://schemas.openxmlformats.org/officeDocument/2006/relationships/hyperlink" Target="http://enstru.skc.kz/ru/ntru/detail/?kpved=22.21.21.00.00.40.21.12.2" TargetMode="External"/><Relationship Id="rId542" Type="http://schemas.openxmlformats.org/officeDocument/2006/relationships/hyperlink" Target="http://enstru.skc.kz/ru/ntru/detail/?kpved=20.52.10.00.00.00.06.10.3" TargetMode="External"/><Relationship Id="rId181" Type="http://schemas.openxmlformats.org/officeDocument/2006/relationships/hyperlink" Target="http://enstru.skc.kz/ru/ntru/detail/?kpved=25.72.14.00.00.62.15.10.1" TargetMode="External"/><Relationship Id="rId402" Type="http://schemas.openxmlformats.org/officeDocument/2006/relationships/hyperlink" Target="http://enstru.skc.kz/ru/ntru/detail/?kpved=25.93.14.00.00.10.13.12.1" TargetMode="External"/><Relationship Id="rId279" Type="http://schemas.openxmlformats.org/officeDocument/2006/relationships/hyperlink" Target="http://enstru.skc.kz/ru/ntru/detail/?kpved=23.91.11.00.00.00.40.05.4" TargetMode="External"/><Relationship Id="rId444" Type="http://schemas.openxmlformats.org/officeDocument/2006/relationships/hyperlink" Target="http://enstru.skc.kz/ru/ntru/detail/?kpved=25.72.13.00.00.31.10.10.1" TargetMode="External"/><Relationship Id="rId486" Type="http://schemas.openxmlformats.org/officeDocument/2006/relationships/hyperlink" Target="http://enstru.skc.kz/ru/ntru/detail/?kpved=25.73.30.00.00.22.12.12.1" TargetMode="External"/><Relationship Id="rId651" Type="http://schemas.openxmlformats.org/officeDocument/2006/relationships/hyperlink" Target="http://enstru.skc.kz/ru/ntru/detail/?kpved=28.14.13.13.00.00.00.04.1" TargetMode="External"/><Relationship Id="rId693" Type="http://schemas.openxmlformats.org/officeDocument/2006/relationships/hyperlink" Target="http://enstru.skc.kz/ru/ntru/detail/?kpved=25.93.14.00.00.10.17.30.1" TargetMode="External"/><Relationship Id="rId707" Type="http://schemas.openxmlformats.org/officeDocument/2006/relationships/hyperlink" Target="http://enstru.skc.kz/ru/ntru/detail/?kpved=22.23.15.00.00.20.10.10.1" TargetMode="External"/><Relationship Id="rId749" Type="http://schemas.openxmlformats.org/officeDocument/2006/relationships/hyperlink" Target="http://enstru.skc.kz/ru/ntru/detail/?kpved=20.30.21.00.21.06.11.10.2" TargetMode="External"/><Relationship Id="rId43" Type="http://schemas.openxmlformats.org/officeDocument/2006/relationships/hyperlink" Target="http://enstru.skc.kz/ru/ntru/detail/?kpved=25.73.30.00.00.18.10.18.1" TargetMode="External"/><Relationship Id="rId139" Type="http://schemas.openxmlformats.org/officeDocument/2006/relationships/hyperlink" Target="http://enstru.skc.kz/ru/ntru/detail/?kpved=25.73.30.00.00.30.10.17.1" TargetMode="External"/><Relationship Id="rId290" Type="http://schemas.openxmlformats.org/officeDocument/2006/relationships/hyperlink" Target="http://enstru.skc.kz/ru/ntru/detail/?kpved=25.94.11.00.00.13.10.10.1" TargetMode="External"/><Relationship Id="rId304" Type="http://schemas.openxmlformats.org/officeDocument/2006/relationships/hyperlink" Target="http://enstru.skc.kz/ru/ntru/detail/?kpved=22.19.24.00.00.00.11.14.1" TargetMode="External"/><Relationship Id="rId346" Type="http://schemas.openxmlformats.org/officeDocument/2006/relationships/hyperlink" Target="http://enstru.skc.kz/ru/ntru/detail/?kpved=22.21.21.00.00.40.21.11.2" TargetMode="External"/><Relationship Id="rId388" Type="http://schemas.openxmlformats.org/officeDocument/2006/relationships/hyperlink" Target="http://enstru.skc.kz/ru/ntru/detail/?kpved=27.40.21.00.00.11.10.40.1" TargetMode="External"/><Relationship Id="rId511" Type="http://schemas.openxmlformats.org/officeDocument/2006/relationships/hyperlink" Target="http://enstru.skc.kz/ru/ntru/detail/?kpved=25.94.11.00.00.10.37.01.1" TargetMode="External"/><Relationship Id="rId553" Type="http://schemas.openxmlformats.org/officeDocument/2006/relationships/hyperlink" Target="http://enstru.skc.kz/ru/ntru/detail/?kpved=23.31.10.01.03.02.01.15.1" TargetMode="External"/><Relationship Id="rId609" Type="http://schemas.openxmlformats.org/officeDocument/2006/relationships/hyperlink" Target="http://enstru.skc.kz/ru/ntru/detail/?kpved=28.29.60.00.00.10.12.10.1" TargetMode="External"/><Relationship Id="rId760" Type="http://schemas.openxmlformats.org/officeDocument/2006/relationships/hyperlink" Target="http://enstru.skc.kz/ru/ntru/detail/?kpved=25.94.13.00.00.10.41.10.3" TargetMode="External"/><Relationship Id="rId85" Type="http://schemas.openxmlformats.org/officeDocument/2006/relationships/hyperlink" Target="http://enstru.skc.kz/ru/ntru/detail/?kpved=28.93.13.00.00.00.07.02.1" TargetMode="External"/><Relationship Id="rId150" Type="http://schemas.openxmlformats.org/officeDocument/2006/relationships/hyperlink" Target="http://enstru.skc.kz/ru/ntru/detail/?kpved=20.30.11.00.00.00.10.50.1" TargetMode="External"/><Relationship Id="rId192" Type="http://schemas.openxmlformats.org/officeDocument/2006/relationships/hyperlink" Target="http://enstru.skc.kz/ru/ntru/detail/?kpved=22.21.29.00.00.23.33.10.1" TargetMode="External"/><Relationship Id="rId206" Type="http://schemas.openxmlformats.org/officeDocument/2006/relationships/hyperlink" Target="http://enstru.skc.kz/ru/ntru/detail/?kpved=25.99.29.00.10.02.00.10.1" TargetMode="External"/><Relationship Id="rId413" Type="http://schemas.openxmlformats.org/officeDocument/2006/relationships/hyperlink" Target="http://enstru.skc.kz/ru/ntru/detail/?kpved=25.94.12.00.00.11.10.10.3" TargetMode="External"/><Relationship Id="rId595" Type="http://schemas.openxmlformats.org/officeDocument/2006/relationships/hyperlink" Target="http://enstru.skc.kz/ru/ntru/detail/?kpved=20.59.59.00.17.13.10.10.1" TargetMode="External"/><Relationship Id="rId248" Type="http://schemas.openxmlformats.org/officeDocument/2006/relationships/hyperlink" Target="http://enstru.skc.kz/ru/ntru/detail/?kpved=32.91.19.00.00.00.20.05.1" TargetMode="External"/><Relationship Id="rId455" Type="http://schemas.openxmlformats.org/officeDocument/2006/relationships/hyperlink" Target="http://enstru.skc.kz/ru/ntru/detail/?kpved=25.99.29.00.02.13.17.10.1" TargetMode="External"/><Relationship Id="rId497" Type="http://schemas.openxmlformats.org/officeDocument/2006/relationships/hyperlink" Target="http://enstru.skc.kz/ru/ntru/detail/?kpved=25.73.30.00.00.14.13.11.1" TargetMode="External"/><Relationship Id="rId620" Type="http://schemas.openxmlformats.org/officeDocument/2006/relationships/hyperlink" Target="http://enstru.skc.kz/ru/ntru/detail/?kpved=22.21.21.00.00.40.21.14.2" TargetMode="External"/><Relationship Id="rId662" Type="http://schemas.openxmlformats.org/officeDocument/2006/relationships/hyperlink" Target="http://enstru.skc.kz/ru/ntru/detail/?kpved=25.94.11.00.00.30.10.30.1" TargetMode="External"/><Relationship Id="rId718" Type="http://schemas.openxmlformats.org/officeDocument/2006/relationships/hyperlink" Target="http://enstru.skc.kz/ru/ntru/detail/?kpved=25.94.12.00.00.12.12.10.2" TargetMode="External"/><Relationship Id="rId12" Type="http://schemas.openxmlformats.org/officeDocument/2006/relationships/hyperlink" Target="http://enstru.skc.kz/ru/ntru/detail/?kpved=26.30.60.00.00.00.22.50.1" TargetMode="External"/><Relationship Id="rId108" Type="http://schemas.openxmlformats.org/officeDocument/2006/relationships/hyperlink" Target="http://enstru.skc.kz/ru/ntru/detail/?kpved=25.94.12.00.00.12.10.50.1" TargetMode="External"/><Relationship Id="rId315" Type="http://schemas.openxmlformats.org/officeDocument/2006/relationships/hyperlink" Target="http://enstru.skc.kz/ru/ntru/detail/?kpved=22.21.29.00.00.50.10.11.1" TargetMode="External"/><Relationship Id="rId357" Type="http://schemas.openxmlformats.org/officeDocument/2006/relationships/hyperlink" Target="http://enstru.skc.kz/ru/ntru/detail/?kpved=32.99.87.00.00.00.00.32.1" TargetMode="External"/><Relationship Id="rId522" Type="http://schemas.openxmlformats.org/officeDocument/2006/relationships/hyperlink" Target="http://enstru.skc.kz/ru/ntru/detail/?kpved=25.93.14.00.00.14.15.10.2" TargetMode="External"/><Relationship Id="rId54" Type="http://schemas.openxmlformats.org/officeDocument/2006/relationships/hyperlink" Target="http://enstru.skc.kz/ru/ntru/detail/?kpved=22.19.24.00.00.00.11.14.1" TargetMode="External"/><Relationship Id="rId96" Type="http://schemas.openxmlformats.org/officeDocument/2006/relationships/hyperlink" Target="http://enstru.skc.kz/ru/ntru/detail/?kpved=25.94.11.00.00.10.37.01.1" TargetMode="External"/><Relationship Id="rId161" Type="http://schemas.openxmlformats.org/officeDocument/2006/relationships/hyperlink" Target="http://enstru.skc.kz/ru/ntru/detail/?kpved=25.12.10.00.00.16.30.10.1" TargetMode="External"/><Relationship Id="rId217" Type="http://schemas.openxmlformats.org/officeDocument/2006/relationships/hyperlink" Target="http://enstru.skc.kz/ru/ntru/detail/?kpved=22.21.29.00.00.17.10.10.1" TargetMode="External"/><Relationship Id="rId399" Type="http://schemas.openxmlformats.org/officeDocument/2006/relationships/hyperlink" Target="http://enstru.skc.kz/ru/ntru/detail/?kpved=20.52.10.00.00.00.06.10.3" TargetMode="External"/><Relationship Id="rId564" Type="http://schemas.openxmlformats.org/officeDocument/2006/relationships/hyperlink" Target="http://enstru.skc.kz/ru/ntru/detail/?kpved=22.21.29.00.00.26.10.10.1" TargetMode="External"/><Relationship Id="rId771" Type="http://schemas.openxmlformats.org/officeDocument/2006/relationships/hyperlink" Target="http://enstru.skc.kz/ru/ntru/detail/?kpved=27.51.27.00.01.00.00.20.1" TargetMode="External"/><Relationship Id="rId259" Type="http://schemas.openxmlformats.org/officeDocument/2006/relationships/hyperlink" Target="http://enstru.skc.kz/ru/ntru/detail/?kpved=25.73.20.00.00.10.20.10.1" TargetMode="External"/><Relationship Id="rId424" Type="http://schemas.openxmlformats.org/officeDocument/2006/relationships/hyperlink" Target="http://enstru.skc.kz/ru/ntru/detail/?kpved=22.21.21.00.00.12.40.15.1" TargetMode="External"/><Relationship Id="rId466" Type="http://schemas.openxmlformats.org/officeDocument/2006/relationships/hyperlink" Target="http://enstru.skc.kz/ru/ntru/detail/?kpved=25.94.13.00.00.10.41.10.3" TargetMode="External"/><Relationship Id="rId631" Type="http://schemas.openxmlformats.org/officeDocument/2006/relationships/hyperlink" Target="http://enstru.skc.kz/ru/ntru/detail/?kpved=20.11.11.00.00.80.00.10.2" TargetMode="External"/><Relationship Id="rId673" Type="http://schemas.openxmlformats.org/officeDocument/2006/relationships/hyperlink" Target="http://enstru.skc.kz/ru/ntru/detail/?kpved=25.73.30.00.00.22.15.11.1" TargetMode="External"/><Relationship Id="rId729" Type="http://schemas.openxmlformats.org/officeDocument/2006/relationships/hyperlink" Target="http://enstru.skc.kz/ru/ntru/detail/?kpved=22.23.14.00.00.76.10.30.1" TargetMode="External"/><Relationship Id="rId23" Type="http://schemas.openxmlformats.org/officeDocument/2006/relationships/hyperlink" Target="http://enstru.skc.kz/ru/ntru/detail/?kpved=25.94.11.00.00.30.10.30.1" TargetMode="External"/><Relationship Id="rId119" Type="http://schemas.openxmlformats.org/officeDocument/2006/relationships/hyperlink" Target="http://enstru.skc.kz/ru/ntru/detail/?kpved=08.12.11.00.00.00.10.10.1" TargetMode="External"/><Relationship Id="rId270" Type="http://schemas.openxmlformats.org/officeDocument/2006/relationships/hyperlink" Target="http://enstru.skc.kz/ru/ntru/detail/?kpved=25.93.14.00.00.14.15.10.2" TargetMode="External"/><Relationship Id="rId326" Type="http://schemas.openxmlformats.org/officeDocument/2006/relationships/hyperlink" Target="http://enstru.skc.kz/ru/ntru/detail/?kpved=20.59.59.00.17.13.10.10.1" TargetMode="External"/><Relationship Id="rId533" Type="http://schemas.openxmlformats.org/officeDocument/2006/relationships/hyperlink" Target="http://enstru.skc.kz/ru/ntru/detail/?kpved=08.12.11.00.00.00.10.10.1" TargetMode="External"/><Relationship Id="rId65" Type="http://schemas.openxmlformats.org/officeDocument/2006/relationships/hyperlink" Target="http://enstru.skc.kz/ru/ntru/detail/?kpved=20.14.19.00.00.20.55.10.1" TargetMode="External"/><Relationship Id="rId130" Type="http://schemas.openxmlformats.org/officeDocument/2006/relationships/hyperlink" Target="http://enstru.skc.kz/ru/ntru/detail/?kpved=22.29.23.00.00.00.20.10.1" TargetMode="External"/><Relationship Id="rId368" Type="http://schemas.openxmlformats.org/officeDocument/2006/relationships/hyperlink" Target="http://enstru.skc.kz/ru/ntru/detail/?kpved=22.21.29.00.00.23.33.15.1" TargetMode="External"/><Relationship Id="rId575" Type="http://schemas.openxmlformats.org/officeDocument/2006/relationships/hyperlink" Target="http://enstru.skc.kz/ru/ntru/detail/?kpved=28.14.20.12.00.00.00.01.1" TargetMode="External"/><Relationship Id="rId740" Type="http://schemas.openxmlformats.org/officeDocument/2006/relationships/hyperlink" Target="http://enstru.skc.kz/ru/ntru/detail/?kpved=25.99.29.00.02.13.17.10.1" TargetMode="External"/><Relationship Id="rId782" Type="http://schemas.openxmlformats.org/officeDocument/2006/relationships/hyperlink" Target="http://enstru.skc.kz/ru/ntru/detail/?kpved=25.94.11.00.00.10.37.01.1" TargetMode="External"/><Relationship Id="rId172" Type="http://schemas.openxmlformats.org/officeDocument/2006/relationships/hyperlink" Target="http://enstru.skc.kz/ru/ntru/detail/?kpved=25.93.13.00.00.10.21.12.1" TargetMode="External"/><Relationship Id="rId228" Type="http://schemas.openxmlformats.org/officeDocument/2006/relationships/hyperlink" Target="http://enstru.skc.kz/ru/ntru/detail/?kpved=22.21.21.00.00.12.40.15.1" TargetMode="External"/><Relationship Id="rId435" Type="http://schemas.openxmlformats.org/officeDocument/2006/relationships/hyperlink" Target="http://enstru.skc.kz/ru/ntru/detail/?kpved=25.12.10.00.00.16.30.10.1" TargetMode="External"/><Relationship Id="rId477" Type="http://schemas.openxmlformats.org/officeDocument/2006/relationships/hyperlink" Target="http://enstru.skc.kz/ru/ntru/detail/?kpved=25.73.30.00.00.16.29.10.1" TargetMode="External"/><Relationship Id="rId600" Type="http://schemas.openxmlformats.org/officeDocument/2006/relationships/hyperlink" Target="http://enstru.skc.kz/ru/ntru/detail/?kpved=32.91.11.00.00.00.15.60.1" TargetMode="External"/><Relationship Id="rId642" Type="http://schemas.openxmlformats.org/officeDocument/2006/relationships/hyperlink" Target="http://enstru.skc.kz/ru/ntru/detail/?kpved=22.19.35.00.00.45.20.08.1" TargetMode="External"/><Relationship Id="rId684" Type="http://schemas.openxmlformats.org/officeDocument/2006/relationships/hyperlink" Target="http://enstru.skc.kz/ru/ntru/detail/?kpved=20.52.10.00.00.00.09.06.1" TargetMode="External"/><Relationship Id="rId281" Type="http://schemas.openxmlformats.org/officeDocument/2006/relationships/hyperlink" Target="http://enstru.skc.kz/ru/ntru/detail/?kpved=24.33.11.00.10.10.10.16.2" TargetMode="External"/><Relationship Id="rId337" Type="http://schemas.openxmlformats.org/officeDocument/2006/relationships/hyperlink" Target="http://enstru.skc.kz/ru/ntru/detail/?kpved=22.21.21.00.00.40.21.13.2" TargetMode="External"/><Relationship Id="rId502" Type="http://schemas.openxmlformats.org/officeDocument/2006/relationships/hyperlink" Target="http://enstru.skc.kz/ru/ntru/detail/?kpved=25.73.30.00.00.30.12.01.1" TargetMode="External"/><Relationship Id="rId34" Type="http://schemas.openxmlformats.org/officeDocument/2006/relationships/hyperlink" Target="http://enstru.skc.kz/ru/ntru/detail/?kpved=22.29.23.00.00.00.32.20.1" TargetMode="External"/><Relationship Id="rId76" Type="http://schemas.openxmlformats.org/officeDocument/2006/relationships/hyperlink" Target="http://enstru.skc.kz/ru/ntru/detail/?kpved=25.73.30.00.00.30.12.01.1" TargetMode="External"/><Relationship Id="rId141" Type="http://schemas.openxmlformats.org/officeDocument/2006/relationships/hyperlink" Target="http://enstru.skc.kz/ru/ntru/detail/?kpved=25.73.30.00.00.14.17.60.1" TargetMode="External"/><Relationship Id="rId379" Type="http://schemas.openxmlformats.org/officeDocument/2006/relationships/hyperlink" Target="http://enstru.skc.kz/ru/ntru/detail/?kpved=22.23.12.00.00.14.12.10.1" TargetMode="External"/><Relationship Id="rId544" Type="http://schemas.openxmlformats.org/officeDocument/2006/relationships/hyperlink" Target="http://enstru.skc.kz/ru/ntru/detail/?kpved=32.99.80.00.00.00.00.05.1" TargetMode="External"/><Relationship Id="rId586" Type="http://schemas.openxmlformats.org/officeDocument/2006/relationships/hyperlink" Target="http://enstru.skc.kz/ru/ntru/detail/?kpved=24.10.43.00.00.10.20.10.4" TargetMode="External"/><Relationship Id="rId751" Type="http://schemas.openxmlformats.org/officeDocument/2006/relationships/hyperlink" Target="http://enstru.skc.kz/ru/ntru/detail/?kpved=23.91.11.00.00.10.02.01.1" TargetMode="External"/><Relationship Id="rId793" Type="http://schemas.openxmlformats.org/officeDocument/2006/relationships/hyperlink" Target="http://enstru.skc.kz/ru/ntru/detail/?kpved=25.73.30.00.00.21.13.12.1" TargetMode="External"/><Relationship Id="rId7" Type="http://schemas.openxmlformats.org/officeDocument/2006/relationships/hyperlink" Target="http://enstru.skc.kz/ru/ntru/detail/?kpved=17.22.11.10.00.00.00.20.4" TargetMode="External"/><Relationship Id="rId183" Type="http://schemas.openxmlformats.org/officeDocument/2006/relationships/hyperlink" Target="http://enstru.skc.kz/ru/ntru/detail/?kpved=25.12.10.00.00.23.10.10.1" TargetMode="External"/><Relationship Id="rId239" Type="http://schemas.openxmlformats.org/officeDocument/2006/relationships/hyperlink" Target="http://enstru.skc.kz/ru/ntru/detail/?kpved=32.99.11.00.00.05.15.10.1" TargetMode="External"/><Relationship Id="rId390" Type="http://schemas.openxmlformats.org/officeDocument/2006/relationships/hyperlink" Target="http://enstru.skc.kz/ru/ntru/detail/?kpved=20.59.59.00.16.00.00.12.2" TargetMode="External"/><Relationship Id="rId404" Type="http://schemas.openxmlformats.org/officeDocument/2006/relationships/hyperlink" Target="http://enstru.skc.kz/ru/ntru/detail/?kpved=25.93.14.00.00.10.14.15.1" TargetMode="External"/><Relationship Id="rId446" Type="http://schemas.openxmlformats.org/officeDocument/2006/relationships/hyperlink" Target="http://enstru.skc.kz/ru/ntru/detail/?kpved=25.72.11.00.00.12.14.10.1" TargetMode="External"/><Relationship Id="rId611" Type="http://schemas.openxmlformats.org/officeDocument/2006/relationships/hyperlink" Target="http://enstru.skc.kz/ru/ntru/detail/?kpved=23.99.11.06.01.00.00.01.1" TargetMode="External"/><Relationship Id="rId653" Type="http://schemas.openxmlformats.org/officeDocument/2006/relationships/hyperlink" Target="http://enstru.skc.kz/ru/ntru/detail/?kpved=28.14.13.21.10.12.00.05.1" TargetMode="External"/><Relationship Id="rId250" Type="http://schemas.openxmlformats.org/officeDocument/2006/relationships/hyperlink" Target="http://enstru.skc.kz/ru/ntru/detail/?kpved=25.99.29.00.02.13.17.10.1" TargetMode="External"/><Relationship Id="rId292" Type="http://schemas.openxmlformats.org/officeDocument/2006/relationships/hyperlink" Target="http://enstru.skc.kz/ru/ntru/detail/?kpved=24.10.71.00.00.14.10.11.1" TargetMode="External"/><Relationship Id="rId306" Type="http://schemas.openxmlformats.org/officeDocument/2006/relationships/hyperlink" Target="http://enstru.skc.kz/ru/ntru/detail/?kpved=17.12.77.20.10.10.10.10.1" TargetMode="External"/><Relationship Id="rId488" Type="http://schemas.openxmlformats.org/officeDocument/2006/relationships/hyperlink" Target="http://enstru.skc.kz/ru/ntru/detail/?kpved=25.73.20.00.00.11.10.11.1" TargetMode="External"/><Relationship Id="rId695" Type="http://schemas.openxmlformats.org/officeDocument/2006/relationships/hyperlink" Target="http://enstru.skc.kz/ru/ntru/detail/?kpved=25.93.14.00.00.10.17.32.1" TargetMode="External"/><Relationship Id="rId709" Type="http://schemas.openxmlformats.org/officeDocument/2006/relationships/hyperlink" Target="http://enstru.skc.kz/ru/ntru/detail/?kpved=20.59.59.00.12.00.00.29.1" TargetMode="External"/><Relationship Id="rId45" Type="http://schemas.openxmlformats.org/officeDocument/2006/relationships/hyperlink" Target="http://enstru.skc.kz/ru/ntru/detail/?kpved=23.91.11.00.00.10.02.01.1" TargetMode="External"/><Relationship Id="rId87" Type="http://schemas.openxmlformats.org/officeDocument/2006/relationships/hyperlink" Target="http://enstru.skc.kz/ru/ntru/detail/?kpved=25.73.30.00.00.16.29.10.1" TargetMode="External"/><Relationship Id="rId110" Type="http://schemas.openxmlformats.org/officeDocument/2006/relationships/hyperlink" Target="http://enstru.skc.kz/ru/ntru/detail/?kpved=25.72.13.00.00.31.10.10.1" TargetMode="External"/><Relationship Id="rId348" Type="http://schemas.openxmlformats.org/officeDocument/2006/relationships/hyperlink" Target="http://enstru.skc.kz/ru/ntru/detail/?kpved=22.21.29.00.00.17.10.11.1" TargetMode="External"/><Relationship Id="rId513" Type="http://schemas.openxmlformats.org/officeDocument/2006/relationships/hyperlink" Target="http://enstru.skc.kz/ru/ntru/detail/?kpved=25.94.12.00.00.11.10.10.3" TargetMode="External"/><Relationship Id="rId555" Type="http://schemas.openxmlformats.org/officeDocument/2006/relationships/hyperlink" Target="http://enstru.skc.kz/ru/ntru/detail/?kpved=23.31.10.01.02.01.21.50.1" TargetMode="External"/><Relationship Id="rId597" Type="http://schemas.openxmlformats.org/officeDocument/2006/relationships/hyperlink" Target="http://enstru.skc.kz/ru/ntru/detail/?kpved=25.93.12.00.00.11.16.10.1" TargetMode="External"/><Relationship Id="rId720" Type="http://schemas.openxmlformats.org/officeDocument/2006/relationships/hyperlink" Target="http://enstru.skc.kz/ru/ntru/detail/?kpved=28.94.21.00.00.00.05.06.1" TargetMode="External"/><Relationship Id="rId762" Type="http://schemas.openxmlformats.org/officeDocument/2006/relationships/hyperlink" Target="http://enstru.skc.kz/ru/ntru/detail/?kpved=32.91.12.00.00.00.14.18.1" TargetMode="External"/><Relationship Id="rId152" Type="http://schemas.openxmlformats.org/officeDocument/2006/relationships/hyperlink" Target="http://enstru.skc.kz/ru/ntru/detail/?kpved=17.24.11.30.00.00.00.20.1" TargetMode="External"/><Relationship Id="rId194" Type="http://schemas.openxmlformats.org/officeDocument/2006/relationships/hyperlink" Target="http://enstru.skc.kz/ru/ntru/detail/?kpved=28.29.60.00.00.10.12.10.1" TargetMode="External"/><Relationship Id="rId208" Type="http://schemas.openxmlformats.org/officeDocument/2006/relationships/hyperlink" Target="http://enstru.skc.kz/ru/ntru/detail/?kpved=25.73.20.00.00.11.10.11.1" TargetMode="External"/><Relationship Id="rId415" Type="http://schemas.openxmlformats.org/officeDocument/2006/relationships/hyperlink" Target="http://enstru.skc.kz/ru/ntru/detail/?kpved=22.21.29.00.00.60.10.10.1" TargetMode="External"/><Relationship Id="rId457" Type="http://schemas.openxmlformats.org/officeDocument/2006/relationships/hyperlink" Target="http://enstru.skc.kz/ru/ntru/detail/?kpved=22.29.23.00.00.00.10.19.1" TargetMode="External"/><Relationship Id="rId622" Type="http://schemas.openxmlformats.org/officeDocument/2006/relationships/hyperlink" Target="http://enstru.skc.kz/ru/ntru/detail/?kpved=22.21.21.00.00.40.23.20.2" TargetMode="External"/><Relationship Id="rId261" Type="http://schemas.openxmlformats.org/officeDocument/2006/relationships/hyperlink" Target="http://enstru.skc.kz/ru/ntru/detail/?kpved=25.73.20.00.00.10.22.10.1" TargetMode="External"/><Relationship Id="rId499" Type="http://schemas.openxmlformats.org/officeDocument/2006/relationships/hyperlink" Target="http://enstru.skc.kz/ru/ntru/detail/?kpved=25.73.30.00.00.30.10.17.1" TargetMode="External"/><Relationship Id="rId664" Type="http://schemas.openxmlformats.org/officeDocument/2006/relationships/hyperlink" Target="http://enstru.skc.kz/ru/ntru/detail/?kpved=25.94.11.00.00.30.10.10.1" TargetMode="External"/><Relationship Id="rId14" Type="http://schemas.openxmlformats.org/officeDocument/2006/relationships/hyperlink" Target="http://enstru.skc.kz/ru/ntru/detail/?kpved=30.20.31.00.00.00.30.04.1" TargetMode="External"/><Relationship Id="rId56" Type="http://schemas.openxmlformats.org/officeDocument/2006/relationships/hyperlink" Target="http://enstru.skc.kz/ru/ntru/detail/?kpved=13.10.29.00.00.00.00.20.1" TargetMode="External"/><Relationship Id="rId317" Type="http://schemas.openxmlformats.org/officeDocument/2006/relationships/hyperlink" Target="http://enstru.skc.kz/ru/ntru/detail/?kpved=19.20.29.00.00.20.24.10.1" TargetMode="External"/><Relationship Id="rId359" Type="http://schemas.openxmlformats.org/officeDocument/2006/relationships/hyperlink" Target="http://enstru.skc.kz/ru/ntru/detail/?kpved=19.20.31.00.00.00.00.10.1" TargetMode="External"/><Relationship Id="rId524" Type="http://schemas.openxmlformats.org/officeDocument/2006/relationships/hyperlink" Target="http://enstru.skc.kz/ru/ntru/detail/?kpved=17.24.11.30.00.00.00.20.1" TargetMode="External"/><Relationship Id="rId566" Type="http://schemas.openxmlformats.org/officeDocument/2006/relationships/hyperlink" Target="http://enstru.skc.kz/ru/ntru/detail/?kpved=22.21.29.00.00.27.05.10.1" TargetMode="External"/><Relationship Id="rId731" Type="http://schemas.openxmlformats.org/officeDocument/2006/relationships/hyperlink" Target="http://enstru.skc.kz/ru/ntru/detail/?kpved=23.49.11.00.00.00.00.32.1" TargetMode="External"/><Relationship Id="rId773" Type="http://schemas.openxmlformats.org/officeDocument/2006/relationships/hyperlink" Target="http://enstru.skc.kz/ru/ntru/detail/?kpved=22.21.29.00.00.23.33.15.1" TargetMode="External"/><Relationship Id="rId98" Type="http://schemas.openxmlformats.org/officeDocument/2006/relationships/hyperlink" Target="http://enstru.skc.kz/ru/ntru/detail/?kpved=25.94.12.00.00.11.10.12.3" TargetMode="External"/><Relationship Id="rId121" Type="http://schemas.openxmlformats.org/officeDocument/2006/relationships/hyperlink" Target="http://enstru.skc.kz/ru/ntru/detail/?kpved=22.21.29.00.00.35.12.28.1" TargetMode="External"/><Relationship Id="rId163" Type="http://schemas.openxmlformats.org/officeDocument/2006/relationships/hyperlink" Target="http://enstru.skc.kz/ru/ntru/detail/?kpved=28.93.13.00.00.00.11.02.1" TargetMode="External"/><Relationship Id="rId219" Type="http://schemas.openxmlformats.org/officeDocument/2006/relationships/hyperlink" Target="http://enstru.skc.kz/ru/ntru/detail/?kpved=22.21.29.00.00.26.10.10.1" TargetMode="External"/><Relationship Id="rId370" Type="http://schemas.openxmlformats.org/officeDocument/2006/relationships/hyperlink" Target="http://enstru.skc.kz/ru/ntru/detail/?kpved=22.21.29.00.00.23.33.19.1" TargetMode="External"/><Relationship Id="rId426" Type="http://schemas.openxmlformats.org/officeDocument/2006/relationships/hyperlink" Target="http://enstru.skc.kz/ru/ntru/detail/?kpved=22.21.21.00.00.12.60.10.1" TargetMode="External"/><Relationship Id="rId633" Type="http://schemas.openxmlformats.org/officeDocument/2006/relationships/hyperlink" Target="http://enstru.skc.kz/ru/ntru/detail/?kpved=24.44.26.00.00.11.20.11.1" TargetMode="External"/><Relationship Id="rId230" Type="http://schemas.openxmlformats.org/officeDocument/2006/relationships/hyperlink" Target="http://enstru.skc.kz/ru/ntru/detail/?kpved=22.29.23.00.00.00.32.30.1" TargetMode="External"/><Relationship Id="rId468" Type="http://schemas.openxmlformats.org/officeDocument/2006/relationships/hyperlink" Target="http://enstru.skc.kz/ru/ntru/detail/?kpved=25.73.30.00.00.14.11.10.1" TargetMode="External"/><Relationship Id="rId675" Type="http://schemas.openxmlformats.org/officeDocument/2006/relationships/hyperlink" Target="http://enstru.skc.kz/ru/ntru/detail/?kpved=20.59.59.00.16.00.00.12.2" TargetMode="External"/><Relationship Id="rId25" Type="http://schemas.openxmlformats.org/officeDocument/2006/relationships/hyperlink" Target="http://enstru.skc.kz/ru/ntru/detail/?kpved=25.94.11.00.00.30.10.10.1" TargetMode="External"/><Relationship Id="rId67" Type="http://schemas.openxmlformats.org/officeDocument/2006/relationships/hyperlink" Target="http://enstru.skc.kz/ru/ntru/detail/?kpved=26.30.60.00.00.00.26.70.1" TargetMode="External"/><Relationship Id="rId272" Type="http://schemas.openxmlformats.org/officeDocument/2006/relationships/hyperlink" Target="http://enstru.skc.kz/ru/ntru/detail/?kpved=20.59.59.00.15.00.00.73.2" TargetMode="External"/><Relationship Id="rId328" Type="http://schemas.openxmlformats.org/officeDocument/2006/relationships/hyperlink" Target="http://enstru.skc.kz/ru/ntru/detail/?kpved=23.99.11.05.01.00.00.09.1" TargetMode="External"/><Relationship Id="rId535" Type="http://schemas.openxmlformats.org/officeDocument/2006/relationships/hyperlink" Target="http://enstru.skc.kz/ru/ntru/detail/?kpved=20.59.59.00.15.00.00.73.2" TargetMode="External"/><Relationship Id="rId577" Type="http://schemas.openxmlformats.org/officeDocument/2006/relationships/hyperlink" Target="http://enstru.skc.kz/ru/ntru/detail/?kpved=20.59.59.00.01.14.10.10.1" TargetMode="External"/><Relationship Id="rId700" Type="http://schemas.openxmlformats.org/officeDocument/2006/relationships/hyperlink" Target="http://enstru.skc.kz/ru/ntru/detail/?kpved=22.21.29.00.00.60.10.10.1" TargetMode="External"/><Relationship Id="rId742" Type="http://schemas.openxmlformats.org/officeDocument/2006/relationships/hyperlink" Target="http://enstru.skc.kz/ru/ntru/detail/?kpved=20.30.11.00.00.00.10.50.1" TargetMode="External"/><Relationship Id="rId132" Type="http://schemas.openxmlformats.org/officeDocument/2006/relationships/hyperlink" Target="http://enstru.skc.kz/ru/ntru/detail/?kpved=28.30.93.00.00.20.60.10.1" TargetMode="External"/><Relationship Id="rId174" Type="http://schemas.openxmlformats.org/officeDocument/2006/relationships/hyperlink" Target="http://enstru.skc.kz/ru/ntru/detail/?kpved=23.31.10.01.01.01.01.10.1" TargetMode="External"/><Relationship Id="rId381" Type="http://schemas.openxmlformats.org/officeDocument/2006/relationships/hyperlink" Target="http://enstru.skc.kz/ru/ntru/detail/?kpved=13.94.20.00.00.00.30.10.1" TargetMode="External"/><Relationship Id="rId602" Type="http://schemas.openxmlformats.org/officeDocument/2006/relationships/hyperlink" Target="http://enstru.skc.kz/ru/ntru/detail/?kpved=22.21.29.00.00.10.20.10.1" TargetMode="External"/><Relationship Id="rId784" Type="http://schemas.openxmlformats.org/officeDocument/2006/relationships/hyperlink" Target="http://enstru.skc.kz/ru/ntru/detail/?kpved=32.91.12.00.00.00.14.18.1" TargetMode="External"/><Relationship Id="rId241" Type="http://schemas.openxmlformats.org/officeDocument/2006/relationships/hyperlink" Target="http://enstru.skc.kz/ru/ntru/detail/?kpved=32.30.15.00.00.00.14.60.1" TargetMode="External"/><Relationship Id="rId437" Type="http://schemas.openxmlformats.org/officeDocument/2006/relationships/hyperlink" Target="http://enstru.skc.kz/ru/ntru/detail/?kpved=25.12.10.00.00.16.30.10.1" TargetMode="External"/><Relationship Id="rId479" Type="http://schemas.openxmlformats.org/officeDocument/2006/relationships/hyperlink" Target="http://enstru.skc.kz/ru/ntru/detail/?kpved=25.73.40.00.00.12.10.01.2" TargetMode="External"/><Relationship Id="rId644" Type="http://schemas.openxmlformats.org/officeDocument/2006/relationships/hyperlink" Target="http://enstru.skc.kz/ru/ntru/detail/?kpved=22.21.21.00.00.12.40.15.1" TargetMode="External"/><Relationship Id="rId686" Type="http://schemas.openxmlformats.org/officeDocument/2006/relationships/hyperlink" Target="http://enstru.skc.kz/ru/ntru/detail/?kpved=22.21.30.00.00.10.05.10.1" TargetMode="External"/><Relationship Id="rId36" Type="http://schemas.openxmlformats.org/officeDocument/2006/relationships/hyperlink" Target="http://enstru.skc.kz/ru/ntru/detail/?kpved=32.91.19.00.00.00.20.05.1" TargetMode="External"/><Relationship Id="rId283" Type="http://schemas.openxmlformats.org/officeDocument/2006/relationships/hyperlink" Target="http://enstru.skc.kz/ru/ntru/detail/?kpved=24.42.24.00.00.14.10.11.2" TargetMode="External"/><Relationship Id="rId339" Type="http://schemas.openxmlformats.org/officeDocument/2006/relationships/hyperlink" Target="http://enstru.skc.kz/ru/ntru/detail/?kpved=22.21.21.00.00.40.23.20.2" TargetMode="External"/><Relationship Id="rId490" Type="http://schemas.openxmlformats.org/officeDocument/2006/relationships/hyperlink" Target="http://enstru.skc.kz/ru/ntru/detail/?kpved=21.20.23.00.00.00.34.40.1" TargetMode="External"/><Relationship Id="rId504" Type="http://schemas.openxmlformats.org/officeDocument/2006/relationships/hyperlink" Target="http://enstru.skc.kz/ru/ntru/detail/?kpved=25.73.30.00.00.22.12.12.1" TargetMode="External"/><Relationship Id="rId546" Type="http://schemas.openxmlformats.org/officeDocument/2006/relationships/hyperlink" Target="http://enstru.skc.kz/ru/ntru/detail/?kpved=32.99.80.00.00.00.00.15.1" TargetMode="External"/><Relationship Id="rId711" Type="http://schemas.openxmlformats.org/officeDocument/2006/relationships/hyperlink" Target="http://enstru.skc.kz/ru/ntru/detail/?kpved=26.30.60.00.00.00.22.50.1" TargetMode="External"/><Relationship Id="rId753" Type="http://schemas.openxmlformats.org/officeDocument/2006/relationships/hyperlink" Target="http://enstru.skc.kz/ru/ntru/detail/?kpved=25.94.12.00.00.11.10.10.3" TargetMode="External"/><Relationship Id="rId78" Type="http://schemas.openxmlformats.org/officeDocument/2006/relationships/hyperlink" Target="http://enstru.skc.kz/ru/ntru/detail/?kpved=25.94.13.00.00.10.41.10.3" TargetMode="External"/><Relationship Id="rId101" Type="http://schemas.openxmlformats.org/officeDocument/2006/relationships/hyperlink" Target="http://enstru.skc.kz/ru/ntru/detail/?kpved=25.73.30.00.00.10.16.13.1" TargetMode="External"/><Relationship Id="rId143" Type="http://schemas.openxmlformats.org/officeDocument/2006/relationships/hyperlink" Target="http://enstru.skc.kz/ru/ntru/detail/?kpved=25.73.30.00.00.14.13.11.1" TargetMode="External"/><Relationship Id="rId185" Type="http://schemas.openxmlformats.org/officeDocument/2006/relationships/hyperlink" Target="http://enstru.skc.kz/ru/ntru/detail/?kpved=22.23.14.00.00.76.10.30.1" TargetMode="External"/><Relationship Id="rId350" Type="http://schemas.openxmlformats.org/officeDocument/2006/relationships/hyperlink" Target="http://enstru.skc.kz/ru/ntru/detail/?kpved=22.21.29.00.00.17.10.12.1" TargetMode="External"/><Relationship Id="rId406" Type="http://schemas.openxmlformats.org/officeDocument/2006/relationships/hyperlink" Target="http://enstru.skc.kz/ru/ntru/detail/?kpved=25.93.14.00.00.10.17.28.1" TargetMode="External"/><Relationship Id="rId588" Type="http://schemas.openxmlformats.org/officeDocument/2006/relationships/hyperlink" Target="http://enstru.skc.kz/ru/ntru/detail/?kpved=22.19.42.00.00.10.30.27.1" TargetMode="External"/><Relationship Id="rId795" Type="http://schemas.openxmlformats.org/officeDocument/2006/relationships/hyperlink" Target="http://enstru.skc.kz/ru/ntru/detail/?kpved=25.72.14.00.00.60.52.10.1" TargetMode="External"/><Relationship Id="rId9" Type="http://schemas.openxmlformats.org/officeDocument/2006/relationships/hyperlink" Target="http://enstru.skc.kz/ru/ntru/detail/?kpved=28.14.13.21.10.12.00.02.1" TargetMode="External"/><Relationship Id="rId210" Type="http://schemas.openxmlformats.org/officeDocument/2006/relationships/hyperlink" Target="http://enstru.skc.kz/ru/ntru/detail/?kpved=25.73.20.00.00.11.10.11.1" TargetMode="External"/><Relationship Id="rId392" Type="http://schemas.openxmlformats.org/officeDocument/2006/relationships/hyperlink" Target="http://enstru.skc.kz/ru/ntru/detail/?kpved=23.52.10.00.00.10.10.25.2" TargetMode="External"/><Relationship Id="rId448" Type="http://schemas.openxmlformats.org/officeDocument/2006/relationships/hyperlink" Target="http://enstru.skc.kz/ru/ntru/detail/?kpved=32.91.12.00.00.00.14.18.1" TargetMode="External"/><Relationship Id="rId613" Type="http://schemas.openxmlformats.org/officeDocument/2006/relationships/hyperlink" Target="http://enstru.skc.kz/ru/ntru/detail/?kpved=22.19.34.00.00.25.10.30.2" TargetMode="External"/><Relationship Id="rId655" Type="http://schemas.openxmlformats.org/officeDocument/2006/relationships/hyperlink" Target="http://enstru.skc.kz/ru/ntru/detail/?kpved=22.29.21.20.00.00.10.10.1" TargetMode="External"/><Relationship Id="rId697" Type="http://schemas.openxmlformats.org/officeDocument/2006/relationships/hyperlink" Target="http://enstru.skc.kz/ru/ntru/detail/?kpved=25.94.12.00.00.11.10.10.3" TargetMode="External"/><Relationship Id="rId252" Type="http://schemas.openxmlformats.org/officeDocument/2006/relationships/hyperlink" Target="http://enstru.skc.kz/ru/ntru/detail/?kpved=26.51.33.00.00.00.41.04.1" TargetMode="External"/><Relationship Id="rId294" Type="http://schemas.openxmlformats.org/officeDocument/2006/relationships/hyperlink" Target="http://enstru.skc.kz/ru/ntru/detail/?kpved=28.15.10.00.00.00.11.11.1" TargetMode="External"/><Relationship Id="rId308" Type="http://schemas.openxmlformats.org/officeDocument/2006/relationships/hyperlink" Target="http://enstru.skc.kz/ru/ntru/detail/?kpved=19.20.29.00.00.20.24.10.1" TargetMode="External"/><Relationship Id="rId515" Type="http://schemas.openxmlformats.org/officeDocument/2006/relationships/hyperlink" Target="http://enstru.skc.kz/ru/ntru/detail/?kpved=25.94.12.00.00.11.10.12.3" TargetMode="External"/><Relationship Id="rId722" Type="http://schemas.openxmlformats.org/officeDocument/2006/relationships/hyperlink" Target="http://enstru.skc.kz/ru/ntru/detail/?kpved=32.99.11.00.00.05.15.10.1" TargetMode="External"/><Relationship Id="rId47" Type="http://schemas.openxmlformats.org/officeDocument/2006/relationships/hyperlink" Target="http://enstru.skc.kz/ru/ntru/detail/?kpved=25.99.29.00.02.13.23.03.1" TargetMode="External"/><Relationship Id="rId89" Type="http://schemas.openxmlformats.org/officeDocument/2006/relationships/hyperlink" Target="http://enstru.skc.kz/ru/ntru/detail/?kpved=25.71.11.00.00.30.25.10.1" TargetMode="External"/><Relationship Id="rId112" Type="http://schemas.openxmlformats.org/officeDocument/2006/relationships/hyperlink" Target="http://enstru.skc.kz/ru/ntru/detail/?kpved=25.72.11.00.00.12.14.10.1" TargetMode="External"/><Relationship Id="rId154" Type="http://schemas.openxmlformats.org/officeDocument/2006/relationships/hyperlink" Target="http://enstru.skc.kz/ru/ntru/detail/?kpved=22.23.11.00.00.30.30.10.1" TargetMode="External"/><Relationship Id="rId361" Type="http://schemas.openxmlformats.org/officeDocument/2006/relationships/hyperlink" Target="http://enstru.skc.kz/ru/ntru/detail/?kpved=19.20.31.00.00.00.00.10.1" TargetMode="External"/><Relationship Id="rId557" Type="http://schemas.openxmlformats.org/officeDocument/2006/relationships/hyperlink" Target="http://enstru.skc.kz/ru/ntru/detail/?kpved=23.91.11.00.00.00.40.05.4" TargetMode="External"/><Relationship Id="rId599" Type="http://schemas.openxmlformats.org/officeDocument/2006/relationships/hyperlink" Target="http://enstru.skc.kz/ru/ntru/detail/?kpved=23.99.11.05.01.00.00.09.1" TargetMode="External"/><Relationship Id="rId764" Type="http://schemas.openxmlformats.org/officeDocument/2006/relationships/hyperlink" Target="http://enstru.skc.kz/ru/ntru/detail/?kpved=25.73.30.00.00.30.10.17.1" TargetMode="External"/><Relationship Id="rId196" Type="http://schemas.openxmlformats.org/officeDocument/2006/relationships/hyperlink" Target="http://enstru.skc.kz/ru/ntru/detail/?kpved=28.13.14.10.07.07.00.03.1" TargetMode="External"/><Relationship Id="rId417" Type="http://schemas.openxmlformats.org/officeDocument/2006/relationships/hyperlink" Target="http://enstru.skc.kz/ru/ntru/detail/?kpved=23.31.10.01.01.01.01.00.1" TargetMode="External"/><Relationship Id="rId459" Type="http://schemas.openxmlformats.org/officeDocument/2006/relationships/hyperlink" Target="http://enstru.skc.kz/ru/ntru/detail/?kpved=26.51.33.00.00.00.41.04.1" TargetMode="External"/><Relationship Id="rId624" Type="http://schemas.openxmlformats.org/officeDocument/2006/relationships/hyperlink" Target="http://enstru.skc.kz/ru/ntru/detail/?kpved=22.21.29.00.00.17.10.10.1" TargetMode="External"/><Relationship Id="rId666" Type="http://schemas.openxmlformats.org/officeDocument/2006/relationships/hyperlink" Target="http://enstru.skc.kz/ru/ntru/detail/?kpved=22.19.34.00.00.26.11.05.1" TargetMode="External"/><Relationship Id="rId16" Type="http://schemas.openxmlformats.org/officeDocument/2006/relationships/hyperlink" Target="http://enstru.skc.kz/ru/ntru/detail/?kpved=22.29.21.20.00.00.10.10.1" TargetMode="External"/><Relationship Id="rId221" Type="http://schemas.openxmlformats.org/officeDocument/2006/relationships/hyperlink" Target="http://enstru.skc.kz/ru/ntru/detail/?kpved=23.49.11.00.00.00.00.32.1" TargetMode="External"/><Relationship Id="rId263" Type="http://schemas.openxmlformats.org/officeDocument/2006/relationships/hyperlink" Target="http://enstru.skc.kz/ru/ntru/detail/?kpved=23.91.11.00.00.10.01.01.1" TargetMode="External"/><Relationship Id="rId319" Type="http://schemas.openxmlformats.org/officeDocument/2006/relationships/hyperlink" Target="http://enstru.skc.kz/ru/ntru/detail/?kpved=22.19.42.00.00.10.30.27.1" TargetMode="External"/><Relationship Id="rId470" Type="http://schemas.openxmlformats.org/officeDocument/2006/relationships/hyperlink" Target="http://enstru.skc.kz/ru/ntru/detail/?kpved=25.73.30.00.00.19.10.10.1" TargetMode="External"/><Relationship Id="rId526" Type="http://schemas.openxmlformats.org/officeDocument/2006/relationships/hyperlink" Target="http://enstru.skc.kz/ru/ntru/detail/?kpved=22.23.14.00.00.76.10.30.1" TargetMode="External"/><Relationship Id="rId58" Type="http://schemas.openxmlformats.org/officeDocument/2006/relationships/hyperlink" Target="http://enstru.skc.kz/ru/ntru/detail/?kpved=20.59.59.00.16.00.00.12.2" TargetMode="External"/><Relationship Id="rId123" Type="http://schemas.openxmlformats.org/officeDocument/2006/relationships/hyperlink" Target="http://enstru.skc.kz/ru/ntru/detail/?kpved=22.21.29.00.00.23.13.12.1" TargetMode="External"/><Relationship Id="rId330" Type="http://schemas.openxmlformats.org/officeDocument/2006/relationships/hyperlink" Target="http://enstru.skc.kz/ru/ntru/detail/?kpved=23.65.12.00.20.10.00.04.1" TargetMode="External"/><Relationship Id="rId568" Type="http://schemas.openxmlformats.org/officeDocument/2006/relationships/hyperlink" Target="http://enstru.skc.kz/ru/ntru/detail/?kpved=28.14.11.10.00.00.00.12.1" TargetMode="External"/><Relationship Id="rId733" Type="http://schemas.openxmlformats.org/officeDocument/2006/relationships/hyperlink" Target="http://enstru.skc.kz/ru/ntru/detail/?kpved=23.49.11.00.00.00.00.32.1" TargetMode="External"/><Relationship Id="rId775" Type="http://schemas.openxmlformats.org/officeDocument/2006/relationships/hyperlink" Target="http://enstru.skc.kz/ru/ntru/detail/?kpved=25.94.12.00.00.11.10.10.3" TargetMode="External"/><Relationship Id="rId165" Type="http://schemas.openxmlformats.org/officeDocument/2006/relationships/hyperlink" Target="http://enstru.skc.kz/ru/ntru/detail/?kpved=31.01.12.00.00.04.05.17.1" TargetMode="External"/><Relationship Id="rId372" Type="http://schemas.openxmlformats.org/officeDocument/2006/relationships/hyperlink" Target="http://enstru.skc.kz/ru/ntru/detail/?kpved=22.21.21.00.00.12.60.10.1" TargetMode="External"/><Relationship Id="rId428" Type="http://schemas.openxmlformats.org/officeDocument/2006/relationships/hyperlink" Target="http://enstru.skc.kz/ru/ntru/detail/?kpved=22.29.23.00.00.00.32.30.1" TargetMode="External"/><Relationship Id="rId635" Type="http://schemas.openxmlformats.org/officeDocument/2006/relationships/hyperlink" Target="http://enstru.skc.kz/ru/ntru/detail/?kpved=22.21.29.00.00.12.10.12.1" TargetMode="External"/><Relationship Id="rId677" Type="http://schemas.openxmlformats.org/officeDocument/2006/relationships/hyperlink" Target="http://enstru.skc.kz/ru/ntru/detail/?kpved=20.30.11.00.00.00.10.50.1" TargetMode="External"/><Relationship Id="rId800" Type="http://schemas.openxmlformats.org/officeDocument/2006/relationships/hyperlink" Target="http://enstru.skc.kz/ru/ntru/detail/?kpved=25.72.13.00.00.10.11.10.1" TargetMode="External"/><Relationship Id="rId232" Type="http://schemas.openxmlformats.org/officeDocument/2006/relationships/hyperlink" Target="http://enstru.skc.kz/ru/ntru/detail/?kpved=23.42.10.11.10.00.00.01.1" TargetMode="External"/><Relationship Id="rId274" Type="http://schemas.openxmlformats.org/officeDocument/2006/relationships/hyperlink" Target="http://enstru.skc.kz/ru/ntru/detail/?kpved=20.59.59.00.15.00.00.73.2" TargetMode="External"/><Relationship Id="rId481" Type="http://schemas.openxmlformats.org/officeDocument/2006/relationships/hyperlink" Target="http://enstru.skc.kz/ru/ntru/detail/?kpved=25.73.20.00.00.10.20.10.1" TargetMode="External"/><Relationship Id="rId702" Type="http://schemas.openxmlformats.org/officeDocument/2006/relationships/hyperlink" Target="http://enstru.skc.kz/ru/ntru/detail/?kpved=23.31.10.01.01.01.01.00.1" TargetMode="External"/><Relationship Id="rId27" Type="http://schemas.openxmlformats.org/officeDocument/2006/relationships/hyperlink" Target="http://enstru.skc.kz/ru/ntru/detail/?kpved=28.29.32.00.00.00.11.15.1" TargetMode="External"/><Relationship Id="rId69" Type="http://schemas.openxmlformats.org/officeDocument/2006/relationships/hyperlink" Target="http://enstru.skc.kz/ru/ntru/detail/?kpved=27.20.11.00.00.00.06.15.1" TargetMode="External"/><Relationship Id="rId134" Type="http://schemas.openxmlformats.org/officeDocument/2006/relationships/hyperlink" Target="http://enstru.skc.kz/ru/ntru/detail/?kpved=22.29.23.50.40.10.11.10.1" TargetMode="External"/><Relationship Id="rId537" Type="http://schemas.openxmlformats.org/officeDocument/2006/relationships/hyperlink" Target="http://enstru.skc.kz/ru/ntru/detail/?kpved=20.30.21.00.21.11.05.00.1" TargetMode="External"/><Relationship Id="rId579" Type="http://schemas.openxmlformats.org/officeDocument/2006/relationships/hyperlink" Target="http://enstru.skc.kz/ru/ntru/detail/?kpved=22.19.24.00.00.00.11.14.1" TargetMode="External"/><Relationship Id="rId744" Type="http://schemas.openxmlformats.org/officeDocument/2006/relationships/hyperlink" Target="http://enstru.skc.kz/ru/ntru/detail/?kpved=32.91.12.00.00.00.14.18.1" TargetMode="External"/><Relationship Id="rId786" Type="http://schemas.openxmlformats.org/officeDocument/2006/relationships/hyperlink" Target="http://enstru.skc.kz/ru/ntru/detail/?kpved=25.93.13.00.00.10.21.12.1" TargetMode="External"/><Relationship Id="rId80" Type="http://schemas.openxmlformats.org/officeDocument/2006/relationships/hyperlink" Target="http://enstru.skc.kz/ru/ntru/detail/?kpved=25.73.30.00.00.14.11.10.1" TargetMode="External"/><Relationship Id="rId176" Type="http://schemas.openxmlformats.org/officeDocument/2006/relationships/hyperlink" Target="http://enstru.skc.kz/ru/ntru/detail/?kpved=25.94.12.00.00.11.10.10.3" TargetMode="External"/><Relationship Id="rId341" Type="http://schemas.openxmlformats.org/officeDocument/2006/relationships/hyperlink" Target="http://enstru.skc.kz/ru/ntru/detail/?kpved=22.21.21.00.00.40.23.20.2" TargetMode="External"/><Relationship Id="rId383" Type="http://schemas.openxmlformats.org/officeDocument/2006/relationships/hyperlink" Target="http://enstru.skc.kz/ru/ntru/detail/?kpved=28.14.13.15.00.00.00.03.1" TargetMode="External"/><Relationship Id="rId439" Type="http://schemas.openxmlformats.org/officeDocument/2006/relationships/hyperlink" Target="http://enstru.skc.kz/ru/ntru/detail/?kpved=25.12.10.00.00.17.13.10.1" TargetMode="External"/><Relationship Id="rId590" Type="http://schemas.openxmlformats.org/officeDocument/2006/relationships/hyperlink" Target="http://enstru.skc.kz/ru/ntru/detail/?kpved=24.44.26.00.00.11.11.11.1" TargetMode="External"/><Relationship Id="rId604" Type="http://schemas.openxmlformats.org/officeDocument/2006/relationships/hyperlink" Target="http://enstru.skc.kz/ru/ntru/detail/?kpved=23.99.11.04.01.00.00.12.1" TargetMode="External"/><Relationship Id="rId646" Type="http://schemas.openxmlformats.org/officeDocument/2006/relationships/hyperlink" Target="http://enstru.skc.kz/ru/ntru/detail/?kpved=13.10.29.00.00.00.00.20.1" TargetMode="External"/><Relationship Id="rId201" Type="http://schemas.openxmlformats.org/officeDocument/2006/relationships/hyperlink" Target="http://enstru.skc.kz/ru/ntru/detail/?kpved=13.92.22.00.00.00.10.15.1" TargetMode="External"/><Relationship Id="rId243" Type="http://schemas.openxmlformats.org/officeDocument/2006/relationships/hyperlink" Target="http://enstru.skc.kz/ru/ntru/detail/?kpved=28.30.93.00.00.20.60.10.1" TargetMode="External"/><Relationship Id="rId285" Type="http://schemas.openxmlformats.org/officeDocument/2006/relationships/hyperlink" Target="http://enstru.skc.kz/ru/ntru/detail/?kpved=24.20.40.00.21.10.10.11.1" TargetMode="External"/><Relationship Id="rId450" Type="http://schemas.openxmlformats.org/officeDocument/2006/relationships/hyperlink" Target="http://enstru.skc.kz/ru/ntru/detail/?kpved=32.91.19.00.00.00.20.05.1" TargetMode="External"/><Relationship Id="rId506" Type="http://schemas.openxmlformats.org/officeDocument/2006/relationships/hyperlink" Target="http://enstru.skc.kz/ru/ntru/detail/?kpved=25.73.20.00.00.11.10.11.1" TargetMode="External"/><Relationship Id="rId688" Type="http://schemas.openxmlformats.org/officeDocument/2006/relationships/hyperlink" Target="http://enstru.skc.kz/ru/ntru/detail/?kpved=25.93.14.00.00.10.19.14.1" TargetMode="External"/><Relationship Id="rId38" Type="http://schemas.openxmlformats.org/officeDocument/2006/relationships/hyperlink" Target="http://enstru.skc.kz/ru/ntru/detail/?kpved=31.00.20.00.00.00.02.01.1" TargetMode="External"/><Relationship Id="rId103" Type="http://schemas.openxmlformats.org/officeDocument/2006/relationships/hyperlink" Target="http://enstru.skc.kz/ru/ntru/detail/?kpved=25.73.30.00.00.14.17.50.1" TargetMode="External"/><Relationship Id="rId310" Type="http://schemas.openxmlformats.org/officeDocument/2006/relationships/hyperlink" Target="http://enstru.skc.kz/ru/ntru/detail/?kpved=25.11.23.00.00.12.12.10.2" TargetMode="External"/><Relationship Id="rId492" Type="http://schemas.openxmlformats.org/officeDocument/2006/relationships/hyperlink" Target="http://enstru.skc.kz/ru/ntru/detail/?kpved=25.73.30.00.00.10.16.13.1" TargetMode="External"/><Relationship Id="rId548" Type="http://schemas.openxmlformats.org/officeDocument/2006/relationships/hyperlink" Target="http://enstru.skc.kz/ru/ntru/detail/?kpved=23.51.12.00.00.10.10.10.2" TargetMode="External"/><Relationship Id="rId713" Type="http://schemas.openxmlformats.org/officeDocument/2006/relationships/hyperlink" Target="http://enstru.skc.kz/ru/ntru/detail/?kpved=30.20.31.00.00.00.30.04.1" TargetMode="External"/><Relationship Id="rId755" Type="http://schemas.openxmlformats.org/officeDocument/2006/relationships/hyperlink" Target="http://enstru.skc.kz/ru/ntru/detail/?kpved=25.73.30.00.00.16.29.10.1" TargetMode="External"/><Relationship Id="rId797" Type="http://schemas.openxmlformats.org/officeDocument/2006/relationships/hyperlink" Target="http://enstru.skc.kz/ru/ntru/detail/?kpved=28.29.13.00.00.00.10.14.1" TargetMode="External"/><Relationship Id="rId91" Type="http://schemas.openxmlformats.org/officeDocument/2006/relationships/hyperlink" Target="http://enstru.skc.kz/ru/ntru/detail/?kpved=25.73.40.00.00.12.10.01.2" TargetMode="External"/><Relationship Id="rId145" Type="http://schemas.openxmlformats.org/officeDocument/2006/relationships/hyperlink" Target="http://enstru.skc.kz/ru/ntru/detail/?kpved=27.51.23.00.00.04.02.20.1" TargetMode="External"/><Relationship Id="rId187" Type="http://schemas.openxmlformats.org/officeDocument/2006/relationships/hyperlink" Target="http://enstru.skc.kz/ru/ntru/detail/?kpved=24.33.11.00.10.13.10.10.1" TargetMode="External"/><Relationship Id="rId352" Type="http://schemas.openxmlformats.org/officeDocument/2006/relationships/hyperlink" Target="http://enstru.skc.kz/ru/ntru/detail/?kpved=22.21.29.00.00.17.10.10.1" TargetMode="External"/><Relationship Id="rId394" Type="http://schemas.openxmlformats.org/officeDocument/2006/relationships/hyperlink" Target="http://enstru.skc.kz/ru/ntru/detail/?kpved=20.30.21.00.21.04.13.10.2" TargetMode="External"/><Relationship Id="rId408" Type="http://schemas.openxmlformats.org/officeDocument/2006/relationships/hyperlink" Target="http://enstru.skc.kz/ru/ntru/detail/?kpved=25.93.14.00.00.10.17.30.1" TargetMode="External"/><Relationship Id="rId615" Type="http://schemas.openxmlformats.org/officeDocument/2006/relationships/hyperlink" Target="http://enstru.skc.kz/ru/ntru/detail/?kpved=22.21.21.00.00.40.01.09.1" TargetMode="External"/><Relationship Id="rId212" Type="http://schemas.openxmlformats.org/officeDocument/2006/relationships/hyperlink" Target="http://enstru.skc.kz/ru/ntru/detail/?kpved=25.71.11.00.00.20.15.10.1" TargetMode="External"/><Relationship Id="rId254" Type="http://schemas.openxmlformats.org/officeDocument/2006/relationships/hyperlink" Target="http://enstru.skc.kz/ru/ntru/detail/?kpved=25.73.30.00.00.19.11.11.1" TargetMode="External"/><Relationship Id="rId657" Type="http://schemas.openxmlformats.org/officeDocument/2006/relationships/hyperlink" Target="http://enstru.skc.kz/ru/ntru/detail/?kpved=22.21.29.00.00.23.33.19.1" TargetMode="External"/><Relationship Id="rId699" Type="http://schemas.openxmlformats.org/officeDocument/2006/relationships/hyperlink" Target="http://enstru.skc.kz/ru/ntru/detail/?kpved=25.94.12.00.00.11.10.10.3" TargetMode="External"/><Relationship Id="rId49" Type="http://schemas.openxmlformats.org/officeDocument/2006/relationships/hyperlink" Target="http://enstru.skc.kz/ru/ntru/detail/?kpved=27.11.21.10.10.10.10.12.1" TargetMode="External"/><Relationship Id="rId114" Type="http://schemas.openxmlformats.org/officeDocument/2006/relationships/hyperlink" Target="http://enstru.skc.kz/ru/ntru/detail/?kpved=22.22.13.45.01.01.10.00.1" TargetMode="External"/><Relationship Id="rId296" Type="http://schemas.openxmlformats.org/officeDocument/2006/relationships/hyperlink" Target="http://enstru.skc.kz/ru/ntru/detail/?kpved=29.32.30.00.15.00.08.09.1" TargetMode="External"/><Relationship Id="rId461" Type="http://schemas.openxmlformats.org/officeDocument/2006/relationships/hyperlink" Target="http://enstru.skc.kz/ru/ntru/detail/?kpved=25.73.30.00.00.14.20.19.1" TargetMode="External"/><Relationship Id="rId517" Type="http://schemas.openxmlformats.org/officeDocument/2006/relationships/hyperlink" Target="http://enstru.skc.kz/ru/ntru/detail/?kpved=25.94.12.00.00.11.10.10.3" TargetMode="External"/><Relationship Id="rId559" Type="http://schemas.openxmlformats.org/officeDocument/2006/relationships/hyperlink" Target="http://enstru.skc.kz/ru/ntru/detail/?kpved=24.33.11.00.10.10.10.16.2" TargetMode="External"/><Relationship Id="rId724" Type="http://schemas.openxmlformats.org/officeDocument/2006/relationships/hyperlink" Target="http://enstru.skc.kz/ru/ntru/detail/?kpved=17.24.11.30.00.00.00.20.1" TargetMode="External"/><Relationship Id="rId766" Type="http://schemas.openxmlformats.org/officeDocument/2006/relationships/hyperlink" Target="http://enstru.skc.kz/ru/ntru/detail/?kpved=08.12.11.00.00.00.10.10.1" TargetMode="External"/><Relationship Id="rId60" Type="http://schemas.openxmlformats.org/officeDocument/2006/relationships/hyperlink" Target="http://enstru.skc.kz/ru/ntru/detail/?kpved=28.14.13.41.00.00.00.03.1" TargetMode="External"/><Relationship Id="rId156" Type="http://schemas.openxmlformats.org/officeDocument/2006/relationships/hyperlink" Target="http://enstru.skc.kz/ru/ntru/detail/?kpved=25.94.12.00.00.11.10.10.3" TargetMode="External"/><Relationship Id="rId198" Type="http://schemas.openxmlformats.org/officeDocument/2006/relationships/hyperlink" Target="http://enstru.skc.kz/ru/ntru/detail/?kpved=22.21.21.00.00.40.01.06.1" TargetMode="External"/><Relationship Id="rId321" Type="http://schemas.openxmlformats.org/officeDocument/2006/relationships/hyperlink" Target="http://enstru.skc.kz/ru/ntru/detail/?kpved=27.12.24.19.11.11.11.10.1" TargetMode="External"/><Relationship Id="rId363" Type="http://schemas.openxmlformats.org/officeDocument/2006/relationships/hyperlink" Target="http://enstru.skc.kz/ru/ntru/detail/?kpved=24.20.40.00.11.11.10.11.1" TargetMode="External"/><Relationship Id="rId419" Type="http://schemas.openxmlformats.org/officeDocument/2006/relationships/hyperlink" Target="http://enstru.skc.kz/ru/ntru/detail/?kpved=23.31.10.01.03.02.01.15.1" TargetMode="External"/><Relationship Id="rId570" Type="http://schemas.openxmlformats.org/officeDocument/2006/relationships/hyperlink" Target="http://enstru.skc.kz/ru/ntru/detail/?kpved=24.10.71.00.00.14.10.11.1" TargetMode="External"/><Relationship Id="rId626" Type="http://schemas.openxmlformats.org/officeDocument/2006/relationships/hyperlink" Target="http://enstru.skc.kz/ru/ntru/detail/?kpved=22.21.29.00.00.17.10.11.1" TargetMode="External"/><Relationship Id="rId223" Type="http://schemas.openxmlformats.org/officeDocument/2006/relationships/hyperlink" Target="http://enstru.skc.kz/ru/ntru/detail/?kpved=32.91.12.00.00.00.14.18.1" TargetMode="External"/><Relationship Id="rId430" Type="http://schemas.openxmlformats.org/officeDocument/2006/relationships/hyperlink" Target="http://enstru.skc.kz/ru/ntru/detail/?kpved=25.72.11.00.00.12.14.10.1" TargetMode="External"/><Relationship Id="rId668" Type="http://schemas.openxmlformats.org/officeDocument/2006/relationships/hyperlink" Target="http://enstru.skc.kz/ru/ntru/detail/?kpved=27.90.40.09.10.01.01.01.1" TargetMode="External"/><Relationship Id="rId18" Type="http://schemas.openxmlformats.org/officeDocument/2006/relationships/hyperlink" Target="http://enstru.skc.kz/ru/ntru/detail/?kpved=22.21.29.00.00.23.33.15.1" TargetMode="External"/><Relationship Id="rId265" Type="http://schemas.openxmlformats.org/officeDocument/2006/relationships/hyperlink" Target="http://enstru.skc.kz/ru/ntru/detail/?kpved=25.73.30.00.00.14.13.11.1" TargetMode="External"/><Relationship Id="rId472" Type="http://schemas.openxmlformats.org/officeDocument/2006/relationships/hyperlink" Target="http://enstru.skc.kz/ru/ntru/detail/?kpved=25.99.29.00.10.10.00.09.1" TargetMode="External"/><Relationship Id="rId528" Type="http://schemas.openxmlformats.org/officeDocument/2006/relationships/hyperlink" Target="http://enstru.skc.kz/ru/ntru/detail/?kpved=22.23.15.00.00.10.10.10.1" TargetMode="External"/><Relationship Id="rId735" Type="http://schemas.openxmlformats.org/officeDocument/2006/relationships/hyperlink" Target="http://enstru.skc.kz/ru/ntru/detail/?kpved=23.49.11.00.00.00.00.32.1" TargetMode="External"/><Relationship Id="rId125" Type="http://schemas.openxmlformats.org/officeDocument/2006/relationships/hyperlink" Target="http://enstru.skc.kz/ru/ntru/detail/?kpved=19.20.29.00.00.00.13.20.3" TargetMode="External"/><Relationship Id="rId167" Type="http://schemas.openxmlformats.org/officeDocument/2006/relationships/hyperlink" Target="http://enstru.skc.kz/ru/ntru/detail/?kpved=16.21.14.00.10.00.00.04.1" TargetMode="External"/><Relationship Id="rId332" Type="http://schemas.openxmlformats.org/officeDocument/2006/relationships/hyperlink" Target="http://enstru.skc.kz/ru/ntru/detail/?kpved=23.99.11.04.01.00.00.12.1" TargetMode="External"/><Relationship Id="rId374" Type="http://schemas.openxmlformats.org/officeDocument/2006/relationships/hyperlink" Target="http://enstru.skc.kz/ru/ntru/detail/?kpved=22.21.21.00.00.12.40.16.1" TargetMode="External"/><Relationship Id="rId581" Type="http://schemas.openxmlformats.org/officeDocument/2006/relationships/hyperlink" Target="http://enstru.skc.kz/ru/ntru/detail/?kpved=19.20.29.00.00.20.24.10.1" TargetMode="External"/><Relationship Id="rId777" Type="http://schemas.openxmlformats.org/officeDocument/2006/relationships/hyperlink" Target="http://enstru.skc.kz/ru/ntru/detail/?kpved=17.24.11.30.00.00.00.20.1" TargetMode="External"/><Relationship Id="rId71" Type="http://schemas.openxmlformats.org/officeDocument/2006/relationships/hyperlink" Target="http://enstru.skc.kz/ru/ntru/detail/?kpved=26.51.51.11.13.11.11.11.1" TargetMode="External"/><Relationship Id="rId234" Type="http://schemas.openxmlformats.org/officeDocument/2006/relationships/hyperlink" Target="http://enstru.skc.kz/ru/ntru/detail/?kpved=22.21.21.00.00.12.60.10.1" TargetMode="External"/><Relationship Id="rId637" Type="http://schemas.openxmlformats.org/officeDocument/2006/relationships/hyperlink" Target="http://enstru.skc.kz/ru/ntru/detail/?kpved=22.21.29.00.00.23.33.19.1" TargetMode="External"/><Relationship Id="rId679" Type="http://schemas.openxmlformats.org/officeDocument/2006/relationships/hyperlink" Target="http://enstru.skc.kz/ru/ntru/detail/?kpved=20.30.21.00.21.04.15.20.2" TargetMode="External"/><Relationship Id="rId802" Type="http://schemas.openxmlformats.org/officeDocument/2006/relationships/hyperlink" Target="http://enstru.skc.kz/ru/ntru/detail/?kpved=30.99.10.00.00.00.20.10.1" TargetMode="External"/><Relationship Id="rId2" Type="http://schemas.openxmlformats.org/officeDocument/2006/relationships/hyperlink" Target="http://enstru.skc.kz/ru/ntru/detail/?kpved=17.22.11.10.00.00.00.20.4" TargetMode="External"/><Relationship Id="rId29" Type="http://schemas.openxmlformats.org/officeDocument/2006/relationships/hyperlink" Target="http://enstru.skc.kz/ru/ntru/detail/?kpved=25.72.11.00.00.10.12.10.1" TargetMode="External"/><Relationship Id="rId276" Type="http://schemas.openxmlformats.org/officeDocument/2006/relationships/hyperlink" Target="http://enstru.skc.kz/ru/ntru/detail/?kpved=20.30.21.00.21.06.11.10.1" TargetMode="External"/><Relationship Id="rId441" Type="http://schemas.openxmlformats.org/officeDocument/2006/relationships/hyperlink" Target="http://enstru.skc.kz/ru/ntru/detail/?kpved=25.72.13.00.00.10.11.10.1" TargetMode="External"/><Relationship Id="rId483" Type="http://schemas.openxmlformats.org/officeDocument/2006/relationships/hyperlink" Target="http://enstru.skc.kz/ru/ntru/detail/?kpved=25.73.10.00.00.20.11.10.1" TargetMode="External"/><Relationship Id="rId539" Type="http://schemas.openxmlformats.org/officeDocument/2006/relationships/hyperlink" Target="http://enstru.skc.kz/ru/ntru/detail/?kpved=20.30.21.00.21.02.12.18.2" TargetMode="External"/><Relationship Id="rId690" Type="http://schemas.openxmlformats.org/officeDocument/2006/relationships/hyperlink" Target="http://enstru.skc.kz/ru/ntru/detail/?kpved=25.93.14.00.00.10.17.27.1" TargetMode="External"/><Relationship Id="rId704" Type="http://schemas.openxmlformats.org/officeDocument/2006/relationships/hyperlink" Target="http://enstru.skc.kz/ru/ntru/detail/?kpved=23.31.10.01.03.02.01.15.1" TargetMode="External"/><Relationship Id="rId746" Type="http://schemas.openxmlformats.org/officeDocument/2006/relationships/hyperlink" Target="http://enstru.skc.kz/ru/ntru/detail/?kpved=20.30.11.00.00.00.10.50.1" TargetMode="External"/><Relationship Id="rId40" Type="http://schemas.openxmlformats.org/officeDocument/2006/relationships/hyperlink" Target="http://enstru.skc.kz/ru/ntru/detail/?kpved=27.90.31.00.01.02.06.10.1" TargetMode="External"/><Relationship Id="rId136" Type="http://schemas.openxmlformats.org/officeDocument/2006/relationships/hyperlink" Target="http://enstru.skc.kz/ru/ntru/detail/?kpved=22.21.29.00.00.51.10.10.1" TargetMode="External"/><Relationship Id="rId178" Type="http://schemas.openxmlformats.org/officeDocument/2006/relationships/hyperlink" Target="http://enstru.skc.kz/ru/ntru/detail/?kpved=22.23.15.00.00.10.10.10.1" TargetMode="External"/><Relationship Id="rId301" Type="http://schemas.openxmlformats.org/officeDocument/2006/relationships/hyperlink" Target="http://enstru.skc.kz/ru/ntru/detail/?kpved=25.21.11.00.00.10.10.01.2" TargetMode="External"/><Relationship Id="rId343" Type="http://schemas.openxmlformats.org/officeDocument/2006/relationships/hyperlink" Target="http://enstru.skc.kz/ru/ntru/detail/?kpved=22.21.21.00.00.40.21.14.2" TargetMode="External"/><Relationship Id="rId550" Type="http://schemas.openxmlformats.org/officeDocument/2006/relationships/hyperlink" Target="http://enstru.skc.kz/ru/ntru/detail/?kpved=23.31.10.01.03.01.01.22.1" TargetMode="External"/><Relationship Id="rId788" Type="http://schemas.openxmlformats.org/officeDocument/2006/relationships/hyperlink" Target="http://enstru.skc.kz/ru/ntru/detail/?kpved=32.99.80.00.00.00.00.05.1" TargetMode="External"/><Relationship Id="rId82" Type="http://schemas.openxmlformats.org/officeDocument/2006/relationships/hyperlink" Target="http://enstru.skc.kz/ru/ntru/detail/?kpved=25.99.29.00.10.10.00.09.1" TargetMode="External"/><Relationship Id="rId203" Type="http://schemas.openxmlformats.org/officeDocument/2006/relationships/hyperlink" Target="http://enstru.skc.kz/ru/ntru/detail/?kpved=28.30.52.00.00.00.10.30.1" TargetMode="External"/><Relationship Id="rId385" Type="http://schemas.openxmlformats.org/officeDocument/2006/relationships/hyperlink" Target="http://enstru.skc.kz/ru/ntru/detail/?kpved=27.51.27.00.01.00.00.20.1" TargetMode="External"/><Relationship Id="rId592" Type="http://schemas.openxmlformats.org/officeDocument/2006/relationships/hyperlink" Target="http://enstru.skc.kz/ru/ntru/detail/?kpved=20.14.19.00.00.20.50.10.3" TargetMode="External"/><Relationship Id="rId606" Type="http://schemas.openxmlformats.org/officeDocument/2006/relationships/hyperlink" Target="http://enstru.skc.kz/ru/ntru/detail/?kpved=23.99.11.04.01.00.00.12.1" TargetMode="External"/><Relationship Id="rId648" Type="http://schemas.openxmlformats.org/officeDocument/2006/relationships/hyperlink" Target="http://enstru.skc.kz/ru/ntru/detail/?kpved=22.23.12.00.00.14.12.10.1" TargetMode="External"/><Relationship Id="rId245" Type="http://schemas.openxmlformats.org/officeDocument/2006/relationships/hyperlink" Target="http://enstru.skc.kz/ru/ntru/detail/?kpved=32.91.19.00.00.00.20.05.1" TargetMode="External"/><Relationship Id="rId287" Type="http://schemas.openxmlformats.org/officeDocument/2006/relationships/hyperlink" Target="http://enstru.skc.kz/ru/ntru/detail/?kpved=25.94.11.00.00.13.10.10.1" TargetMode="External"/><Relationship Id="rId410" Type="http://schemas.openxmlformats.org/officeDocument/2006/relationships/hyperlink" Target="http://enstru.skc.kz/ru/ntru/detail/?kpved=25.93.14.00.00.10.17.32.1" TargetMode="External"/><Relationship Id="rId452" Type="http://schemas.openxmlformats.org/officeDocument/2006/relationships/hyperlink" Target="http://enstru.skc.kz/ru/ntru/detail/?kpved=32.91.12.00.00.00.14.18.1" TargetMode="External"/><Relationship Id="rId494" Type="http://schemas.openxmlformats.org/officeDocument/2006/relationships/hyperlink" Target="http://enstru.skc.kz/ru/ntru/detail/?kpved=25.73.30.00.00.14.17.50.1" TargetMode="External"/><Relationship Id="rId508" Type="http://schemas.openxmlformats.org/officeDocument/2006/relationships/hyperlink" Target="http://enstru.skc.kz/ru/ntru/detail/?kpved=25.73.10.00.00.20.22.10.1" TargetMode="External"/><Relationship Id="rId715" Type="http://schemas.openxmlformats.org/officeDocument/2006/relationships/hyperlink" Target="http://enstru.skc.kz/ru/ntru/detail/?kpved=27.51.23.00.00.03.02.20.1" TargetMode="External"/><Relationship Id="rId105" Type="http://schemas.openxmlformats.org/officeDocument/2006/relationships/hyperlink" Target="http://enstru.skc.kz/ru/ntru/detail/?kpved=25.71.11.00.00.10.20.10.1" TargetMode="External"/><Relationship Id="rId147" Type="http://schemas.openxmlformats.org/officeDocument/2006/relationships/hyperlink" Target="http://enstru.skc.kz/ru/ntru/detail/?kpved=32.99.59.00.00.00.30.10.1" TargetMode="External"/><Relationship Id="rId312" Type="http://schemas.openxmlformats.org/officeDocument/2006/relationships/hyperlink" Target="http://enstru.skc.kz/ru/ntru/detail/?kpved=22.19.34.00.00.10.30.11.2" TargetMode="External"/><Relationship Id="rId354" Type="http://schemas.openxmlformats.org/officeDocument/2006/relationships/hyperlink" Target="http://enstru.skc.kz/ru/ntru/detail/?kpved=22.29.21.20.00.00.10.10.1" TargetMode="External"/><Relationship Id="rId757" Type="http://schemas.openxmlformats.org/officeDocument/2006/relationships/hyperlink" Target="http://enstru.skc.kz/ru/ntru/detail/?kpved=25.94.12.00.00.11.10.12.3" TargetMode="External"/><Relationship Id="rId799" Type="http://schemas.openxmlformats.org/officeDocument/2006/relationships/hyperlink" Target="http://enstru.skc.kz/ru/ntru/detail/?kpved=17.24.11.30.00.00.00.20.1" TargetMode="External"/><Relationship Id="rId51" Type="http://schemas.openxmlformats.org/officeDocument/2006/relationships/hyperlink" Target="http://enstru.skc.kz/ru/ntru/detail/?kpved=24.20.40.00.16.10.10.11.1" TargetMode="External"/><Relationship Id="rId93" Type="http://schemas.openxmlformats.org/officeDocument/2006/relationships/hyperlink" Target="http://enstru.skc.kz/ru/ntru/detail/?kpved=25.73.10.00.00.20.11.10.1" TargetMode="External"/><Relationship Id="rId189" Type="http://schemas.openxmlformats.org/officeDocument/2006/relationships/hyperlink" Target="http://enstru.skc.kz/ru/ntru/detail/?kpved=23.65.12.00.20.10.00.04.1" TargetMode="External"/><Relationship Id="rId396" Type="http://schemas.openxmlformats.org/officeDocument/2006/relationships/hyperlink" Target="http://enstru.skc.kz/ru/ntru/detail/?kpved=20.59.59.00.17.10.10.10.1" TargetMode="External"/><Relationship Id="rId561" Type="http://schemas.openxmlformats.org/officeDocument/2006/relationships/hyperlink" Target="http://enstru.skc.kz/ru/ntru/detail/?kpved=24.42.24.00.00.14.10.11.2" TargetMode="External"/><Relationship Id="rId617" Type="http://schemas.openxmlformats.org/officeDocument/2006/relationships/hyperlink" Target="http://enstru.skc.kz/ru/ntru/detail/?kpved=22.21.21.00.00.40.21.11.2" TargetMode="External"/><Relationship Id="rId659" Type="http://schemas.openxmlformats.org/officeDocument/2006/relationships/hyperlink" Target="http://enstru.skc.kz/ru/ntru/detail/?kpved=22.21.29.00.00.23.33.13.1" TargetMode="External"/><Relationship Id="rId214" Type="http://schemas.openxmlformats.org/officeDocument/2006/relationships/hyperlink" Target="http://enstru.skc.kz/ru/ntru/detail/?kpved=23.49.11.00.00.00.00.32.1" TargetMode="External"/><Relationship Id="rId256" Type="http://schemas.openxmlformats.org/officeDocument/2006/relationships/hyperlink" Target="http://enstru.skc.kz/ru/ntru/detail/?kpved=25.73.30.00.00.16.21.03.1" TargetMode="External"/><Relationship Id="rId298" Type="http://schemas.openxmlformats.org/officeDocument/2006/relationships/hyperlink" Target="http://enstru.skc.kz/ru/ntru/detail/?kpved=24.10.31.00.00.12.10.11.1" TargetMode="External"/><Relationship Id="rId421" Type="http://schemas.openxmlformats.org/officeDocument/2006/relationships/hyperlink" Target="http://enstru.skc.kz/ru/ntru/detail/?kpved=22.23.14.00.00.70.10.11.1" TargetMode="External"/><Relationship Id="rId463" Type="http://schemas.openxmlformats.org/officeDocument/2006/relationships/hyperlink" Target="http://enstru.skc.kz/ru/ntru/detail/?kpved=25.73.30.00.00.23.25.10.2" TargetMode="External"/><Relationship Id="rId519" Type="http://schemas.openxmlformats.org/officeDocument/2006/relationships/hyperlink" Target="http://enstru.skc.kz/ru/ntru/detail/?kpved=25.94.12.00.00.12.10.50.1" TargetMode="External"/><Relationship Id="rId670" Type="http://schemas.openxmlformats.org/officeDocument/2006/relationships/hyperlink" Target="http://enstru.skc.kz/ru/ntru/detail/?kpved=25.94.13.00.00.10.35.10.1" TargetMode="External"/><Relationship Id="rId116" Type="http://schemas.openxmlformats.org/officeDocument/2006/relationships/hyperlink" Target="http://enstru.skc.kz/ru/ntru/detail/?kpved=32.99.59.00.00.00.21.00.1" TargetMode="External"/><Relationship Id="rId158" Type="http://schemas.openxmlformats.org/officeDocument/2006/relationships/hyperlink" Target="http://enstru.skc.kz/ru/ntru/detail/?kpved=22.23.14.00.00.70.10.10.1" TargetMode="External"/><Relationship Id="rId323" Type="http://schemas.openxmlformats.org/officeDocument/2006/relationships/hyperlink" Target="http://enstru.skc.kz/ru/ntru/detail/?kpved=24.44.26.00.00.11.11.11.1" TargetMode="External"/><Relationship Id="rId530" Type="http://schemas.openxmlformats.org/officeDocument/2006/relationships/hyperlink" Target="http://enstru.skc.kz/ru/ntru/detail/?kpved=32.99.11.00.00.00.14.11.1" TargetMode="External"/><Relationship Id="rId726" Type="http://schemas.openxmlformats.org/officeDocument/2006/relationships/hyperlink" Target="http://enstru.skc.kz/ru/ntru/detail/?kpved=08.12.11.00.00.00.10.10.1" TargetMode="External"/><Relationship Id="rId768" Type="http://schemas.openxmlformats.org/officeDocument/2006/relationships/hyperlink" Target="http://enstru.skc.kz/ru/ntru/detail/?kpved=22.21.29.00.00.23.33.15.1" TargetMode="External"/><Relationship Id="rId20" Type="http://schemas.openxmlformats.org/officeDocument/2006/relationships/hyperlink" Target="http://enstru.skc.kz/ru/ntru/detail/?kpved=22.21.29.00.00.23.33.10.1" TargetMode="External"/><Relationship Id="rId62" Type="http://schemas.openxmlformats.org/officeDocument/2006/relationships/hyperlink" Target="http://enstru.skc.kz/ru/ntru/detail/?kpved=24.45.30.01.19.10.10.11.1" TargetMode="External"/><Relationship Id="rId365" Type="http://schemas.openxmlformats.org/officeDocument/2006/relationships/hyperlink" Target="http://enstru.skc.kz/ru/ntru/detail/?kpved=24.20.40.00.11.11.10.11.1" TargetMode="External"/><Relationship Id="rId572" Type="http://schemas.openxmlformats.org/officeDocument/2006/relationships/hyperlink" Target="http://enstru.skc.kz/ru/ntru/detail/?kpved=28.15.10.00.00.00.11.11.1" TargetMode="External"/><Relationship Id="rId628" Type="http://schemas.openxmlformats.org/officeDocument/2006/relationships/hyperlink" Target="http://enstru.skc.kz/ru/ntru/detail/?kpved=22.21.29.00.00.17.10.12.1" TargetMode="External"/><Relationship Id="rId225" Type="http://schemas.openxmlformats.org/officeDocument/2006/relationships/hyperlink" Target="http://enstru.skc.kz/ru/ntru/detail/?kpved=32.99.87.00.00.00.00.32.1" TargetMode="External"/><Relationship Id="rId267" Type="http://schemas.openxmlformats.org/officeDocument/2006/relationships/hyperlink" Target="http://enstru.skc.kz/ru/ntru/detail/?kpved=25.94.12.00.00.12.10.10.2" TargetMode="External"/><Relationship Id="rId432" Type="http://schemas.openxmlformats.org/officeDocument/2006/relationships/hyperlink" Target="http://enstru.skc.kz/ru/ntru/detail/?kpved=25.72.13.00.00.31.10.10.1" TargetMode="External"/><Relationship Id="rId474" Type="http://schemas.openxmlformats.org/officeDocument/2006/relationships/hyperlink" Target="http://enstru.skc.kz/ru/ntru/detail/?kpved=25.94.13.00.00.10.30.10.1" TargetMode="External"/><Relationship Id="rId127" Type="http://schemas.openxmlformats.org/officeDocument/2006/relationships/hyperlink" Target="http://enstru.skc.kz/ru/ntru/detail/?kpved=20.59.42.00.00.20.40.10.4" TargetMode="External"/><Relationship Id="rId681" Type="http://schemas.openxmlformats.org/officeDocument/2006/relationships/hyperlink" Target="http://enstru.skc.kz/ru/ntru/detail/?kpved=20.30.21.00.21.06.11.10.2" TargetMode="External"/><Relationship Id="rId737" Type="http://schemas.openxmlformats.org/officeDocument/2006/relationships/hyperlink" Target="http://enstru.skc.kz/ru/ntru/detail/?kpved=28.30.60.00.00.00.40.11.1" TargetMode="External"/><Relationship Id="rId779" Type="http://schemas.openxmlformats.org/officeDocument/2006/relationships/hyperlink" Target="http://enstru.skc.kz/ru/ntru/detail/?kpved=16.21.14.00.10.00.00.04.1" TargetMode="External"/><Relationship Id="rId31" Type="http://schemas.openxmlformats.org/officeDocument/2006/relationships/hyperlink" Target="http://enstru.skc.kz/ru/ntru/detail/?kpved=25.73.10.00.00.20.22.10.1" TargetMode="External"/><Relationship Id="rId73" Type="http://schemas.openxmlformats.org/officeDocument/2006/relationships/hyperlink" Target="http://enstru.skc.kz/ru/ntru/detail/?kpved=25.93.12.00.00.11.16.10.1" TargetMode="External"/><Relationship Id="rId169" Type="http://schemas.openxmlformats.org/officeDocument/2006/relationships/hyperlink" Target="http://enstru.skc.kz/ru/ntru/detail/?kpved=13.92.21.00.00.00.30.16.1" TargetMode="External"/><Relationship Id="rId334" Type="http://schemas.openxmlformats.org/officeDocument/2006/relationships/hyperlink" Target="http://enstru.skc.kz/ru/ntru/detail/?kpved=22.21.21.00.00.40.21.11.2" TargetMode="External"/><Relationship Id="rId376" Type="http://schemas.openxmlformats.org/officeDocument/2006/relationships/hyperlink" Target="http://enstru.skc.kz/ru/ntru/detail/?kpved=22.23.12.00.00.14.12.10.1" TargetMode="External"/><Relationship Id="rId541" Type="http://schemas.openxmlformats.org/officeDocument/2006/relationships/hyperlink" Target="http://enstru.skc.kz/ru/ntru/detail/?kpved=20.52.10.00.00.00.20.10.1" TargetMode="External"/><Relationship Id="rId583" Type="http://schemas.openxmlformats.org/officeDocument/2006/relationships/hyperlink" Target="http://enstru.skc.kz/ru/ntru/detail/?kpved=22.19.34.00.00.10.30.11.2" TargetMode="External"/><Relationship Id="rId639" Type="http://schemas.openxmlformats.org/officeDocument/2006/relationships/hyperlink" Target="http://enstru.skc.kz/ru/ntru/detail/?kpved=22.21.29.00.00.23.33.13.1" TargetMode="External"/><Relationship Id="rId790" Type="http://schemas.openxmlformats.org/officeDocument/2006/relationships/hyperlink" Target="http://enstru.skc.kz/ru/ntru/detail/?kpved=20.30.11.00.00.00.10.50.1" TargetMode="External"/><Relationship Id="rId804" Type="http://schemas.openxmlformats.org/officeDocument/2006/relationships/printerSettings" Target="../printerSettings/printerSettings1.bin"/><Relationship Id="rId4" Type="http://schemas.openxmlformats.org/officeDocument/2006/relationships/hyperlink" Target="http://enstru.skc.kz/ru/ntru/detail/?kpved=32.91.11.00.00.00.17.20.1" TargetMode="External"/><Relationship Id="rId180" Type="http://schemas.openxmlformats.org/officeDocument/2006/relationships/hyperlink" Target="http://enstru.skc.kz/ru/ntru/detail/?kpved=32.99.80.00.00.00.00.11.1" TargetMode="External"/><Relationship Id="rId236" Type="http://schemas.openxmlformats.org/officeDocument/2006/relationships/hyperlink" Target="http://enstru.skc.kz/ru/ntru/detail/?kpved=28.14.12.10.00.00.00.19.1" TargetMode="External"/><Relationship Id="rId278" Type="http://schemas.openxmlformats.org/officeDocument/2006/relationships/hyperlink" Target="http://enstru.skc.kz/ru/ntru/detail/?kpved=32.99.80.00.00.00.00.05.1" TargetMode="External"/><Relationship Id="rId401" Type="http://schemas.openxmlformats.org/officeDocument/2006/relationships/hyperlink" Target="http://enstru.skc.kz/ru/ntru/detail/?kpved=22.21.30.00.00.10.05.10.1" TargetMode="External"/><Relationship Id="rId443" Type="http://schemas.openxmlformats.org/officeDocument/2006/relationships/hyperlink" Target="http://enstru.skc.kz/ru/ntru/detail/?kpved=25.72.11.00.00.10.12.10.1" TargetMode="External"/><Relationship Id="rId650" Type="http://schemas.openxmlformats.org/officeDocument/2006/relationships/hyperlink" Target="http://enstru.skc.kz/ru/ntru/detail/?kpved=28.13.14.10.07.07.00.03.1" TargetMode="External"/><Relationship Id="rId303" Type="http://schemas.openxmlformats.org/officeDocument/2006/relationships/hyperlink" Target="http://enstru.skc.kz/ru/ntru/detail/?kpved=22.19.24.00.00.00.11.14.1" TargetMode="External"/><Relationship Id="rId485" Type="http://schemas.openxmlformats.org/officeDocument/2006/relationships/hyperlink" Target="http://enstru.skc.kz/ru/ntru/detail/?kpved=25.71.11.00.00.31.11.10.1" TargetMode="External"/><Relationship Id="rId692" Type="http://schemas.openxmlformats.org/officeDocument/2006/relationships/hyperlink" Target="http://enstru.skc.kz/ru/ntru/detail/?kpved=25.93.14.00.00.10.17.29.1" TargetMode="External"/><Relationship Id="rId706" Type="http://schemas.openxmlformats.org/officeDocument/2006/relationships/hyperlink" Target="http://enstru.skc.kz/ru/ntru/detail/?kpved=22.23.14.00.00.70.10.11.1" TargetMode="External"/><Relationship Id="rId748" Type="http://schemas.openxmlformats.org/officeDocument/2006/relationships/hyperlink" Target="http://enstru.skc.kz/ru/ntru/detail/?kpved=20.30.21.00.21.04.13.10.2" TargetMode="External"/><Relationship Id="rId42" Type="http://schemas.openxmlformats.org/officeDocument/2006/relationships/hyperlink" Target="http://enstru.skc.kz/ru/ntru/detail/?kpved=25.73.30.00.00.22.12.12.1" TargetMode="External"/><Relationship Id="rId84" Type="http://schemas.openxmlformats.org/officeDocument/2006/relationships/hyperlink" Target="http://enstru.skc.kz/ru/ntru/detail/?kpved=25.73.30.00.00.32.47.10.1" TargetMode="External"/><Relationship Id="rId138" Type="http://schemas.openxmlformats.org/officeDocument/2006/relationships/hyperlink" Target="http://enstru.skc.kz/ru/ntru/detail/?kpved=25.94.13.00.00.10.41.10.3" TargetMode="External"/><Relationship Id="rId345" Type="http://schemas.openxmlformats.org/officeDocument/2006/relationships/hyperlink" Target="http://enstru.skc.kz/ru/ntru/detail/?kpved=22.21.21.00.00.40.21.12.2" TargetMode="External"/><Relationship Id="rId387" Type="http://schemas.openxmlformats.org/officeDocument/2006/relationships/hyperlink" Target="http://enstru.skc.kz/ru/ntru/detail/?kpved=25.73.30.00.00.22.15.11.1" TargetMode="External"/><Relationship Id="rId510" Type="http://schemas.openxmlformats.org/officeDocument/2006/relationships/hyperlink" Target="http://enstru.skc.kz/ru/ntru/detail/?kpved=25.94.11.00.00.10.37.01.1" TargetMode="External"/><Relationship Id="rId552" Type="http://schemas.openxmlformats.org/officeDocument/2006/relationships/hyperlink" Target="http://enstru.skc.kz/ru/ntru/detail/?kpved=22.23.11.00.00.30.30.10.1" TargetMode="External"/><Relationship Id="rId594" Type="http://schemas.openxmlformats.org/officeDocument/2006/relationships/hyperlink" Target="http://enstru.skc.kz/ru/ntru/detail/?kpved=24.45.30.01.19.10.10.11.1" TargetMode="External"/><Relationship Id="rId608" Type="http://schemas.openxmlformats.org/officeDocument/2006/relationships/hyperlink" Target="http://enstru.skc.kz/ru/ntru/detail/?kpved=27.90.31.00.01.02.05.10.1" TargetMode="External"/><Relationship Id="rId191" Type="http://schemas.openxmlformats.org/officeDocument/2006/relationships/hyperlink" Target="http://enstru.skc.kz/ru/ntru/detail/?kpved=22.21.29.00.00.23.13.12.1" TargetMode="External"/><Relationship Id="rId205" Type="http://schemas.openxmlformats.org/officeDocument/2006/relationships/hyperlink" Target="http://enstru.skc.kz/ru/ntru/detail/?kpved=25.73.30.00.00.21.13.12.1" TargetMode="External"/><Relationship Id="rId247" Type="http://schemas.openxmlformats.org/officeDocument/2006/relationships/hyperlink" Target="http://enstru.skc.kz/ru/ntru/detail/?kpved=32.91.19.00.00.00.20.05.1" TargetMode="External"/><Relationship Id="rId412" Type="http://schemas.openxmlformats.org/officeDocument/2006/relationships/hyperlink" Target="http://enstru.skc.kz/ru/ntru/detail/?kpved=25.94.12.00.00.11.10.10.3" TargetMode="External"/><Relationship Id="rId107" Type="http://schemas.openxmlformats.org/officeDocument/2006/relationships/hyperlink" Target="http://enstru.skc.kz/ru/ntru/detail/?kpved=25.94.12.00.00.11.10.10.3" TargetMode="External"/><Relationship Id="rId289" Type="http://schemas.openxmlformats.org/officeDocument/2006/relationships/hyperlink" Target="http://enstru.skc.kz/ru/ntru/detail/?kpved=28.14.11.10.00.00.00.12.1" TargetMode="External"/><Relationship Id="rId454" Type="http://schemas.openxmlformats.org/officeDocument/2006/relationships/hyperlink" Target="http://enstru.skc.kz/ru/ntru/detail/?kpved=25.99.29.00.02.13.17.10.1" TargetMode="External"/><Relationship Id="rId496" Type="http://schemas.openxmlformats.org/officeDocument/2006/relationships/hyperlink" Target="http://enstru.skc.kz/ru/ntru/detail/?kpved=25.73.30.00.00.14.13.11.1" TargetMode="External"/><Relationship Id="rId661" Type="http://schemas.openxmlformats.org/officeDocument/2006/relationships/hyperlink" Target="http://enstru.skc.kz/ru/ntru/detail/?kpved=22.21.29.00.00.23.13.12.1" TargetMode="External"/><Relationship Id="rId717" Type="http://schemas.openxmlformats.org/officeDocument/2006/relationships/hyperlink" Target="http://enstru.skc.kz/ru/ntru/detail/?kpved=28.30.93.00.00.20.60.10.1" TargetMode="External"/><Relationship Id="rId759" Type="http://schemas.openxmlformats.org/officeDocument/2006/relationships/hyperlink" Target="http://enstru.skc.kz/ru/ntru/detail/?kpved=26.51.33.00.00.00.41.04.1" TargetMode="External"/><Relationship Id="rId11" Type="http://schemas.openxmlformats.org/officeDocument/2006/relationships/hyperlink" Target="http://enstru.skc.kz/ru/ntru/detail/?kpved=23.99.11.06.01.00.00.01.1" TargetMode="External"/><Relationship Id="rId53" Type="http://schemas.openxmlformats.org/officeDocument/2006/relationships/hyperlink" Target="http://enstru.skc.kz/ru/ntru/detail/?kpved=20.59.59.00.01.14.10.10.1" TargetMode="External"/><Relationship Id="rId149" Type="http://schemas.openxmlformats.org/officeDocument/2006/relationships/hyperlink" Target="http://enstru.skc.kz/ru/ntru/detail/?kpved=23.51.12.00.00.10.10.10.2" TargetMode="External"/><Relationship Id="rId314" Type="http://schemas.openxmlformats.org/officeDocument/2006/relationships/hyperlink" Target="http://enstru.skc.kz/ru/ntru/detail/?kpved=22.19.34.00.00.10.30.11.2" TargetMode="External"/><Relationship Id="rId356" Type="http://schemas.openxmlformats.org/officeDocument/2006/relationships/hyperlink" Target="http://enstru.skc.kz/ru/ntru/detail/?kpved=30.99.10.00.00.00.20.10.1" TargetMode="External"/><Relationship Id="rId398" Type="http://schemas.openxmlformats.org/officeDocument/2006/relationships/hyperlink" Target="http://enstru.skc.kz/ru/ntru/detail/?kpved=20.52.10.00.00.00.20.10.1" TargetMode="External"/><Relationship Id="rId521" Type="http://schemas.openxmlformats.org/officeDocument/2006/relationships/hyperlink" Target="http://enstru.skc.kz/ru/ntru/detail/?kpved=25.94.12.00.00.12.12.10.2" TargetMode="External"/><Relationship Id="rId563" Type="http://schemas.openxmlformats.org/officeDocument/2006/relationships/hyperlink" Target="http://enstru.skc.kz/ru/ntru/detail/?kpved=28.25.30.10.10.10.01.03.1" TargetMode="External"/><Relationship Id="rId619" Type="http://schemas.openxmlformats.org/officeDocument/2006/relationships/hyperlink" Target="http://enstru.skc.kz/ru/ntru/detail/?kpved=22.21.21.00.00.40.21.13.2" TargetMode="External"/><Relationship Id="rId770" Type="http://schemas.openxmlformats.org/officeDocument/2006/relationships/hyperlink" Target="http://enstru.skc.kz/ru/ntru/detail/?kpved=27.51.23.00.00.04.02.20.1" TargetMode="External"/><Relationship Id="rId95" Type="http://schemas.openxmlformats.org/officeDocument/2006/relationships/hyperlink" Target="http://enstru.skc.kz/ru/ntru/detail/?kpved=25.94.12.00.00.11.10.10.3" TargetMode="External"/><Relationship Id="rId160" Type="http://schemas.openxmlformats.org/officeDocument/2006/relationships/hyperlink" Target="http://enstru.skc.kz/ru/ntru/detail/?kpved=23.52.10.00.00.10.10.25.2" TargetMode="External"/><Relationship Id="rId216" Type="http://schemas.openxmlformats.org/officeDocument/2006/relationships/hyperlink" Target="http://enstru.skc.kz/ru/ntru/detail/?kpved=23.49.11.00.00.00.00.32.1" TargetMode="External"/><Relationship Id="rId423" Type="http://schemas.openxmlformats.org/officeDocument/2006/relationships/hyperlink" Target="http://enstru.skc.kz/ru/ntru/detail/?kpved=22.23.12.00.00.14.12.10.1" TargetMode="External"/><Relationship Id="rId258" Type="http://schemas.openxmlformats.org/officeDocument/2006/relationships/hyperlink" Target="http://enstru.skc.kz/ru/ntru/detail/?kpved=27.33.13.00.00.00.07.10.1" TargetMode="External"/><Relationship Id="rId465" Type="http://schemas.openxmlformats.org/officeDocument/2006/relationships/hyperlink" Target="http://enstru.skc.kz/ru/ntru/detail/?kpved=25.94.13.00.00.10.41.10.3" TargetMode="External"/><Relationship Id="rId630" Type="http://schemas.openxmlformats.org/officeDocument/2006/relationships/hyperlink" Target="http://enstru.skc.kz/ru/ntru/detail/?kpved=22.21.29.00.00.35.12.28.1" TargetMode="External"/><Relationship Id="rId672" Type="http://schemas.openxmlformats.org/officeDocument/2006/relationships/hyperlink" Target="http://enstru.skc.kz/ru/ntru/detail/?kpved=27.51.21.04.02.00.00.20.1" TargetMode="External"/><Relationship Id="rId728" Type="http://schemas.openxmlformats.org/officeDocument/2006/relationships/hyperlink" Target="http://enstru.skc.kz/ru/ntru/detail/?kpved=32.99.11.00.00.05.15.10.1" TargetMode="External"/><Relationship Id="rId22" Type="http://schemas.openxmlformats.org/officeDocument/2006/relationships/hyperlink" Target="http://enstru.skc.kz/ru/ntru/detail/?kpved=22.19.34.00.00.26.11.04.1" TargetMode="External"/><Relationship Id="rId64" Type="http://schemas.openxmlformats.org/officeDocument/2006/relationships/hyperlink" Target="http://enstru.skc.kz/ru/ntru/detail/?kpved=28.25.30.10.10.10.01.03.1" TargetMode="External"/><Relationship Id="rId118" Type="http://schemas.openxmlformats.org/officeDocument/2006/relationships/hyperlink" Target="http://enstru.skc.kz/ru/ntru/detail/?kpved=25.71.11.00.00.31.11.10.1" TargetMode="External"/><Relationship Id="rId325" Type="http://schemas.openxmlformats.org/officeDocument/2006/relationships/hyperlink" Target="http://enstru.skc.kz/ru/ntru/detail/?kpved=20.59.59.00.17.13.10.10.1" TargetMode="External"/><Relationship Id="rId367" Type="http://schemas.openxmlformats.org/officeDocument/2006/relationships/hyperlink" Target="http://enstru.skc.kz/ru/ntru/detail/?kpved=24.44.26.00.00.11.20.11.1" TargetMode="External"/><Relationship Id="rId532" Type="http://schemas.openxmlformats.org/officeDocument/2006/relationships/hyperlink" Target="http://enstru.skc.kz/ru/ntru/detail/?kpved=32.99.59.00.00.00.21.00.1" TargetMode="External"/><Relationship Id="rId574" Type="http://schemas.openxmlformats.org/officeDocument/2006/relationships/hyperlink" Target="http://enstru.skc.kz/ru/ntru/detail/?kpved=28.25.11.00.00.00.17.10.1" TargetMode="External"/><Relationship Id="rId171" Type="http://schemas.openxmlformats.org/officeDocument/2006/relationships/hyperlink" Target="http://enstru.skc.kz/ru/ntru/detail/?kpved=22.29.23.00.00.00.32.31.1" TargetMode="External"/><Relationship Id="rId227" Type="http://schemas.openxmlformats.org/officeDocument/2006/relationships/hyperlink" Target="http://enstru.skc.kz/ru/ntru/detail/?kpved=22.23.12.00.00.14.12.10.1" TargetMode="External"/><Relationship Id="rId781" Type="http://schemas.openxmlformats.org/officeDocument/2006/relationships/hyperlink" Target="http://enstru.skc.kz/ru/ntru/detail/?kpved=22.23.14.00.00.76.10.30.1" TargetMode="External"/><Relationship Id="rId269" Type="http://schemas.openxmlformats.org/officeDocument/2006/relationships/hyperlink" Target="http://enstru.skc.kz/ru/ntru/detail/?kpved=25.93.14.00.00.14.15.10.2" TargetMode="External"/><Relationship Id="rId434" Type="http://schemas.openxmlformats.org/officeDocument/2006/relationships/hyperlink" Target="http://enstru.skc.kz/ru/ntru/detail/?kpved=25.72.14.00.00.60.52.10.1" TargetMode="External"/><Relationship Id="rId476" Type="http://schemas.openxmlformats.org/officeDocument/2006/relationships/hyperlink" Target="http://enstru.skc.kz/ru/ntru/detail/?kpved=27.33.13.00.00.00.07.10.1" TargetMode="External"/><Relationship Id="rId641" Type="http://schemas.openxmlformats.org/officeDocument/2006/relationships/hyperlink" Target="http://enstru.skc.kz/ru/ntru/detail/?kpved=22.21.29.00.00.23.13.12.1" TargetMode="External"/><Relationship Id="rId683" Type="http://schemas.openxmlformats.org/officeDocument/2006/relationships/hyperlink" Target="http://enstru.skc.kz/ru/ntru/detail/?kpved=20.52.10.00.00.00.20.10.1" TargetMode="External"/><Relationship Id="rId739" Type="http://schemas.openxmlformats.org/officeDocument/2006/relationships/hyperlink" Target="http://enstru.skc.kz/ru/ntru/detail/?kpved=28.30.60.00.00.00.10.13.1" TargetMode="External"/><Relationship Id="rId33" Type="http://schemas.openxmlformats.org/officeDocument/2006/relationships/hyperlink" Target="http://enstru.skc.kz/ru/ntru/detail/?kpved=25.72.13.00.00.31.10.10.1" TargetMode="External"/><Relationship Id="rId129" Type="http://schemas.openxmlformats.org/officeDocument/2006/relationships/hyperlink" Target="http://enstru.skc.kz/ru/ntru/detail/?kpved=32.99.87.00.00.00.00.32.1" TargetMode="External"/><Relationship Id="rId280" Type="http://schemas.openxmlformats.org/officeDocument/2006/relationships/hyperlink" Target="http://enstru.skc.kz/ru/ntru/detail/?kpved=23.91.11.00.00.00.40.05.4" TargetMode="External"/><Relationship Id="rId336" Type="http://schemas.openxmlformats.org/officeDocument/2006/relationships/hyperlink" Target="http://enstru.skc.kz/ru/ntru/detail/?kpved=22.21.21.00.00.40.21.14.2" TargetMode="External"/><Relationship Id="rId501" Type="http://schemas.openxmlformats.org/officeDocument/2006/relationships/hyperlink" Target="http://enstru.skc.kz/ru/ntru/detail/?kpved=25.73.30.00.00.14.17.60.1" TargetMode="External"/><Relationship Id="rId543" Type="http://schemas.openxmlformats.org/officeDocument/2006/relationships/hyperlink" Target="http://enstru.skc.kz/ru/ntru/detail/?kpved=20.52.10.00.00.00.09.06.1" TargetMode="External"/><Relationship Id="rId75" Type="http://schemas.openxmlformats.org/officeDocument/2006/relationships/hyperlink" Target="http://enstru.skc.kz/ru/ntru/detail/?kpved=25.73.30.00.00.14.20.19.1" TargetMode="External"/><Relationship Id="rId140" Type="http://schemas.openxmlformats.org/officeDocument/2006/relationships/hyperlink" Target="http://enstru.skc.kz/ru/ntru/detail/?kpved=25.99.23.00.00.11.18.10.1" TargetMode="External"/><Relationship Id="rId182" Type="http://schemas.openxmlformats.org/officeDocument/2006/relationships/hyperlink" Target="http://enstru.skc.kz/ru/ntru/detail/?kpved=20.52.10.00.00.00.09.06.1" TargetMode="External"/><Relationship Id="rId378" Type="http://schemas.openxmlformats.org/officeDocument/2006/relationships/hyperlink" Target="http://enstru.skc.kz/ru/ntru/detail/?kpved=13.94.20.00.00.00.30.10.1" TargetMode="External"/><Relationship Id="rId403" Type="http://schemas.openxmlformats.org/officeDocument/2006/relationships/hyperlink" Target="http://enstru.skc.kz/ru/ntru/detail/?kpved=25.93.14.00.00.10.19.14.1" TargetMode="External"/><Relationship Id="rId585" Type="http://schemas.openxmlformats.org/officeDocument/2006/relationships/hyperlink" Target="http://enstru.skc.kz/ru/ntru/detail/?kpved=25.11.23.00.00.12.12.10.2" TargetMode="External"/><Relationship Id="rId750" Type="http://schemas.openxmlformats.org/officeDocument/2006/relationships/hyperlink" Target="http://enstru.skc.kz/ru/ntru/detail/?kpved=20.30.21.00.21.04.17.05.2" TargetMode="External"/><Relationship Id="rId792" Type="http://schemas.openxmlformats.org/officeDocument/2006/relationships/hyperlink" Target="http://enstru.skc.kz/ru/ntru/detail/?kpved=28.30.52.00.00.00.10.30.1" TargetMode="External"/><Relationship Id="rId6" Type="http://schemas.openxmlformats.org/officeDocument/2006/relationships/hyperlink" Target="http://enstru.skc.kz/ru/ntru/detail/?kpved=20.41.32.00.00.00.40.31.2" TargetMode="External"/><Relationship Id="rId238" Type="http://schemas.openxmlformats.org/officeDocument/2006/relationships/hyperlink" Target="http://enstru.skc.kz/ru/ntru/detail/?kpved=22.19.34.00.00.25.10.30.2" TargetMode="External"/><Relationship Id="rId445" Type="http://schemas.openxmlformats.org/officeDocument/2006/relationships/hyperlink" Target="http://enstru.skc.kz/ru/ntru/detail/?kpved=31.00.20.00.00.00.02.01.1" TargetMode="External"/><Relationship Id="rId487" Type="http://schemas.openxmlformats.org/officeDocument/2006/relationships/hyperlink" Target="http://enstru.skc.kz/ru/ntru/detail/?kpved=25.73.20.00.00.11.10.11.1" TargetMode="External"/><Relationship Id="rId610" Type="http://schemas.openxmlformats.org/officeDocument/2006/relationships/hyperlink" Target="http://enstru.skc.kz/ru/ntru/detail/?kpved=24.45.30.01.20.10.10.11.1" TargetMode="External"/><Relationship Id="rId652" Type="http://schemas.openxmlformats.org/officeDocument/2006/relationships/hyperlink" Target="http://enstru.skc.kz/ru/ntru/detail/?kpved=28.14.13.15.00.00.00.03.1" TargetMode="External"/><Relationship Id="rId694" Type="http://schemas.openxmlformats.org/officeDocument/2006/relationships/hyperlink" Target="http://enstru.skc.kz/ru/ntru/detail/?kpved=25.93.14.00.00.10.17.31.1" TargetMode="External"/><Relationship Id="rId708" Type="http://schemas.openxmlformats.org/officeDocument/2006/relationships/hyperlink" Target="http://enstru.skc.kz/ru/ntru/detail/?kpved=25.73.30.00.00.25.13.10.1" TargetMode="External"/><Relationship Id="rId291" Type="http://schemas.openxmlformats.org/officeDocument/2006/relationships/hyperlink" Target="http://enstru.skc.kz/ru/ntru/detail/?kpved=24.10.71.00.00.14.10.11.1" TargetMode="External"/><Relationship Id="rId305" Type="http://schemas.openxmlformats.org/officeDocument/2006/relationships/hyperlink" Target="http://enstru.skc.kz/ru/ntru/detail/?kpved=17.12.77.20.10.10.10.10.1" TargetMode="External"/><Relationship Id="rId347" Type="http://schemas.openxmlformats.org/officeDocument/2006/relationships/hyperlink" Target="http://enstru.skc.kz/ru/ntru/detail/?kpved=22.21.21.00.00.40.11.10.2" TargetMode="External"/><Relationship Id="rId512" Type="http://schemas.openxmlformats.org/officeDocument/2006/relationships/hyperlink" Target="http://enstru.skc.kz/ru/ntru/detail/?kpved=25.94.12.00.00.11.10.10.3" TargetMode="External"/><Relationship Id="rId44" Type="http://schemas.openxmlformats.org/officeDocument/2006/relationships/hyperlink" Target="http://enstru.skc.kz/ru/ntru/detail/?kpved=16.29.11.00.00.00.00.30.1" TargetMode="External"/><Relationship Id="rId86" Type="http://schemas.openxmlformats.org/officeDocument/2006/relationships/hyperlink" Target="http://enstru.skc.kz/ru/ntru/detail/?kpved=27.51.21.04.02.00.00.20.1" TargetMode="External"/><Relationship Id="rId151" Type="http://schemas.openxmlformats.org/officeDocument/2006/relationships/hyperlink" Target="http://enstru.skc.kz/ru/ntru/detail/?kpved=20.52.10.00.00.00.06.10.3" TargetMode="External"/><Relationship Id="rId389" Type="http://schemas.openxmlformats.org/officeDocument/2006/relationships/hyperlink" Target="http://enstru.skc.kz/ru/ntru/detail/?kpved=27.40.21.00.00.11.10.40.1" TargetMode="External"/><Relationship Id="rId554" Type="http://schemas.openxmlformats.org/officeDocument/2006/relationships/hyperlink" Target="http://enstru.skc.kz/ru/ntru/detail/?kpved=23.31.10.01.01.01.01.10.1" TargetMode="External"/><Relationship Id="rId596" Type="http://schemas.openxmlformats.org/officeDocument/2006/relationships/hyperlink" Target="http://enstru.skc.kz/ru/ntru/detail/?kpved=20.14.23.00.00.10.10.50.2" TargetMode="External"/><Relationship Id="rId761" Type="http://schemas.openxmlformats.org/officeDocument/2006/relationships/hyperlink" Target="http://enstru.skc.kz/ru/ntru/detail/?kpved=23.91.11.00.00.00.40.05.4" TargetMode="External"/><Relationship Id="rId193" Type="http://schemas.openxmlformats.org/officeDocument/2006/relationships/hyperlink" Target="http://enstru.skc.kz/ru/ntru/detail/?kpved=22.21.29.00.00.23.33.13.1" TargetMode="External"/><Relationship Id="rId207" Type="http://schemas.openxmlformats.org/officeDocument/2006/relationships/hyperlink" Target="http://enstru.skc.kz/ru/ntru/detail/?kpved=25.73.30.00.00.22.12.12.1" TargetMode="External"/><Relationship Id="rId249" Type="http://schemas.openxmlformats.org/officeDocument/2006/relationships/hyperlink" Target="http://enstru.skc.kz/ru/ntru/detail/?kpved=25.99.29.00.02.13.17.10.1" TargetMode="External"/><Relationship Id="rId414" Type="http://schemas.openxmlformats.org/officeDocument/2006/relationships/hyperlink" Target="http://enstru.skc.kz/ru/ntru/detail/?kpved=25.94.12.00.00.11.10.10.3" TargetMode="External"/><Relationship Id="rId456" Type="http://schemas.openxmlformats.org/officeDocument/2006/relationships/hyperlink" Target="http://enstru.skc.kz/ru/ntru/detail/?kpved=25.99.29.00.02.13.17.10.1" TargetMode="External"/><Relationship Id="rId498" Type="http://schemas.openxmlformats.org/officeDocument/2006/relationships/hyperlink" Target="http://enstru.skc.kz/ru/ntru/detail/?kpved=32.99.87.00.00.00.00.32.1" TargetMode="External"/><Relationship Id="rId621" Type="http://schemas.openxmlformats.org/officeDocument/2006/relationships/hyperlink" Target="http://enstru.skc.kz/ru/ntru/detail/?kpved=22.21.21.00.00.40.21.15.2" TargetMode="External"/><Relationship Id="rId663" Type="http://schemas.openxmlformats.org/officeDocument/2006/relationships/hyperlink" Target="http://enstru.skc.kz/ru/ntru/detail/?kpved=25.94.11.00.00.30.10.20.1" TargetMode="External"/><Relationship Id="rId13" Type="http://schemas.openxmlformats.org/officeDocument/2006/relationships/hyperlink" Target="http://enstru.skc.kz/ru/ntru/detail/?kpved=26.30.60.00.00.00.22.12.2" TargetMode="External"/><Relationship Id="rId109" Type="http://schemas.openxmlformats.org/officeDocument/2006/relationships/hyperlink" Target="http://enstru.skc.kz/ru/ntru/detail/?kpved=22.21.30.00.00.10.05.10.1" TargetMode="External"/><Relationship Id="rId260" Type="http://schemas.openxmlformats.org/officeDocument/2006/relationships/hyperlink" Target="http://enstru.skc.kz/ru/ntru/detail/?kpved=25.73.20.00.00.10.20.10.1" TargetMode="External"/><Relationship Id="rId316" Type="http://schemas.openxmlformats.org/officeDocument/2006/relationships/hyperlink" Target="http://enstru.skc.kz/ru/ntru/detail/?kpved=24.10.43.00.00.10.20.10.4" TargetMode="External"/><Relationship Id="rId523" Type="http://schemas.openxmlformats.org/officeDocument/2006/relationships/hyperlink" Target="http://enstru.skc.kz/ru/ntru/detail/?kpved=25.93.14.00.00.10.16.14.1" TargetMode="External"/><Relationship Id="rId719" Type="http://schemas.openxmlformats.org/officeDocument/2006/relationships/hyperlink" Target="http://enstru.skc.kz/ru/ntru/detail/?kpved=23.51.12.00.00.10.10.10.2" TargetMode="External"/><Relationship Id="rId55" Type="http://schemas.openxmlformats.org/officeDocument/2006/relationships/hyperlink" Target="http://enstru.skc.kz/ru/ntru/detail/?kpved=22.21.21.00.00.12.40.15.1" TargetMode="External"/><Relationship Id="rId97" Type="http://schemas.openxmlformats.org/officeDocument/2006/relationships/hyperlink" Target="http://enstru.skc.kz/ru/ntru/detail/?kpved=25.94.12.00.00.11.10.11.3" TargetMode="External"/><Relationship Id="rId120" Type="http://schemas.openxmlformats.org/officeDocument/2006/relationships/hyperlink" Target="http://enstru.skc.kz/ru/ntru/detail/?kpved=20.59.59.00.15.00.00.73.2" TargetMode="External"/><Relationship Id="rId358" Type="http://schemas.openxmlformats.org/officeDocument/2006/relationships/hyperlink" Target="http://enstru.skc.kz/ru/ntru/detail/?kpved=20.11.11.00.00.80.00.10.2" TargetMode="External"/><Relationship Id="rId565" Type="http://schemas.openxmlformats.org/officeDocument/2006/relationships/hyperlink" Target="http://enstru.skc.kz/ru/ntru/detail/?kpved=24.20.40.00.21.10.10.11.1" TargetMode="External"/><Relationship Id="rId730" Type="http://schemas.openxmlformats.org/officeDocument/2006/relationships/hyperlink" Target="http://enstru.skc.kz/ru/ntru/detail/?kpved=23.49.11.00.00.00.00.32.1" TargetMode="External"/><Relationship Id="rId772" Type="http://schemas.openxmlformats.org/officeDocument/2006/relationships/hyperlink" Target="http://enstru.skc.kz/ru/ntru/detail/?kpved=23.51.12.00.00.10.10.10.2" TargetMode="External"/><Relationship Id="rId162" Type="http://schemas.openxmlformats.org/officeDocument/2006/relationships/hyperlink" Target="http://enstru.skc.kz/ru/ntru/detail/?kpved=25.72.14.00.00.60.52.10.1" TargetMode="External"/><Relationship Id="rId218" Type="http://schemas.openxmlformats.org/officeDocument/2006/relationships/hyperlink" Target="http://enstru.skc.kz/ru/ntru/detail/?kpved=22.21.29.00.00.17.10.12.1" TargetMode="External"/><Relationship Id="rId425" Type="http://schemas.openxmlformats.org/officeDocument/2006/relationships/hyperlink" Target="http://enstru.skc.kz/ru/ntru/detail/?kpved=22.21.21.00.00.12.40.16.1" TargetMode="External"/><Relationship Id="rId467" Type="http://schemas.openxmlformats.org/officeDocument/2006/relationships/hyperlink" Target="http://enstru.skc.kz/ru/ntru/detail/?kpved=25.73.30.00.00.18.06.10.1" TargetMode="External"/><Relationship Id="rId632" Type="http://schemas.openxmlformats.org/officeDocument/2006/relationships/hyperlink" Target="http://enstru.skc.kz/ru/ntru/detail/?kpved=19.20.31.00.00.00.00.10.1" TargetMode="External"/><Relationship Id="rId271" Type="http://schemas.openxmlformats.org/officeDocument/2006/relationships/hyperlink" Target="http://enstru.skc.kz/ru/ntru/detail/?kpved=20.30.21.00.21.06.11.11.2" TargetMode="External"/><Relationship Id="rId674" Type="http://schemas.openxmlformats.org/officeDocument/2006/relationships/hyperlink" Target="http://enstru.skc.kz/ru/ntru/detail/?kpved=27.40.21.00.00.11.10.40.1" TargetMode="External"/><Relationship Id="rId24" Type="http://schemas.openxmlformats.org/officeDocument/2006/relationships/hyperlink" Target="http://enstru.skc.kz/ru/ntru/detail/?kpved=25.94.11.00.00.30.10.20.1" TargetMode="External"/><Relationship Id="rId66" Type="http://schemas.openxmlformats.org/officeDocument/2006/relationships/hyperlink" Target="http://enstru.skc.kz/ru/ntru/detail/?kpved=20.14.23.00.00.10.10.50.2" TargetMode="External"/><Relationship Id="rId131" Type="http://schemas.openxmlformats.org/officeDocument/2006/relationships/hyperlink" Target="http://enstru.skc.kz/ru/ntru/detail/?kpved=28.22.18.00.00.10.10.02.1" TargetMode="External"/><Relationship Id="rId327" Type="http://schemas.openxmlformats.org/officeDocument/2006/relationships/hyperlink" Target="http://enstru.skc.kz/ru/ntru/detail/?kpved=23.99.11.05.01.00.00.09.1" TargetMode="External"/><Relationship Id="rId369" Type="http://schemas.openxmlformats.org/officeDocument/2006/relationships/hyperlink" Target="http://enstru.skc.kz/ru/ntru/detail/?kpved=22.21.29.00.00.23.33.19.1" TargetMode="External"/><Relationship Id="rId534" Type="http://schemas.openxmlformats.org/officeDocument/2006/relationships/hyperlink" Target="http://enstru.skc.kz/ru/ntru/detail/?kpved=20.59.59.00.15.00.00.73.2" TargetMode="External"/><Relationship Id="rId576" Type="http://schemas.openxmlformats.org/officeDocument/2006/relationships/hyperlink" Target="http://enstru.skc.kz/ru/ntru/detail/?kpved=25.21.11.00.00.10.10.01.2" TargetMode="External"/><Relationship Id="rId741" Type="http://schemas.openxmlformats.org/officeDocument/2006/relationships/hyperlink" Target="http://enstru.skc.kz/ru/ntru/detail/?kpved=20.30.11.00.00.00.10.50.1" TargetMode="External"/><Relationship Id="rId783" Type="http://schemas.openxmlformats.org/officeDocument/2006/relationships/hyperlink" Target="http://enstru.skc.kz/ru/ntru/detail/?kpved=32.91.19.00.00.00.20.05.1" TargetMode="External"/><Relationship Id="rId173" Type="http://schemas.openxmlformats.org/officeDocument/2006/relationships/hyperlink" Target="http://enstru.skc.kz/ru/ntru/detail/?kpved=23.31.10.01.03.02.01.15.1" TargetMode="External"/><Relationship Id="rId229" Type="http://schemas.openxmlformats.org/officeDocument/2006/relationships/hyperlink" Target="http://enstru.skc.kz/ru/ntru/detail/?kpved=25.72.13.00.00.31.10.10.1" TargetMode="External"/><Relationship Id="rId380" Type="http://schemas.openxmlformats.org/officeDocument/2006/relationships/hyperlink" Target="http://enstru.skc.kz/ru/ntru/detail/?kpved=23.42.10.12.00.00.12.40.1" TargetMode="External"/><Relationship Id="rId436" Type="http://schemas.openxmlformats.org/officeDocument/2006/relationships/hyperlink" Target="http://enstru.skc.kz/ru/ntru/detail/?kpved=25.12.10.00.00.23.10.10.1" TargetMode="External"/><Relationship Id="rId601" Type="http://schemas.openxmlformats.org/officeDocument/2006/relationships/hyperlink" Target="http://enstru.skc.kz/ru/ntru/detail/?kpved=19.20.29.00.00.00.13.20.3" TargetMode="External"/><Relationship Id="rId643" Type="http://schemas.openxmlformats.org/officeDocument/2006/relationships/hyperlink" Target="http://enstru.skc.kz/ru/ntru/detail/?kpved=22.21.21.00.00.12.60.10.1" TargetMode="External"/><Relationship Id="rId240" Type="http://schemas.openxmlformats.org/officeDocument/2006/relationships/hyperlink" Target="http://enstru.skc.kz/ru/ntru/detail/?kpved=32.30.15.00.00.00.14.60.1" TargetMode="External"/><Relationship Id="rId478" Type="http://schemas.openxmlformats.org/officeDocument/2006/relationships/hyperlink" Target="http://enstru.skc.kz/ru/ntru/detail/?kpved=25.71.11.00.00.30.25.10.1" TargetMode="External"/><Relationship Id="rId685" Type="http://schemas.openxmlformats.org/officeDocument/2006/relationships/hyperlink" Target="http://enstru.skc.kz/ru/ntru/detail/?kpved=20.52.10.00.00.00.06.10.3" TargetMode="External"/><Relationship Id="rId35" Type="http://schemas.openxmlformats.org/officeDocument/2006/relationships/hyperlink" Target="http://enstru.skc.kz/ru/ntru/detail/?kpved=22.29.23.00.00.00.10.19.1" TargetMode="External"/><Relationship Id="rId77" Type="http://schemas.openxmlformats.org/officeDocument/2006/relationships/hyperlink" Target="http://enstru.skc.kz/ru/ntru/detail/?kpved=25.73.30.00.00.23.25.10.2" TargetMode="External"/><Relationship Id="rId100" Type="http://schemas.openxmlformats.org/officeDocument/2006/relationships/hyperlink" Target="http://enstru.skc.kz/ru/ntru/detail/?kpved=25.73.30.00.00.10.16.13.1" TargetMode="External"/><Relationship Id="rId282" Type="http://schemas.openxmlformats.org/officeDocument/2006/relationships/hyperlink" Target="http://enstru.skc.kz/ru/ntru/detail/?kpved=24.33.11.00.10.10.10.16.2" TargetMode="External"/><Relationship Id="rId338" Type="http://schemas.openxmlformats.org/officeDocument/2006/relationships/hyperlink" Target="http://enstru.skc.kz/ru/ntru/detail/?kpved=22.21.21.00.00.40.21.15.2" TargetMode="External"/><Relationship Id="rId503" Type="http://schemas.openxmlformats.org/officeDocument/2006/relationships/hyperlink" Target="http://enstru.skc.kz/ru/ntru/detail/?kpved=28.92.61.22.05.01.01.01.2" TargetMode="External"/><Relationship Id="rId545" Type="http://schemas.openxmlformats.org/officeDocument/2006/relationships/hyperlink" Target="http://enstru.skc.kz/ru/ntru/detail/?kpved=32.99.80.00.00.00.00.11.1" TargetMode="External"/><Relationship Id="rId587" Type="http://schemas.openxmlformats.org/officeDocument/2006/relationships/hyperlink" Target="http://enstru.skc.kz/ru/ntru/detail/?kpved=24.34.13.00.00.20.16.11.1" TargetMode="External"/><Relationship Id="rId710" Type="http://schemas.openxmlformats.org/officeDocument/2006/relationships/hyperlink" Target="http://enstru.skc.kz/ru/ntru/detail/?kpved=22.21.21.00.00.12.40.10.1" TargetMode="External"/><Relationship Id="rId752" Type="http://schemas.openxmlformats.org/officeDocument/2006/relationships/hyperlink" Target="http://enstru.skc.kz/ru/ntru/detail/?kpved=25.73.30.00.00.19.10.10.1" TargetMode="External"/><Relationship Id="rId8" Type="http://schemas.openxmlformats.org/officeDocument/2006/relationships/hyperlink" Target="http://enstru.skc.kz/ru/ntru/detail/?kpved=28.14.13.21.10.12.00.05.1" TargetMode="External"/><Relationship Id="rId142" Type="http://schemas.openxmlformats.org/officeDocument/2006/relationships/hyperlink" Target="http://enstru.skc.kz/ru/ntru/detail/?kpved=25.73.30.00.00.30.12.01.1" TargetMode="External"/><Relationship Id="rId184" Type="http://schemas.openxmlformats.org/officeDocument/2006/relationships/hyperlink" Target="http://enstru.skc.kz/ru/ntru/detail/?kpved=25.12.10.00.00.16.30.10.1" TargetMode="External"/><Relationship Id="rId391" Type="http://schemas.openxmlformats.org/officeDocument/2006/relationships/hyperlink" Target="http://enstru.skc.kz/ru/ntru/detail/?kpved=20.30.11.00.00.00.10.50.1" TargetMode="External"/><Relationship Id="rId405" Type="http://schemas.openxmlformats.org/officeDocument/2006/relationships/hyperlink" Target="http://enstru.skc.kz/ru/ntru/detail/?kpved=25.93.14.00.00.10.17.27.1" TargetMode="External"/><Relationship Id="rId447" Type="http://schemas.openxmlformats.org/officeDocument/2006/relationships/hyperlink" Target="http://enstru.skc.kz/ru/ntru/detail/?kpved=32.91.12.00.00.00.14.18.1" TargetMode="External"/><Relationship Id="rId612" Type="http://schemas.openxmlformats.org/officeDocument/2006/relationships/hyperlink" Target="http://enstru.skc.kz/ru/ntru/detail/?kpved=25.94.11.09.10.10.01.01.1" TargetMode="External"/><Relationship Id="rId794" Type="http://schemas.openxmlformats.org/officeDocument/2006/relationships/hyperlink" Target="http://enstru.skc.kz/ru/ntru/detail/?kpved=16.29.11.00.00.00.00.30.1" TargetMode="External"/><Relationship Id="rId251" Type="http://schemas.openxmlformats.org/officeDocument/2006/relationships/hyperlink" Target="http://enstru.skc.kz/ru/ntru/detail/?kpved=26.51.33.00.00.00.41.04.1" TargetMode="External"/><Relationship Id="rId489" Type="http://schemas.openxmlformats.org/officeDocument/2006/relationships/hyperlink" Target="http://enstru.skc.kz/ru/ntru/detail/?kpved=23.91.11.00.00.10.01.01.1" TargetMode="External"/><Relationship Id="rId654" Type="http://schemas.openxmlformats.org/officeDocument/2006/relationships/hyperlink" Target="http://enstru.skc.kz/ru/ntru/detail/?kpved=28.14.13.21.10.12.00.02.1" TargetMode="External"/><Relationship Id="rId696" Type="http://schemas.openxmlformats.org/officeDocument/2006/relationships/hyperlink" Target="http://enstru.skc.kz/ru/ntru/detail/?kpved=25.93.14.00.00.10.17.33.1" TargetMode="External"/><Relationship Id="rId46" Type="http://schemas.openxmlformats.org/officeDocument/2006/relationships/hyperlink" Target="http://enstru.skc.kz/ru/ntru/detail/?kpved=25.99.29.00.02.13.17.10.1" TargetMode="External"/><Relationship Id="rId293" Type="http://schemas.openxmlformats.org/officeDocument/2006/relationships/hyperlink" Target="http://enstru.skc.kz/ru/ntru/detail/?kpved=29.32.30.00.15.00.08.09.1" TargetMode="External"/><Relationship Id="rId307" Type="http://schemas.openxmlformats.org/officeDocument/2006/relationships/hyperlink" Target="http://enstru.skc.kz/ru/ntru/detail/?kpved=22.19.34.00.00.25.10.30.2" TargetMode="External"/><Relationship Id="rId349" Type="http://schemas.openxmlformats.org/officeDocument/2006/relationships/hyperlink" Target="http://enstru.skc.kz/ru/ntru/detail/?kpved=22.21.29.00.00.17.10.10.1" TargetMode="External"/><Relationship Id="rId514" Type="http://schemas.openxmlformats.org/officeDocument/2006/relationships/hyperlink" Target="http://enstru.skc.kz/ru/ntru/detail/?kpved=25.94.12.00.00.11.10.11.3" TargetMode="External"/><Relationship Id="rId556" Type="http://schemas.openxmlformats.org/officeDocument/2006/relationships/hyperlink" Target="http://enstru.skc.kz/ru/ntru/detail/?kpved=22.23.14.00.00.70.10.10.1" TargetMode="External"/><Relationship Id="rId721" Type="http://schemas.openxmlformats.org/officeDocument/2006/relationships/hyperlink" Target="http://enstru.skc.kz/ru/ntru/detail/?kpved=27.51.27.00.01.00.00.20.1" TargetMode="External"/><Relationship Id="rId763" Type="http://schemas.openxmlformats.org/officeDocument/2006/relationships/hyperlink" Target="http://enstru.skc.kz/ru/ntru/detail/?kpved=32.91.12.00.00.00.14.18.1" TargetMode="External"/><Relationship Id="rId88" Type="http://schemas.openxmlformats.org/officeDocument/2006/relationships/hyperlink" Target="http://enstru.skc.kz/ru/ntru/detail/?kpved=25.73.30.00.00.18.06.10.1" TargetMode="External"/><Relationship Id="rId111" Type="http://schemas.openxmlformats.org/officeDocument/2006/relationships/hyperlink" Target="http://enstru.skc.kz/ru/ntru/detail/?kpved=25.72.12.00.00.12.10.10.1" TargetMode="External"/><Relationship Id="rId153" Type="http://schemas.openxmlformats.org/officeDocument/2006/relationships/hyperlink" Target="http://enstru.skc.kz/ru/ntru/detail/?kpved=23.31.10.01.03.01.01.22.1" TargetMode="External"/><Relationship Id="rId195" Type="http://schemas.openxmlformats.org/officeDocument/2006/relationships/hyperlink" Target="http://enstru.skc.kz/ru/ntru/detail/?kpved=22.21.29.00.00.10.20.10.1" TargetMode="External"/><Relationship Id="rId209" Type="http://schemas.openxmlformats.org/officeDocument/2006/relationships/hyperlink" Target="http://enstru.skc.kz/ru/ntru/detail/?kpved=21.20.23.00.00.00.34.40.1" TargetMode="External"/><Relationship Id="rId360" Type="http://schemas.openxmlformats.org/officeDocument/2006/relationships/hyperlink" Target="http://enstru.skc.kz/ru/ntru/detail/?kpved=20.11.11.00.00.80.00.10.2" TargetMode="External"/><Relationship Id="rId416" Type="http://schemas.openxmlformats.org/officeDocument/2006/relationships/hyperlink" Target="http://enstru.skc.kz/ru/ntru/detail/?kpved=22.21.29.00.00.60.10.10.1" TargetMode="External"/><Relationship Id="rId598" Type="http://schemas.openxmlformats.org/officeDocument/2006/relationships/hyperlink" Target="http://enstru.skc.kz/ru/ntru/detail/?kpved=26.51.51.11.13.11.11.11.1" TargetMode="External"/><Relationship Id="rId220" Type="http://schemas.openxmlformats.org/officeDocument/2006/relationships/hyperlink" Target="http://enstru.skc.kz/ru/ntru/detail/?kpved=23.49.11.00.00.00.00.32.1" TargetMode="External"/><Relationship Id="rId458" Type="http://schemas.openxmlformats.org/officeDocument/2006/relationships/hyperlink" Target="http://enstru.skc.kz/ru/ntru/detail/?kpved=15.12.12.00.00.00.38.30.1" TargetMode="External"/><Relationship Id="rId623" Type="http://schemas.openxmlformats.org/officeDocument/2006/relationships/hyperlink" Target="http://enstru.skc.kz/ru/ntru/detail/?kpved=22.21.21.00.00.40.11.10.2" TargetMode="External"/><Relationship Id="rId665" Type="http://schemas.openxmlformats.org/officeDocument/2006/relationships/hyperlink" Target="http://enstru.skc.kz/ru/ntru/detail/?kpved=22.21.29.00.00.51.10.10.1" TargetMode="External"/><Relationship Id="rId15" Type="http://schemas.openxmlformats.org/officeDocument/2006/relationships/hyperlink" Target="http://enstru.skc.kz/ru/ntru/detail/?kpved=13.94.20.00.00.00.30.10.1" TargetMode="External"/><Relationship Id="rId57" Type="http://schemas.openxmlformats.org/officeDocument/2006/relationships/hyperlink" Target="http://enstru.skc.kz/ru/ntru/detail/?kpved=22.19.35.00.00.45.20.08.1" TargetMode="External"/><Relationship Id="rId262" Type="http://schemas.openxmlformats.org/officeDocument/2006/relationships/hyperlink" Target="http://enstru.skc.kz/ru/ntru/detail/?kpved=25.73.20.00.00.10.22.10.1" TargetMode="External"/><Relationship Id="rId318" Type="http://schemas.openxmlformats.org/officeDocument/2006/relationships/hyperlink" Target="http://enstru.skc.kz/ru/ntru/detail/?kpved=25.11.23.00.00.12.12.10.2" TargetMode="External"/><Relationship Id="rId525" Type="http://schemas.openxmlformats.org/officeDocument/2006/relationships/hyperlink" Target="http://enstru.skc.kz/ru/ntru/detail/?kpved=16.21.14.00.10.00.00.04.1" TargetMode="External"/><Relationship Id="rId567" Type="http://schemas.openxmlformats.org/officeDocument/2006/relationships/hyperlink" Target="http://enstru.skc.kz/ru/ntru/detail/?kpved=25.94.11.00.00.13.10.10.1" TargetMode="External"/><Relationship Id="rId732" Type="http://schemas.openxmlformats.org/officeDocument/2006/relationships/hyperlink" Target="http://enstru.skc.kz/ru/ntru/detail/?kpved=23.49.11.00.00.00.00.32.1" TargetMode="External"/><Relationship Id="rId99" Type="http://schemas.openxmlformats.org/officeDocument/2006/relationships/hyperlink" Target="http://enstru.skc.kz/ru/ntru/detail/?kpved=25.94.12.00.00.11.10.14.3" TargetMode="External"/><Relationship Id="rId122" Type="http://schemas.openxmlformats.org/officeDocument/2006/relationships/hyperlink" Target="http://enstru.skc.kz/ru/ntru/detail/?kpved=28.14.13.13.00.00.00.04.1" TargetMode="External"/><Relationship Id="rId164" Type="http://schemas.openxmlformats.org/officeDocument/2006/relationships/hyperlink" Target="http://enstru.skc.kz/ru/ntru/detail/?kpved=30.99.10.00.00.00.20.10.1" TargetMode="External"/><Relationship Id="rId371" Type="http://schemas.openxmlformats.org/officeDocument/2006/relationships/hyperlink" Target="http://enstru.skc.kz/ru/ntru/detail/?kpved=22.21.29.00.00.23.33.15.1" TargetMode="External"/><Relationship Id="rId774" Type="http://schemas.openxmlformats.org/officeDocument/2006/relationships/hyperlink" Target="http://enstru.skc.kz/ru/ntru/detail/?kpved=20.30.11.00.00.00.10.50.1" TargetMode="External"/><Relationship Id="rId427" Type="http://schemas.openxmlformats.org/officeDocument/2006/relationships/hyperlink" Target="http://enstru.skc.kz/ru/ntru/detail/?kpved=23.42.10.11.10.00.00.01.1" TargetMode="External"/><Relationship Id="rId469" Type="http://schemas.openxmlformats.org/officeDocument/2006/relationships/hyperlink" Target="http://enstru.skc.kz/ru/ntru/detail/?kpved=25.73.30.00.00.19.11.11.1" TargetMode="External"/><Relationship Id="rId634" Type="http://schemas.openxmlformats.org/officeDocument/2006/relationships/hyperlink" Target="http://enstru.skc.kz/ru/ntru/detail/?kpved=24.20.40.00.16.10.10.11.1" TargetMode="External"/><Relationship Id="rId676" Type="http://schemas.openxmlformats.org/officeDocument/2006/relationships/hyperlink" Target="http://enstru.skc.kz/ru/ntru/detail/?kpved=23.52.10.00.00.10.10.25.2" TargetMode="External"/><Relationship Id="rId26" Type="http://schemas.openxmlformats.org/officeDocument/2006/relationships/hyperlink" Target="http://enstru.skc.kz/ru/ntru/detail/?kpved=22.21.29.00.00.51.10.10.1" TargetMode="External"/><Relationship Id="rId231" Type="http://schemas.openxmlformats.org/officeDocument/2006/relationships/hyperlink" Target="http://enstru.skc.kz/ru/ntru/detail/?kpved=25.72.14.00.00.60.50.10.1" TargetMode="External"/><Relationship Id="rId273" Type="http://schemas.openxmlformats.org/officeDocument/2006/relationships/hyperlink" Target="http://enstru.skc.kz/ru/ntru/detail/?kpved=20.30.21.00.21.06.11.11.2" TargetMode="External"/><Relationship Id="rId329" Type="http://schemas.openxmlformats.org/officeDocument/2006/relationships/hyperlink" Target="http://enstru.skc.kz/ru/ntru/detail/?kpved=20.59.59.00.12.00.00.29.1" TargetMode="External"/><Relationship Id="rId480" Type="http://schemas.openxmlformats.org/officeDocument/2006/relationships/hyperlink" Target="http://enstru.skc.kz/ru/ntru/detail/?kpved=25.73.40.00.00.12.10.01.2" TargetMode="External"/><Relationship Id="rId536" Type="http://schemas.openxmlformats.org/officeDocument/2006/relationships/hyperlink" Target="http://enstru.skc.kz/ru/ntru/detail/?kpved=20.30.21.00.21.06.11.11.2" TargetMode="External"/><Relationship Id="rId701" Type="http://schemas.openxmlformats.org/officeDocument/2006/relationships/hyperlink" Target="http://enstru.skc.kz/ru/ntru/detail/?kpved=22.21.29.00.00.60.10.10.1" TargetMode="External"/><Relationship Id="rId68" Type="http://schemas.openxmlformats.org/officeDocument/2006/relationships/hyperlink" Target="http://enstru.skc.kz/ru/ntru/detail/?kpved=22.19.35.00.00.00.70.20.4" TargetMode="External"/><Relationship Id="rId133" Type="http://schemas.openxmlformats.org/officeDocument/2006/relationships/hyperlink" Target="http://enstru.skc.kz/ru/ntru/detail/?kpved=28.30.60.00.00.00.10.13.1" TargetMode="External"/><Relationship Id="rId175" Type="http://schemas.openxmlformats.org/officeDocument/2006/relationships/hyperlink" Target="http://enstru.skc.kz/ru/ntru/detail/?kpved=23.31.10.01.02.01.21.50.1" TargetMode="External"/><Relationship Id="rId340" Type="http://schemas.openxmlformats.org/officeDocument/2006/relationships/hyperlink" Target="http://enstru.skc.kz/ru/ntru/detail/?kpved=22.21.21.00.00.40.11.10.2" TargetMode="External"/><Relationship Id="rId578" Type="http://schemas.openxmlformats.org/officeDocument/2006/relationships/hyperlink" Target="http://enstru.skc.kz/ru/ntru/detail/?kpved=22.19.24.00.00.00.11.14.1" TargetMode="External"/><Relationship Id="rId743" Type="http://schemas.openxmlformats.org/officeDocument/2006/relationships/hyperlink" Target="http://enstru.skc.kz/ru/ntru/detail/?kpved=32.91.19.00.00.00.20.05.1" TargetMode="External"/><Relationship Id="rId785" Type="http://schemas.openxmlformats.org/officeDocument/2006/relationships/hyperlink" Target="http://enstru.skc.kz/ru/ntru/detail/?kpved=20.59.59.00.16.00.00.12.2" TargetMode="External"/><Relationship Id="rId200" Type="http://schemas.openxmlformats.org/officeDocument/2006/relationships/hyperlink" Target="http://enstru.skc.kz/ru/ntru/detail/?kpved=25.12.10.00.00.17.13.10.1" TargetMode="External"/><Relationship Id="rId382" Type="http://schemas.openxmlformats.org/officeDocument/2006/relationships/hyperlink" Target="http://enstru.skc.kz/ru/ntru/detail/?kpved=28.14.13.15.00.00.00.03.1" TargetMode="External"/><Relationship Id="rId438" Type="http://schemas.openxmlformats.org/officeDocument/2006/relationships/hyperlink" Target="http://enstru.skc.kz/ru/ntru/detail/?kpved=25.72.14.00.00.62.15.10.1" TargetMode="External"/><Relationship Id="rId603" Type="http://schemas.openxmlformats.org/officeDocument/2006/relationships/hyperlink" Target="http://enstru.skc.kz/ru/ntru/detail/?kpved=23.65.12.00.20.10.00.04.1" TargetMode="External"/><Relationship Id="rId645" Type="http://schemas.openxmlformats.org/officeDocument/2006/relationships/hyperlink" Target="http://enstru.skc.kz/ru/ntru/detail/?kpved=22.21.21.00.00.12.40.16.1" TargetMode="External"/><Relationship Id="rId687" Type="http://schemas.openxmlformats.org/officeDocument/2006/relationships/hyperlink" Target="http://enstru.skc.kz/ru/ntru/detail/?kpved=25.93.14.00.00.10.13.12.1" TargetMode="External"/><Relationship Id="rId242" Type="http://schemas.openxmlformats.org/officeDocument/2006/relationships/hyperlink" Target="http://enstru.skc.kz/ru/ntru/detail/?kpved=32.30.15.00.00.00.14.60.1" TargetMode="External"/><Relationship Id="rId284" Type="http://schemas.openxmlformats.org/officeDocument/2006/relationships/hyperlink" Target="http://enstru.skc.kz/ru/ntru/detail/?kpved=24.42.24.00.00.14.10.11.2" TargetMode="External"/><Relationship Id="rId491" Type="http://schemas.openxmlformats.org/officeDocument/2006/relationships/hyperlink" Target="http://enstru.skc.kz/ru/ntru/detail/?kpved=25.73.30.00.00.25.10.10.1" TargetMode="External"/><Relationship Id="rId505" Type="http://schemas.openxmlformats.org/officeDocument/2006/relationships/hyperlink" Target="http://enstru.skc.kz/ru/ntru/detail/?kpved=25.73.30.00.00.18.10.18.1" TargetMode="External"/><Relationship Id="rId712" Type="http://schemas.openxmlformats.org/officeDocument/2006/relationships/hyperlink" Target="http://enstru.skc.kz/ru/ntru/detail/?kpved=26.30.60.00.00.00.22.12.2" TargetMode="External"/><Relationship Id="rId37" Type="http://schemas.openxmlformats.org/officeDocument/2006/relationships/hyperlink" Target="http://enstru.skc.kz/ru/ntru/detail/?kpved=28.30.52.00.00.00.10.30.1" TargetMode="External"/><Relationship Id="rId79" Type="http://schemas.openxmlformats.org/officeDocument/2006/relationships/hyperlink" Target="http://enstru.skc.kz/ru/ntru/detail/?kpved=25.94.13.00.00.10.41.10.3" TargetMode="External"/><Relationship Id="rId102" Type="http://schemas.openxmlformats.org/officeDocument/2006/relationships/hyperlink" Target="http://enstru.skc.kz/ru/ntru/detail/?kpved=25.72.11.00.00.12.14.10.1" TargetMode="External"/><Relationship Id="rId144" Type="http://schemas.openxmlformats.org/officeDocument/2006/relationships/hyperlink" Target="http://enstru.skc.kz/ru/ntru/detail/?kpved=25.94.13.00.00.10.30.10.1" TargetMode="External"/><Relationship Id="rId547" Type="http://schemas.openxmlformats.org/officeDocument/2006/relationships/hyperlink" Target="http://enstru.skc.kz/ru/ntru/detail/?kpved=13.99.19.00.00.00.20.12.1" TargetMode="External"/><Relationship Id="rId589" Type="http://schemas.openxmlformats.org/officeDocument/2006/relationships/hyperlink" Target="http://enstru.skc.kz/ru/ntru/detail/?kpved=27.12.24.19.11.11.11.10.1" TargetMode="External"/><Relationship Id="rId754" Type="http://schemas.openxmlformats.org/officeDocument/2006/relationships/hyperlink" Target="http://enstru.skc.kz/ru/ntru/detail/?kpved=25.73.30.00.00.32.47.10.1" TargetMode="External"/><Relationship Id="rId796" Type="http://schemas.openxmlformats.org/officeDocument/2006/relationships/hyperlink" Target="http://enstru.skc.kz/ru/ntru/detail/?kpved=22.19.35.00.00.00.70.20.4" TargetMode="External"/><Relationship Id="rId90" Type="http://schemas.openxmlformats.org/officeDocument/2006/relationships/hyperlink" Target="http://enstru.skc.kz/ru/ntru/detail/?kpved=25.73.40.00.00.12.10.01.2" TargetMode="External"/><Relationship Id="rId186" Type="http://schemas.openxmlformats.org/officeDocument/2006/relationships/hyperlink" Target="http://enstru.skc.kz/ru/ntru/detail/?kpved=25.94.12.00.00.12.12.10.2" TargetMode="External"/><Relationship Id="rId351" Type="http://schemas.openxmlformats.org/officeDocument/2006/relationships/hyperlink" Target="http://enstru.skc.kz/ru/ntru/detail/?kpved=22.21.29.00.00.17.10.11.1" TargetMode="External"/><Relationship Id="rId393" Type="http://schemas.openxmlformats.org/officeDocument/2006/relationships/hyperlink" Target="http://enstru.skc.kz/ru/ntru/detail/?kpved=20.30.21.00.21.04.15.20.2" TargetMode="External"/><Relationship Id="rId407" Type="http://schemas.openxmlformats.org/officeDocument/2006/relationships/hyperlink" Target="http://enstru.skc.kz/ru/ntru/detail/?kpved=25.93.14.00.00.10.17.29.1" TargetMode="External"/><Relationship Id="rId449" Type="http://schemas.openxmlformats.org/officeDocument/2006/relationships/hyperlink" Target="http://enstru.skc.kz/ru/ntru/detail/?kpved=32.91.12.00.00.00.14.18.1" TargetMode="External"/><Relationship Id="rId614" Type="http://schemas.openxmlformats.org/officeDocument/2006/relationships/hyperlink" Target="http://enstru.skc.kz/ru/ntru/detail/?kpved=22.21.21.00.00.40.01.06.1" TargetMode="External"/><Relationship Id="rId656" Type="http://schemas.openxmlformats.org/officeDocument/2006/relationships/hyperlink" Target="http://enstru.skc.kz/ru/ntru/detail/?kpved=13.94.20.00.00.00.30.10.1" TargetMode="External"/><Relationship Id="rId211" Type="http://schemas.openxmlformats.org/officeDocument/2006/relationships/hyperlink" Target="http://enstru.skc.kz/ru/ntru/detail/?kpved=25.99.29.00.02.13.17.10.1" TargetMode="External"/><Relationship Id="rId253" Type="http://schemas.openxmlformats.org/officeDocument/2006/relationships/hyperlink" Target="http://enstru.skc.kz/ru/ntru/detail/?kpved=25.73.30.00.00.19.11.11.1" TargetMode="External"/><Relationship Id="rId295" Type="http://schemas.openxmlformats.org/officeDocument/2006/relationships/hyperlink" Target="http://enstru.skc.kz/ru/ntru/detail/?kpved=28.15.10.00.00.00.11.11.1" TargetMode="External"/><Relationship Id="rId309" Type="http://schemas.openxmlformats.org/officeDocument/2006/relationships/hyperlink" Target="http://enstru.skc.kz/ru/ntru/detail/?kpved=22.21.29.00.00.50.10.11.1" TargetMode="External"/><Relationship Id="rId460" Type="http://schemas.openxmlformats.org/officeDocument/2006/relationships/hyperlink" Target="http://enstru.skc.kz/ru/ntru/detail/?kpved=25.73.30.00.00.14.20.19.1" TargetMode="External"/><Relationship Id="rId516" Type="http://schemas.openxmlformats.org/officeDocument/2006/relationships/hyperlink" Target="http://enstru.skc.kz/ru/ntru/detail/?kpved=25.94.12.00.00.11.10.14.3" TargetMode="External"/><Relationship Id="rId698" Type="http://schemas.openxmlformats.org/officeDocument/2006/relationships/hyperlink" Target="http://enstru.skc.kz/ru/ntru/detail/?kpved=25.94.12.00.00.11.10.10.3" TargetMode="External"/><Relationship Id="rId48" Type="http://schemas.openxmlformats.org/officeDocument/2006/relationships/hyperlink" Target="http://enstru.skc.kz/ru/ntru/detail/?kpved=22.21.29.00.00.27.05.10.1" TargetMode="External"/><Relationship Id="rId113" Type="http://schemas.openxmlformats.org/officeDocument/2006/relationships/hyperlink" Target="http://enstru.skc.kz/ru/ntru/detail/?kpved=20.30.21.00.21.11.05.00.1" TargetMode="External"/><Relationship Id="rId320" Type="http://schemas.openxmlformats.org/officeDocument/2006/relationships/hyperlink" Target="http://enstru.skc.kz/ru/ntru/detail/?kpved=24.44.26.00.00.11.11.11.1" TargetMode="External"/><Relationship Id="rId558" Type="http://schemas.openxmlformats.org/officeDocument/2006/relationships/hyperlink" Target="http://enstru.skc.kz/ru/ntru/detail/?kpved=23.52.10.00.00.10.10.25.2" TargetMode="External"/><Relationship Id="rId723" Type="http://schemas.openxmlformats.org/officeDocument/2006/relationships/hyperlink" Target="http://enstru.skc.kz/ru/ntru/detail/?kpved=27.51.23.00.00.04.02.20.1" TargetMode="External"/><Relationship Id="rId765" Type="http://schemas.openxmlformats.org/officeDocument/2006/relationships/hyperlink" Target="http://enstru.skc.kz/ru/ntru/detail/?kpved=20.30.11.00.00.00.10.50.1" TargetMode="External"/><Relationship Id="rId155" Type="http://schemas.openxmlformats.org/officeDocument/2006/relationships/hyperlink" Target="http://enstru.skc.kz/ru/ntru/detail/?kpved=22.23.11.00.00.30.30.10.1" TargetMode="External"/><Relationship Id="rId197" Type="http://schemas.openxmlformats.org/officeDocument/2006/relationships/hyperlink" Target="http://enstru.skc.kz/ru/ntru/detail/?kpved=22.21.21.00.00.40.21.10.2" TargetMode="External"/><Relationship Id="rId362" Type="http://schemas.openxmlformats.org/officeDocument/2006/relationships/hyperlink" Target="http://enstru.skc.kz/ru/ntru/detail/?kpved=22.21.29.00.00.12.10.12.1" TargetMode="External"/><Relationship Id="rId418" Type="http://schemas.openxmlformats.org/officeDocument/2006/relationships/hyperlink" Target="http://enstru.skc.kz/ru/ntru/detail/?kpved=23.31.10.01.01.01.01.00.1" TargetMode="External"/><Relationship Id="rId625" Type="http://schemas.openxmlformats.org/officeDocument/2006/relationships/hyperlink" Target="http://enstru.skc.kz/ru/ntru/detail/?kpved=22.21.29.00.00.17.10.12.1" TargetMode="External"/><Relationship Id="rId222" Type="http://schemas.openxmlformats.org/officeDocument/2006/relationships/hyperlink" Target="http://enstru.skc.kz/ru/ntru/detail/?kpved=23.49.11.00.00.00.00.32.1" TargetMode="External"/><Relationship Id="rId264" Type="http://schemas.openxmlformats.org/officeDocument/2006/relationships/hyperlink" Target="http://enstru.skc.kz/ru/ntru/detail/?kpved=23.91.11.00.00.10.01.01.1" TargetMode="External"/><Relationship Id="rId471" Type="http://schemas.openxmlformats.org/officeDocument/2006/relationships/hyperlink" Target="http://enstru.skc.kz/ru/ntru/detail/?kpved=25.94.13.00.00.10.35.20.1" TargetMode="External"/><Relationship Id="rId667" Type="http://schemas.openxmlformats.org/officeDocument/2006/relationships/hyperlink" Target="http://enstru.skc.kz/ru/ntru/detail/?kpved=22.19.34.00.00.26.11.04.1" TargetMode="External"/><Relationship Id="rId17" Type="http://schemas.openxmlformats.org/officeDocument/2006/relationships/hyperlink" Target="http://enstru.skc.kz/ru/ntru/detail/?kpved=22.21.29.00.00.23.33.19.1" TargetMode="External"/><Relationship Id="rId59" Type="http://schemas.openxmlformats.org/officeDocument/2006/relationships/hyperlink" Target="http://enstru.skc.kz/ru/ntru/detail/?kpved=24.34.13.00.00.20.16.11.1" TargetMode="External"/><Relationship Id="rId124" Type="http://schemas.openxmlformats.org/officeDocument/2006/relationships/hyperlink" Target="http://enstru.skc.kz/ru/ntru/detail/?kpved=32.91.11.00.00.00.15.60.1" TargetMode="External"/><Relationship Id="rId527" Type="http://schemas.openxmlformats.org/officeDocument/2006/relationships/hyperlink" Target="http://enstru.skc.kz/ru/ntru/detail/?kpved=25.12.10.00.00.11.11.10.1" TargetMode="External"/><Relationship Id="rId569" Type="http://schemas.openxmlformats.org/officeDocument/2006/relationships/hyperlink" Target="http://enstru.skc.kz/ru/ntru/detail/?kpved=24.45.30.01.15.11.12.11.2" TargetMode="External"/><Relationship Id="rId734" Type="http://schemas.openxmlformats.org/officeDocument/2006/relationships/hyperlink" Target="http://enstru.skc.kz/ru/ntru/detail/?kpved=23.49.11.00.00.00.00.32.1" TargetMode="External"/><Relationship Id="rId776" Type="http://schemas.openxmlformats.org/officeDocument/2006/relationships/hyperlink" Target="http://enstru.skc.kz/ru/ntru/detail/?kpved=27.51.27.00.01.00.00.20.1" TargetMode="External"/><Relationship Id="rId70" Type="http://schemas.openxmlformats.org/officeDocument/2006/relationships/hyperlink" Target="http://enstru.skc.kz/ru/ntru/detail/?kpved=15.12.12.00.00.00.38.30.1" TargetMode="External"/><Relationship Id="rId166" Type="http://schemas.openxmlformats.org/officeDocument/2006/relationships/hyperlink" Target="http://enstru.skc.kz/ru/ntru/detail/?kpved=27.51.21.01.01.00.00.30.1" TargetMode="External"/><Relationship Id="rId331" Type="http://schemas.openxmlformats.org/officeDocument/2006/relationships/hyperlink" Target="http://enstru.skc.kz/ru/ntru/detail/?kpved=23.99.11.04.01.00.00.12.1" TargetMode="External"/><Relationship Id="rId373" Type="http://schemas.openxmlformats.org/officeDocument/2006/relationships/hyperlink" Target="http://enstru.skc.kz/ru/ntru/detail/?kpved=22.21.21.00.00.12.60.10.1" TargetMode="External"/><Relationship Id="rId429" Type="http://schemas.openxmlformats.org/officeDocument/2006/relationships/hyperlink" Target="http://enstru.skc.kz/ru/ntru/detail/?kpved=32.30.15.00.00.00.14.60.1" TargetMode="External"/><Relationship Id="rId580" Type="http://schemas.openxmlformats.org/officeDocument/2006/relationships/hyperlink" Target="http://enstru.skc.kz/ru/ntru/detail/?kpved=17.12.77.20.10.10.10.10.1" TargetMode="External"/><Relationship Id="rId636" Type="http://schemas.openxmlformats.org/officeDocument/2006/relationships/hyperlink" Target="http://enstru.skc.kz/ru/ntru/detail/?kpved=24.20.40.00.11.11.10.11.1" TargetMode="External"/><Relationship Id="rId801" Type="http://schemas.openxmlformats.org/officeDocument/2006/relationships/hyperlink" Target="http://enstru.skc.kz/ru/ntru/detail/?kpved=25.72.14.00.00.62.15.10.1" TargetMode="External"/><Relationship Id="rId1" Type="http://schemas.openxmlformats.org/officeDocument/2006/relationships/hyperlink" Target="http://enstru.skc.kz/ru/ntru/detail/?kpved=29.32.30.00.07.00.04.02.1" TargetMode="External"/><Relationship Id="rId233" Type="http://schemas.openxmlformats.org/officeDocument/2006/relationships/hyperlink" Target="http://enstru.skc.kz/ru/ntru/detail/?kpved=25.72.11.00.00.12.14.10.1" TargetMode="External"/><Relationship Id="rId440" Type="http://schemas.openxmlformats.org/officeDocument/2006/relationships/hyperlink" Target="http://enstru.skc.kz/ru/ntru/detail/?kpved=13.92.22.00.00.00.10.15.1" TargetMode="External"/><Relationship Id="rId678" Type="http://schemas.openxmlformats.org/officeDocument/2006/relationships/hyperlink" Target="http://enstru.skc.kz/ru/ntru/detail/?kpved=20.59.59.00.17.10.10.10.1" TargetMode="External"/><Relationship Id="rId28" Type="http://schemas.openxmlformats.org/officeDocument/2006/relationships/hyperlink" Target="http://enstru.skc.kz/ru/ntru/detail/?kpved=25.72.11.00.00.12.14.10.1" TargetMode="External"/><Relationship Id="rId275" Type="http://schemas.openxmlformats.org/officeDocument/2006/relationships/hyperlink" Target="http://enstru.skc.kz/ru/ntru/detail/?kpved=20.30.21.00.21.06.11.10.1" TargetMode="External"/><Relationship Id="rId300" Type="http://schemas.openxmlformats.org/officeDocument/2006/relationships/hyperlink" Target="http://enstru.skc.kz/ru/ntru/detail/?kpved=28.25.11.00.00.00.17.10.1" TargetMode="External"/><Relationship Id="rId482" Type="http://schemas.openxmlformats.org/officeDocument/2006/relationships/hyperlink" Target="http://enstru.skc.kz/ru/ntru/detail/?kpved=25.73.30.00.00.21.10.12.1" TargetMode="External"/><Relationship Id="rId538" Type="http://schemas.openxmlformats.org/officeDocument/2006/relationships/hyperlink" Target="http://enstru.skc.kz/ru/ntru/detail/?kpved=20.30.21.00.21.06.11.10.1" TargetMode="External"/><Relationship Id="rId703" Type="http://schemas.openxmlformats.org/officeDocument/2006/relationships/hyperlink" Target="http://enstru.skc.kz/ru/ntru/detail/?kpved=23.31.10.01.01.01.01.00.1" TargetMode="External"/><Relationship Id="rId745" Type="http://schemas.openxmlformats.org/officeDocument/2006/relationships/hyperlink" Target="http://enstru.skc.kz/ru/ntru/detail/?kpved=32.91.12.00.00.00.14.18.1" TargetMode="External"/><Relationship Id="rId81" Type="http://schemas.openxmlformats.org/officeDocument/2006/relationships/hyperlink" Target="http://enstru.skc.kz/ru/ntru/detail/?kpved=25.73.30.00.00.19.10.10.1" TargetMode="External"/><Relationship Id="rId135" Type="http://schemas.openxmlformats.org/officeDocument/2006/relationships/hyperlink" Target="http://enstru.skc.kz/ru/ntru/detail/?kpved=28.30.60.00.00.00.40.11.1" TargetMode="External"/><Relationship Id="rId177" Type="http://schemas.openxmlformats.org/officeDocument/2006/relationships/hyperlink" Target="http://enstru.skc.kz/ru/ntru/detail/?kpved=20.30.21.00.21.02.12.18.2" TargetMode="External"/><Relationship Id="rId342" Type="http://schemas.openxmlformats.org/officeDocument/2006/relationships/hyperlink" Target="http://enstru.skc.kz/ru/ntru/detail/?kpved=22.21.21.00.00.40.21.15.2" TargetMode="External"/><Relationship Id="rId384" Type="http://schemas.openxmlformats.org/officeDocument/2006/relationships/hyperlink" Target="http://enstru.skc.kz/ru/ntru/detail/?kpved=27.51.27.00.01.00.00.20.1" TargetMode="External"/><Relationship Id="rId591" Type="http://schemas.openxmlformats.org/officeDocument/2006/relationships/hyperlink" Target="http://enstru.skc.kz/ru/ntru/detail/?kpved=28.14.13.41.00.00.00.03.1" TargetMode="External"/><Relationship Id="rId605" Type="http://schemas.openxmlformats.org/officeDocument/2006/relationships/hyperlink" Target="http://enstru.skc.kz/ru/ntru/detail/?kpved=23.65.12.00.20.10.00.04.1" TargetMode="External"/><Relationship Id="rId787" Type="http://schemas.openxmlformats.org/officeDocument/2006/relationships/hyperlink" Target="http://enstru.skc.kz/ru/ntru/detail/?kpved=25.94.12.00.00.11.10.10.3" TargetMode="External"/><Relationship Id="rId202" Type="http://schemas.openxmlformats.org/officeDocument/2006/relationships/hyperlink" Target="http://enstru.skc.kz/ru/ntru/detail/?kpved=25.72.13.00.00.10.11.10.1" TargetMode="External"/><Relationship Id="rId244" Type="http://schemas.openxmlformats.org/officeDocument/2006/relationships/hyperlink" Target="http://enstru.skc.kz/ru/ntru/detail/?kpved=25.94.13.00.00.10.35.10.1" TargetMode="External"/><Relationship Id="rId647" Type="http://schemas.openxmlformats.org/officeDocument/2006/relationships/hyperlink" Target="http://enstru.skc.kz/ru/ntru/detail/?kpved=23.42.10.12.00.00.12.40.1" TargetMode="External"/><Relationship Id="rId689" Type="http://schemas.openxmlformats.org/officeDocument/2006/relationships/hyperlink" Target="http://enstru.skc.kz/ru/ntru/detail/?kpved=25.93.14.00.00.10.14.15.1" TargetMode="External"/><Relationship Id="rId39" Type="http://schemas.openxmlformats.org/officeDocument/2006/relationships/hyperlink" Target="http://enstru.skc.kz/ru/ntru/detail/?kpved=27.90.31.00.01.02.05.10.1" TargetMode="External"/><Relationship Id="rId286" Type="http://schemas.openxmlformats.org/officeDocument/2006/relationships/hyperlink" Target="http://enstru.skc.kz/ru/ntru/detail/?kpved=24.20.40.00.21.10.10.11.1" TargetMode="External"/><Relationship Id="rId451" Type="http://schemas.openxmlformats.org/officeDocument/2006/relationships/hyperlink" Target="http://enstru.skc.kz/ru/ntru/detail/?kpved=32.91.19.00.00.00.20.05.1" TargetMode="External"/><Relationship Id="rId493" Type="http://schemas.openxmlformats.org/officeDocument/2006/relationships/hyperlink" Target="http://enstru.skc.kz/ru/ntru/detail/?kpved=25.73.30.00.00.10.16.13.1" TargetMode="External"/><Relationship Id="rId507" Type="http://schemas.openxmlformats.org/officeDocument/2006/relationships/hyperlink" Target="http://enstru.skc.kz/ru/ntru/detail/?kpved=23.91.11.00.00.10.02.01.1" TargetMode="External"/><Relationship Id="rId549" Type="http://schemas.openxmlformats.org/officeDocument/2006/relationships/hyperlink" Target="http://enstru.skc.kz/ru/ntru/detail/?kpved=25.93.13.00.00.10.21.12.1" TargetMode="External"/><Relationship Id="rId714" Type="http://schemas.openxmlformats.org/officeDocument/2006/relationships/hyperlink" Target="http://enstru.skc.kz/ru/ntru/detail/?kpved=27.51.23.00.00.03.02.20.1" TargetMode="External"/><Relationship Id="rId756" Type="http://schemas.openxmlformats.org/officeDocument/2006/relationships/hyperlink" Target="http://enstru.skc.kz/ru/ntru/detail/?kpved=25.94.12.00.00.11.10.10.3" TargetMode="External"/><Relationship Id="rId50" Type="http://schemas.openxmlformats.org/officeDocument/2006/relationships/hyperlink" Target="http://enstru.skc.kz/ru/ntru/detail/?kpved=24.45.30.01.15.11.12.11.2" TargetMode="External"/><Relationship Id="rId104" Type="http://schemas.openxmlformats.org/officeDocument/2006/relationships/hyperlink" Target="http://enstru.skc.kz/ru/ntru/detail/?kpved=13.99.19.00.00.00.20.12.1" TargetMode="External"/><Relationship Id="rId146" Type="http://schemas.openxmlformats.org/officeDocument/2006/relationships/hyperlink" Target="http://enstru.skc.kz/ru/ntru/detail/?kpved=28.94.21.00.00.00.05.06.1" TargetMode="External"/><Relationship Id="rId188" Type="http://schemas.openxmlformats.org/officeDocument/2006/relationships/hyperlink" Target="http://enstru.skc.kz/ru/ntru/detail/?kpved=27.20.11.00.00.00.07.30.1" TargetMode="External"/><Relationship Id="rId311" Type="http://schemas.openxmlformats.org/officeDocument/2006/relationships/hyperlink" Target="http://enstru.skc.kz/ru/ntru/detail/?kpved=24.10.43.00.00.10.20.10.4" TargetMode="External"/><Relationship Id="rId353" Type="http://schemas.openxmlformats.org/officeDocument/2006/relationships/hyperlink" Target="http://enstru.skc.kz/ru/ntru/detail/?kpved=22.21.29.00.00.17.10.12.1" TargetMode="External"/><Relationship Id="rId395" Type="http://schemas.openxmlformats.org/officeDocument/2006/relationships/hyperlink" Target="http://enstru.skc.kz/ru/ntru/detail/?kpved=20.30.21.00.21.06.11.10.2" TargetMode="External"/><Relationship Id="rId409" Type="http://schemas.openxmlformats.org/officeDocument/2006/relationships/hyperlink" Target="http://enstru.skc.kz/ru/ntru/detail/?kpved=25.93.14.00.00.10.17.31.1" TargetMode="External"/><Relationship Id="rId560" Type="http://schemas.openxmlformats.org/officeDocument/2006/relationships/hyperlink" Target="http://enstru.skc.kz/ru/ntru/detail/?kpved=24.33.11.00.10.13.10.10.1" TargetMode="External"/><Relationship Id="rId798" Type="http://schemas.openxmlformats.org/officeDocument/2006/relationships/hyperlink" Target="http://enstru.skc.kz/ru/ntru/detail/?kpved=28.25.30.10.10.10.01.03.1" TargetMode="External"/><Relationship Id="rId92" Type="http://schemas.openxmlformats.org/officeDocument/2006/relationships/hyperlink" Target="http://enstru.skc.kz/ru/ntru/detail/?kpved=25.73.30.00.00.21.10.12.1" TargetMode="External"/><Relationship Id="rId213" Type="http://schemas.openxmlformats.org/officeDocument/2006/relationships/hyperlink" Target="http://enstru.skc.kz/ru/ntru/detail/?kpved=28.30.60.00.00.00.40.15.1" TargetMode="External"/><Relationship Id="rId420" Type="http://schemas.openxmlformats.org/officeDocument/2006/relationships/hyperlink" Target="http://enstru.skc.kz/ru/ntru/detail/?kpved=23.31.10.01.03.02.01.15.1" TargetMode="External"/><Relationship Id="rId616" Type="http://schemas.openxmlformats.org/officeDocument/2006/relationships/hyperlink" Target="http://enstru.skc.kz/ru/ntru/detail/?kpved=22.21.21.00.00.40.21.10.2" TargetMode="External"/><Relationship Id="rId658" Type="http://schemas.openxmlformats.org/officeDocument/2006/relationships/hyperlink" Target="http://enstru.skc.kz/ru/ntru/detail/?kpved=22.21.29.00.00.23.33.15.1" TargetMode="External"/><Relationship Id="rId255" Type="http://schemas.openxmlformats.org/officeDocument/2006/relationships/hyperlink" Target="http://enstru.skc.kz/ru/ntru/detail/?kpved=25.94.13.00.00.10.35.20.1" TargetMode="External"/><Relationship Id="rId297" Type="http://schemas.openxmlformats.org/officeDocument/2006/relationships/hyperlink" Target="http://enstru.skc.kz/ru/ntru/detail/?kpved=24.10.31.00.00.12.10.11.1" TargetMode="External"/><Relationship Id="rId462" Type="http://schemas.openxmlformats.org/officeDocument/2006/relationships/hyperlink" Target="http://enstru.skc.kz/ru/ntru/detail/?kpved=25.73.30.00.00.30.12.01.1" TargetMode="External"/><Relationship Id="rId518" Type="http://schemas.openxmlformats.org/officeDocument/2006/relationships/hyperlink" Target="http://enstru.skc.kz/ru/ntru/detail/?kpved=25.94.12.00.00.11.10.10.3" TargetMode="External"/><Relationship Id="rId725" Type="http://schemas.openxmlformats.org/officeDocument/2006/relationships/hyperlink" Target="http://enstru.skc.kz/ru/ntru/detail/?kpved=23.51.12.00.00.10.10.10.2" TargetMode="External"/><Relationship Id="rId115" Type="http://schemas.openxmlformats.org/officeDocument/2006/relationships/hyperlink" Target="http://enstru.skc.kz/ru/ntru/detail/?kpved=32.99.11.00.00.00.14.11.1" TargetMode="External"/><Relationship Id="rId157" Type="http://schemas.openxmlformats.org/officeDocument/2006/relationships/hyperlink" Target="http://enstru.skc.kz/ru/ntru/detail/?kpved=25.72.14.00.00.60.50.10.1" TargetMode="External"/><Relationship Id="rId322" Type="http://schemas.openxmlformats.org/officeDocument/2006/relationships/hyperlink" Target="http://enstru.skc.kz/ru/ntru/detail/?kpved=22.19.42.00.00.10.30.27.1" TargetMode="External"/><Relationship Id="rId364" Type="http://schemas.openxmlformats.org/officeDocument/2006/relationships/hyperlink" Target="http://enstru.skc.kz/ru/ntru/detail/?kpved=22.21.29.00.00.12.10.12.1" TargetMode="External"/><Relationship Id="rId767" Type="http://schemas.openxmlformats.org/officeDocument/2006/relationships/hyperlink" Target="http://enstru.skc.kz/ru/ntru/detail/?kpved=17.24.11.30.00.00.00.20.1" TargetMode="External"/><Relationship Id="rId61" Type="http://schemas.openxmlformats.org/officeDocument/2006/relationships/hyperlink" Target="http://enstru.skc.kz/ru/ntru/detail/?kpved=20.14.19.00.00.20.50.10.3" TargetMode="External"/><Relationship Id="rId199" Type="http://schemas.openxmlformats.org/officeDocument/2006/relationships/hyperlink" Target="http://enstru.skc.kz/ru/ntru/detail/?kpved=32.91.12.00.00.00.14.18.1" TargetMode="External"/><Relationship Id="rId571" Type="http://schemas.openxmlformats.org/officeDocument/2006/relationships/hyperlink" Target="http://enstru.skc.kz/ru/ntru/detail/?kpved=29.32.30.00.15.00.08.09.1" TargetMode="External"/><Relationship Id="rId627" Type="http://schemas.openxmlformats.org/officeDocument/2006/relationships/hyperlink" Target="http://enstru.skc.kz/ru/ntru/detail/?kpved=22.21.29.00.00.17.10.10.1" TargetMode="External"/><Relationship Id="rId669" Type="http://schemas.openxmlformats.org/officeDocument/2006/relationships/hyperlink" Target="http://enstru.skc.kz/ru/ntru/detail/?kpved=25.94.13.00.00.10.35.10.1" TargetMode="External"/><Relationship Id="rId19" Type="http://schemas.openxmlformats.org/officeDocument/2006/relationships/hyperlink" Target="http://enstru.skc.kz/ru/ntru/detail/?kpved=22.21.29.00.00.23.33.13.1" TargetMode="External"/><Relationship Id="rId224" Type="http://schemas.openxmlformats.org/officeDocument/2006/relationships/hyperlink" Target="http://enstru.skc.kz/ru/ntru/detail/?kpved=32.91.12.00.00.00.14.18.1" TargetMode="External"/><Relationship Id="rId266" Type="http://schemas.openxmlformats.org/officeDocument/2006/relationships/hyperlink" Target="http://enstru.skc.kz/ru/ntru/detail/?kpved=25.73.30.00.00.14.13.11.1" TargetMode="External"/><Relationship Id="rId431" Type="http://schemas.openxmlformats.org/officeDocument/2006/relationships/hyperlink" Target="http://enstru.skc.kz/ru/ntru/detail/?kpved=25.72.11.00.00.12.14.10.1" TargetMode="External"/><Relationship Id="rId473" Type="http://schemas.openxmlformats.org/officeDocument/2006/relationships/hyperlink" Target="http://enstru.skc.kz/ru/ntru/detail/?kpved=25.73.30.00.00.16.21.03.1" TargetMode="External"/><Relationship Id="rId529" Type="http://schemas.openxmlformats.org/officeDocument/2006/relationships/hyperlink" Target="http://enstru.skc.kz/ru/ntru/detail/?kpved=22.21.30.00.00.10.05.10.1" TargetMode="External"/><Relationship Id="rId680" Type="http://schemas.openxmlformats.org/officeDocument/2006/relationships/hyperlink" Target="http://enstru.skc.kz/ru/ntru/detail/?kpved=20.30.21.00.21.04.13.10.2" TargetMode="External"/><Relationship Id="rId736" Type="http://schemas.openxmlformats.org/officeDocument/2006/relationships/hyperlink" Target="http://enstru.skc.kz/ru/ntru/detail/?kpved=22.29.23.50.40.10.11.10.1" TargetMode="External"/><Relationship Id="rId30" Type="http://schemas.openxmlformats.org/officeDocument/2006/relationships/hyperlink" Target="http://enstru.skc.kz/ru/ntru/detail/?kpved=32.91.12.00.00.00.14.18.1" TargetMode="External"/><Relationship Id="rId126" Type="http://schemas.openxmlformats.org/officeDocument/2006/relationships/hyperlink" Target="http://enstru.skc.kz/ru/ntru/detail/?kpved=28.29.60.00.00.10.12.10.1" TargetMode="External"/><Relationship Id="rId168" Type="http://schemas.openxmlformats.org/officeDocument/2006/relationships/hyperlink" Target="http://enstru.skc.kz/ru/ntru/detail/?kpved=20.41.43.00.00.00.20.10.3" TargetMode="External"/><Relationship Id="rId333" Type="http://schemas.openxmlformats.org/officeDocument/2006/relationships/hyperlink" Target="http://enstru.skc.kz/ru/ntru/detail/?kpved=23.65.12.00.20.10.00.04.1" TargetMode="External"/><Relationship Id="rId540" Type="http://schemas.openxmlformats.org/officeDocument/2006/relationships/hyperlink" Target="http://enstru.skc.kz/ru/ntru/detail/?kpved=20.59.59.00.16.00.00.12.2" TargetMode="External"/><Relationship Id="rId778" Type="http://schemas.openxmlformats.org/officeDocument/2006/relationships/hyperlink" Target="http://enstru.skc.kz/ru/ntru/detail/?kpved=20.30.11.00.00.00.10.50.1" TargetMode="External"/><Relationship Id="rId72" Type="http://schemas.openxmlformats.org/officeDocument/2006/relationships/hyperlink" Target="http://enstru.skc.kz/ru/ntru/detail/?kpved=25.73.30.00.00.25.10.10.1" TargetMode="External"/><Relationship Id="rId375" Type="http://schemas.openxmlformats.org/officeDocument/2006/relationships/hyperlink" Target="http://enstru.skc.kz/ru/ntru/detail/?kpved=22.21.21.00.00.12.40.16.1" TargetMode="External"/><Relationship Id="rId582" Type="http://schemas.openxmlformats.org/officeDocument/2006/relationships/hyperlink" Target="http://enstru.skc.kz/ru/ntru/detail/?kpved=22.19.34.00.00.25.10.30.2" TargetMode="External"/><Relationship Id="rId638" Type="http://schemas.openxmlformats.org/officeDocument/2006/relationships/hyperlink" Target="http://enstru.skc.kz/ru/ntru/detail/?kpved=22.21.29.00.00.23.33.15.1" TargetMode="External"/><Relationship Id="rId803" Type="http://schemas.openxmlformats.org/officeDocument/2006/relationships/hyperlink" Target="http://enstru.skc.kz/ru/ntru/detail/?kpved=32.99.87.00.00.00.00.32.1" TargetMode="External"/><Relationship Id="rId3" Type="http://schemas.openxmlformats.org/officeDocument/2006/relationships/hyperlink" Target="http://enstru.skc.kz/ru/ntru/detail/?kpved=20.41.32.00.00.00.40.31.2" TargetMode="External"/><Relationship Id="rId235" Type="http://schemas.openxmlformats.org/officeDocument/2006/relationships/hyperlink" Target="http://enstru.skc.kz/ru/ntru/detail/?kpved=22.21.21.00.00.12.40.16.1" TargetMode="External"/><Relationship Id="rId277" Type="http://schemas.openxmlformats.org/officeDocument/2006/relationships/hyperlink" Target="http://enstru.skc.kz/ru/ntru/detail/?kpved=32.99.80.00.00.00.00.05.1" TargetMode="External"/><Relationship Id="rId400" Type="http://schemas.openxmlformats.org/officeDocument/2006/relationships/hyperlink" Target="http://enstru.skc.kz/ru/ntru/detail/?kpved=20.52.10.00.00.00.09.06.1" TargetMode="External"/><Relationship Id="rId442" Type="http://schemas.openxmlformats.org/officeDocument/2006/relationships/hyperlink" Target="http://enstru.skc.kz/ru/ntru/detail/?kpved=25.72.11.00.00.12.14.10.1" TargetMode="External"/><Relationship Id="rId484" Type="http://schemas.openxmlformats.org/officeDocument/2006/relationships/hyperlink" Target="http://enstru.skc.kz/ru/ntru/detail/?kpved=25.73.20.00.00.10.22.10.1" TargetMode="External"/><Relationship Id="rId705" Type="http://schemas.openxmlformats.org/officeDocument/2006/relationships/hyperlink" Target="http://enstru.skc.kz/ru/ntru/detail/?kpved=23.31.10.01.03.02.01.15.1" TargetMode="External"/><Relationship Id="rId137" Type="http://schemas.openxmlformats.org/officeDocument/2006/relationships/hyperlink" Target="http://enstru.skc.kz/ru/ntru/detail/?kpved=25.73.30.00.00.14.20.19.1" TargetMode="External"/><Relationship Id="rId302" Type="http://schemas.openxmlformats.org/officeDocument/2006/relationships/hyperlink" Target="http://enstru.skc.kz/ru/ntru/detail/?kpved=25.21.11.00.00.10.10.01.2" TargetMode="External"/><Relationship Id="rId344" Type="http://schemas.openxmlformats.org/officeDocument/2006/relationships/hyperlink" Target="http://enstru.skc.kz/ru/ntru/detail/?kpved=22.21.21.00.00.40.21.13.2" TargetMode="External"/><Relationship Id="rId691" Type="http://schemas.openxmlformats.org/officeDocument/2006/relationships/hyperlink" Target="http://enstru.skc.kz/ru/ntru/detail/?kpved=25.93.14.00.00.10.17.28.1" TargetMode="External"/><Relationship Id="rId747" Type="http://schemas.openxmlformats.org/officeDocument/2006/relationships/hyperlink" Target="http://enstru.skc.kz/ru/ntru/detail/?kpved=20.30.21.00.21.04.15.20.2" TargetMode="External"/><Relationship Id="rId789" Type="http://schemas.openxmlformats.org/officeDocument/2006/relationships/hyperlink" Target="http://enstru.skc.kz/ru/ntru/detail/?kpved=26.51.51.11.13.11.11.11.1" TargetMode="External"/><Relationship Id="rId41" Type="http://schemas.openxmlformats.org/officeDocument/2006/relationships/hyperlink" Target="http://enstru.skc.kz/ru/ntru/detail/?kpved=28.92.61.22.05.01.01.01.2" TargetMode="External"/><Relationship Id="rId83" Type="http://schemas.openxmlformats.org/officeDocument/2006/relationships/hyperlink" Target="http://enstru.skc.kz/ru/ntru/detail/?kpved=25.73.20.00.00.11.10.11.1" TargetMode="External"/><Relationship Id="rId179" Type="http://schemas.openxmlformats.org/officeDocument/2006/relationships/hyperlink" Target="http://enstru.skc.kz/ru/ntru/detail/?kpved=32.99.80.00.00.00.00.15.1" TargetMode="External"/><Relationship Id="rId386" Type="http://schemas.openxmlformats.org/officeDocument/2006/relationships/hyperlink" Target="http://enstru.skc.kz/ru/ntru/detail/?kpved=25.73.30.00.00.22.15.11.1" TargetMode="External"/><Relationship Id="rId551" Type="http://schemas.openxmlformats.org/officeDocument/2006/relationships/hyperlink" Target="http://enstru.skc.kz/ru/ntru/detail/?kpved=22.23.11.00.00.30.30.10.1" TargetMode="External"/><Relationship Id="rId593" Type="http://schemas.openxmlformats.org/officeDocument/2006/relationships/hyperlink" Target="http://enstru.skc.kz/ru/ntru/detail/?kpved=20.14.19.00.00.20.55.10.1" TargetMode="External"/><Relationship Id="rId607" Type="http://schemas.openxmlformats.org/officeDocument/2006/relationships/hyperlink" Target="http://enstru.skc.kz/ru/ntru/detail/?kpved=27.90.31.00.01.02.06.10.1" TargetMode="External"/><Relationship Id="rId649" Type="http://schemas.openxmlformats.org/officeDocument/2006/relationships/hyperlink" Target="http://enstru.skc.kz/ru/ntru/detail/?kpved=13.94.20.00.00.00.30.10.1" TargetMode="External"/><Relationship Id="rId190" Type="http://schemas.openxmlformats.org/officeDocument/2006/relationships/hyperlink" Target="http://enstru.skc.kz/ru/ntru/detail/?kpved=23.99.11.04.01.00.00.12.1" TargetMode="External"/><Relationship Id="rId204" Type="http://schemas.openxmlformats.org/officeDocument/2006/relationships/hyperlink" Target="http://enstru.skc.kz/ru/ntru/detail/?kpved=16.29.11.00.00.00.00.30.1" TargetMode="External"/><Relationship Id="rId246" Type="http://schemas.openxmlformats.org/officeDocument/2006/relationships/hyperlink" Target="http://enstru.skc.kz/ru/ntru/detail/?kpved=32.91.19.00.00.00.20.05.1" TargetMode="External"/><Relationship Id="rId288" Type="http://schemas.openxmlformats.org/officeDocument/2006/relationships/hyperlink" Target="http://enstru.skc.kz/ru/ntru/detail/?kpved=28.14.11.10.00.00.00.12.1" TargetMode="External"/><Relationship Id="rId411" Type="http://schemas.openxmlformats.org/officeDocument/2006/relationships/hyperlink" Target="http://enstru.skc.kz/ru/ntru/detail/?kpved=25.93.14.00.00.10.17.33.1" TargetMode="External"/><Relationship Id="rId453" Type="http://schemas.openxmlformats.org/officeDocument/2006/relationships/hyperlink" Target="http://enstru.skc.kz/ru/ntru/detail/?kpved=32.91.19.00.00.00.20.05.1" TargetMode="External"/><Relationship Id="rId509" Type="http://schemas.openxmlformats.org/officeDocument/2006/relationships/hyperlink" Target="http://enstru.skc.kz/ru/ntru/detail/?kpved=25.99.29.00.02.13.23.03.1" TargetMode="External"/><Relationship Id="rId660" Type="http://schemas.openxmlformats.org/officeDocument/2006/relationships/hyperlink" Target="http://enstru.skc.kz/ru/ntru/detail/?kpved=22.21.29.00.00.23.33.10.1" TargetMode="External"/><Relationship Id="rId106" Type="http://schemas.openxmlformats.org/officeDocument/2006/relationships/hyperlink" Target="http://enstru.skc.kz/ru/ntru/detail/?kpved=25.12.10.00.00.11.11.10.1" TargetMode="External"/><Relationship Id="rId313" Type="http://schemas.openxmlformats.org/officeDocument/2006/relationships/hyperlink" Target="http://enstru.skc.kz/ru/ntru/detail/?kpved=22.19.34.00.00.25.10.30.2" TargetMode="External"/><Relationship Id="rId495" Type="http://schemas.openxmlformats.org/officeDocument/2006/relationships/hyperlink" Target="http://enstru.skc.kz/ru/ntru/detail/?kpved=25.71.11.00.00.10.20.10.1" TargetMode="External"/><Relationship Id="rId716" Type="http://schemas.openxmlformats.org/officeDocument/2006/relationships/hyperlink" Target="http://enstru.skc.kz/ru/ntru/detail/?kpved=28.30.93.00.00.20.60.10.1" TargetMode="External"/><Relationship Id="rId758" Type="http://schemas.openxmlformats.org/officeDocument/2006/relationships/hyperlink" Target="http://enstru.skc.kz/ru/ntru/detail/?kpved=32.91.19.00.00.00.20.05.1" TargetMode="External"/><Relationship Id="rId10" Type="http://schemas.openxmlformats.org/officeDocument/2006/relationships/hyperlink" Target="http://enstru.skc.kz/ru/ntru/detail/?kpved=24.45.30.01.20.10.10.11.1" TargetMode="External"/><Relationship Id="rId52" Type="http://schemas.openxmlformats.org/officeDocument/2006/relationships/hyperlink" Target="http://enstru.skc.kz/ru/ntru/detail/?kpved=28.14.20.12.00.00.00.01.1" TargetMode="External"/><Relationship Id="rId94" Type="http://schemas.openxmlformats.org/officeDocument/2006/relationships/hyperlink" Target="http://enstru.skc.kz/ru/ntru/detail/?kpved=25.94.11.00.00.10.37.01.1" TargetMode="External"/><Relationship Id="rId148" Type="http://schemas.openxmlformats.org/officeDocument/2006/relationships/hyperlink" Target="http://enstru.skc.kz/ru/ntru/detail/?kpved=25.94.13.00.00.10.35.10.1" TargetMode="External"/><Relationship Id="rId355" Type="http://schemas.openxmlformats.org/officeDocument/2006/relationships/hyperlink" Target="http://enstru.skc.kz/ru/ntru/detail/?kpved=22.29.21.20.00.00.10.10.1" TargetMode="External"/><Relationship Id="rId397" Type="http://schemas.openxmlformats.org/officeDocument/2006/relationships/hyperlink" Target="http://enstru.skc.kz/ru/ntru/detail/?kpved=20.30.21.00.21.04.17.05.2" TargetMode="External"/><Relationship Id="rId520" Type="http://schemas.openxmlformats.org/officeDocument/2006/relationships/hyperlink" Target="http://enstru.skc.kz/ru/ntru/detail/?kpved=25.94.12.00.00.12.10.10.2" TargetMode="External"/><Relationship Id="rId562" Type="http://schemas.openxmlformats.org/officeDocument/2006/relationships/hyperlink" Target="http://enstru.skc.kz/ru/ntru/detail/?kpved=28.29.13.00.00.00.10.14.1" TargetMode="External"/><Relationship Id="rId618" Type="http://schemas.openxmlformats.org/officeDocument/2006/relationships/hyperlink" Target="http://enstru.skc.kz/ru/ntru/detail/?kpved=22.21.21.00.00.40.21.12.2" TargetMode="External"/><Relationship Id="rId215" Type="http://schemas.openxmlformats.org/officeDocument/2006/relationships/hyperlink" Target="http://enstru.skc.kz/ru/ntru/detail/?kpved=23.49.11.00.00.00.00.32.1" TargetMode="External"/><Relationship Id="rId257" Type="http://schemas.openxmlformats.org/officeDocument/2006/relationships/hyperlink" Target="http://enstru.skc.kz/ru/ntru/detail/?kpved=27.33.13.00.00.00.07.10.1" TargetMode="External"/><Relationship Id="rId422" Type="http://schemas.openxmlformats.org/officeDocument/2006/relationships/hyperlink" Target="http://enstru.skc.kz/ru/ntru/detail/?kpved=22.23.15.00.00.20.10.10.1" TargetMode="External"/><Relationship Id="rId464" Type="http://schemas.openxmlformats.org/officeDocument/2006/relationships/hyperlink" Target="http://enstru.skc.kz/ru/ntru/detail/?kpved=25.94.13.00.00.10.41.10.3" TargetMode="External"/><Relationship Id="rId299" Type="http://schemas.openxmlformats.org/officeDocument/2006/relationships/hyperlink" Target="http://enstru.skc.kz/ru/ntru/detail/?kpved=28.25.11.00.00.00.17.10.1" TargetMode="External"/><Relationship Id="rId727" Type="http://schemas.openxmlformats.org/officeDocument/2006/relationships/hyperlink" Target="http://enstru.skc.kz/ru/ntru/detail/?kpved=22.23.14.00.00.76.10.30.1" TargetMode="External"/><Relationship Id="rId63" Type="http://schemas.openxmlformats.org/officeDocument/2006/relationships/hyperlink" Target="http://enstru.skc.kz/ru/ntru/detail/?kpved=28.29.13.00.00.00.10.14.1" TargetMode="External"/><Relationship Id="rId159" Type="http://schemas.openxmlformats.org/officeDocument/2006/relationships/hyperlink" Target="http://enstru.skc.kz/ru/ntru/detail/?kpved=20.52.10.00.00.00.20.10.1" TargetMode="External"/><Relationship Id="rId366" Type="http://schemas.openxmlformats.org/officeDocument/2006/relationships/hyperlink" Target="http://enstru.skc.kz/ru/ntru/detail/?kpved=24.44.26.00.00.11.20.11.1" TargetMode="External"/><Relationship Id="rId573" Type="http://schemas.openxmlformats.org/officeDocument/2006/relationships/hyperlink" Target="http://enstru.skc.kz/ru/ntru/detail/?kpved=24.10.31.00.00.12.10.11.1" TargetMode="External"/><Relationship Id="rId780" Type="http://schemas.openxmlformats.org/officeDocument/2006/relationships/hyperlink" Target="http://enstru.skc.kz/ru/ntru/detail/?kpved=20.30.21.00.21.02.12.18.2" TargetMode="External"/><Relationship Id="rId226" Type="http://schemas.openxmlformats.org/officeDocument/2006/relationships/hyperlink" Target="http://enstru.skc.kz/ru/ntru/detail/?kpved=22.21.21.00.00.40.01.09.1" TargetMode="External"/><Relationship Id="rId433" Type="http://schemas.openxmlformats.org/officeDocument/2006/relationships/hyperlink" Target="http://enstru.skc.kz/ru/ntru/detail/?kpved=25.72.14.00.00.60.50.10.1" TargetMode="External"/><Relationship Id="rId640" Type="http://schemas.openxmlformats.org/officeDocument/2006/relationships/hyperlink" Target="http://enstru.skc.kz/ru/ntru/detail/?kpved=22.21.29.00.00.23.33.10.1" TargetMode="External"/><Relationship Id="rId738" Type="http://schemas.openxmlformats.org/officeDocument/2006/relationships/hyperlink" Target="http://enstru.skc.kz/ru/ntru/detail/?kpved=22.21.29.00.00.51.10.10.1" TargetMode="External"/><Relationship Id="rId74" Type="http://schemas.openxmlformats.org/officeDocument/2006/relationships/hyperlink" Target="http://enstru.skc.kz/ru/ntru/detail/?kpved=27.90.40.09.10.01.01.01.1" TargetMode="External"/><Relationship Id="rId377" Type="http://schemas.openxmlformats.org/officeDocument/2006/relationships/hyperlink" Target="http://enstru.skc.kz/ru/ntru/detail/?kpved=23.42.10.12.00.00.12.40.1" TargetMode="External"/><Relationship Id="rId500" Type="http://schemas.openxmlformats.org/officeDocument/2006/relationships/hyperlink" Target="http://enstru.skc.kz/ru/ntru/detail/?kpved=25.99.23.00.00.11.18.10.1" TargetMode="External"/><Relationship Id="rId584" Type="http://schemas.openxmlformats.org/officeDocument/2006/relationships/hyperlink" Target="http://enstru.skc.kz/ru/ntru/detail/?kpved=22.21.29.00.00.50.10.11.1" TargetMode="External"/><Relationship Id="rId5" Type="http://schemas.openxmlformats.org/officeDocument/2006/relationships/hyperlink" Target="http://enstru.skc.kz/ru/ntru/detail/?kpved=17.22.11.10.00.00.00.20.4" TargetMode="External"/><Relationship Id="rId237" Type="http://schemas.openxmlformats.org/officeDocument/2006/relationships/hyperlink" Target="http://enstru.skc.kz/ru/ntru/detail/?kpved=25.94.11.09.10.10.01.01.1" TargetMode="External"/><Relationship Id="rId791" Type="http://schemas.openxmlformats.org/officeDocument/2006/relationships/hyperlink" Target="http://enstru.skc.kz/ru/ntru/detail/?kpved=20.30.21.00.21.04.17.05.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L4308"/>
  <sheetViews>
    <sheetView tabSelected="1" view="pageBreakPreview" zoomScale="70" zoomScaleSheetLayoutView="70" workbookViewId="0">
      <selection activeCell="S42" sqref="S42:X42"/>
    </sheetView>
  </sheetViews>
  <sheetFormatPr defaultRowHeight="12.75" outlineLevelRow="1" x14ac:dyDescent="0.2"/>
  <cols>
    <col min="1" max="1" width="8" style="21" customWidth="1"/>
    <col min="2" max="2" width="13" style="21" customWidth="1"/>
    <col min="3" max="3" width="15" style="261" customWidth="1"/>
    <col min="4" max="4" width="19.140625" style="21" customWidth="1"/>
    <col min="5" max="5" width="33.42578125" style="261" customWidth="1"/>
    <col min="6" max="6" width="40.5703125" style="21" customWidth="1"/>
    <col min="7" max="7" width="7.42578125" style="21" customWidth="1"/>
    <col min="8" max="8" width="6.85546875" style="21" customWidth="1"/>
    <col min="9" max="9" width="10.85546875" style="21" customWidth="1"/>
    <col min="10" max="10" width="15.28515625" style="21" customWidth="1"/>
    <col min="11" max="11" width="16.5703125" style="261" customWidth="1"/>
    <col min="12" max="12" width="16.28515625" style="21" customWidth="1"/>
    <col min="13" max="13" width="6.5703125" style="21" customWidth="1"/>
    <col min="14" max="14" width="18.140625" style="21" customWidth="1"/>
    <col min="15" max="15" width="22.140625" style="21" customWidth="1"/>
    <col min="16" max="16" width="6.85546875" style="21" customWidth="1"/>
    <col min="17" max="17" width="12.42578125" style="21" customWidth="1"/>
    <col min="18" max="18" width="14.85546875" style="110" customWidth="1"/>
    <col min="19" max="19" width="15.42578125" style="110" customWidth="1"/>
    <col min="20" max="20" width="17.7109375" style="110" customWidth="1"/>
    <col min="21" max="21" width="18" style="110" customWidth="1"/>
    <col min="22" max="22" width="7" style="28" customWidth="1"/>
    <col min="23" max="23" width="8" style="28" customWidth="1"/>
    <col min="24" max="24" width="15.28515625" style="21" customWidth="1"/>
    <col min="25" max="25" width="9.140625" style="21"/>
    <col min="26" max="26" width="13" style="21" bestFit="1" customWidth="1"/>
    <col min="27" max="27" width="12" style="21" bestFit="1" customWidth="1"/>
    <col min="28" max="28" width="11" style="21" bestFit="1" customWidth="1"/>
    <col min="29" max="16384" width="9.140625" style="21"/>
  </cols>
  <sheetData>
    <row r="1" spans="1:24" x14ac:dyDescent="0.2">
      <c r="A1" s="61"/>
      <c r="B1" s="149"/>
      <c r="C1" s="149"/>
      <c r="D1" s="149"/>
      <c r="E1" s="149"/>
      <c r="F1" s="149"/>
      <c r="G1" s="149"/>
      <c r="H1" s="149"/>
      <c r="I1" s="149"/>
      <c r="J1" s="149"/>
      <c r="K1" s="150"/>
      <c r="L1" s="149"/>
      <c r="M1" s="149"/>
      <c r="N1" s="149"/>
      <c r="O1" s="149"/>
      <c r="P1" s="149"/>
      <c r="Q1" s="150"/>
      <c r="R1" s="151" t="s">
        <v>6431</v>
      </c>
      <c r="S1" s="152"/>
      <c r="T1" s="153"/>
      <c r="U1" s="153"/>
      <c r="V1" s="154"/>
      <c r="W1" s="154"/>
      <c r="X1" s="155"/>
    </row>
    <row r="2" spans="1:24" ht="13.5" thickBot="1" x14ac:dyDescent="0.25">
      <c r="A2" s="61"/>
      <c r="B2" s="61"/>
      <c r="C2" s="156"/>
      <c r="D2" s="156"/>
      <c r="E2" s="156"/>
      <c r="F2" s="156"/>
      <c r="G2" s="156"/>
      <c r="H2" s="156"/>
      <c r="I2" s="156"/>
      <c r="J2" s="156"/>
      <c r="K2" s="157"/>
      <c r="L2" s="156"/>
      <c r="M2" s="156"/>
      <c r="N2" s="156"/>
      <c r="O2" s="156"/>
      <c r="P2" s="149"/>
      <c r="Q2" s="158"/>
      <c r="R2" s="159" t="s">
        <v>6432</v>
      </c>
      <c r="S2" s="160"/>
      <c r="T2" s="161"/>
      <c r="U2" s="162"/>
      <c r="V2" s="163"/>
      <c r="W2" s="164"/>
      <c r="X2" s="165"/>
    </row>
    <row r="3" spans="1:24" x14ac:dyDescent="0.2">
      <c r="A3" s="61"/>
      <c r="B3" s="149"/>
      <c r="C3" s="149"/>
      <c r="D3" s="149"/>
      <c r="E3" s="149"/>
      <c r="F3" s="149"/>
      <c r="G3" s="149"/>
      <c r="H3" s="149"/>
      <c r="I3" s="149"/>
      <c r="J3" s="149"/>
      <c r="K3" s="150"/>
      <c r="L3" s="149"/>
      <c r="M3" s="149"/>
      <c r="N3" s="166"/>
      <c r="O3" s="149"/>
      <c r="P3" s="149"/>
      <c r="Q3" s="150"/>
      <c r="R3" s="167"/>
      <c r="S3" s="167"/>
      <c r="T3" s="167"/>
      <c r="U3" s="168"/>
      <c r="V3" s="166"/>
      <c r="W3" s="169"/>
      <c r="X3" s="169"/>
    </row>
    <row r="4" spans="1:24" x14ac:dyDescent="0.2">
      <c r="A4" s="265" t="s">
        <v>1883</v>
      </c>
      <c r="B4" s="265"/>
      <c r="C4" s="265"/>
      <c r="D4" s="265"/>
      <c r="E4" s="265"/>
      <c r="F4" s="265"/>
      <c r="G4" s="265"/>
      <c r="H4" s="265"/>
      <c r="I4" s="265"/>
      <c r="J4" s="265"/>
      <c r="K4" s="265"/>
      <c r="L4" s="265"/>
      <c r="M4" s="265"/>
      <c r="N4" s="265"/>
      <c r="O4" s="265"/>
      <c r="P4" s="265"/>
      <c r="Q4" s="265"/>
      <c r="R4" s="265"/>
      <c r="S4" s="266"/>
      <c r="T4" s="266"/>
      <c r="U4" s="266"/>
      <c r="V4" s="265"/>
      <c r="W4" s="265"/>
      <c r="X4" s="265"/>
    </row>
    <row r="5" spans="1:24" ht="13.5" thickBot="1" x14ac:dyDescent="0.25">
      <c r="A5" s="61"/>
      <c r="B5" s="149"/>
      <c r="C5" s="149"/>
      <c r="D5" s="149"/>
      <c r="E5" s="149"/>
      <c r="F5" s="149"/>
      <c r="G5" s="149"/>
      <c r="H5" s="149"/>
      <c r="I5" s="149"/>
      <c r="J5" s="149"/>
      <c r="K5" s="170"/>
      <c r="L5" s="166"/>
      <c r="M5" s="166"/>
      <c r="N5" s="166"/>
      <c r="O5" s="149"/>
      <c r="P5" s="171"/>
      <c r="Q5" s="172"/>
      <c r="R5" s="173"/>
      <c r="S5" s="167"/>
      <c r="T5" s="167"/>
      <c r="U5" s="167"/>
      <c r="V5" s="149"/>
      <c r="W5" s="149"/>
      <c r="X5" s="149"/>
    </row>
    <row r="6" spans="1:24" ht="18.75" customHeight="1" thickBot="1" x14ac:dyDescent="0.25">
      <c r="A6" s="61"/>
      <c r="B6" s="174"/>
      <c r="C6" s="174"/>
      <c r="D6" s="174"/>
      <c r="E6" s="174"/>
      <c r="F6" s="174"/>
      <c r="G6" s="174"/>
      <c r="H6" s="174"/>
      <c r="I6" s="174"/>
      <c r="J6" s="174"/>
      <c r="K6" s="175"/>
      <c r="L6" s="174"/>
      <c r="M6" s="174"/>
      <c r="N6" s="174"/>
      <c r="O6" s="174"/>
      <c r="P6" s="174"/>
      <c r="Q6" s="175"/>
      <c r="R6" s="176"/>
      <c r="S6" s="267" t="s">
        <v>7309</v>
      </c>
      <c r="T6" s="268"/>
      <c r="U6" s="268"/>
      <c r="V6" s="269"/>
      <c r="W6" s="269"/>
      <c r="X6" s="270"/>
    </row>
    <row r="7" spans="1:24" ht="21" customHeight="1" thickBot="1" x14ac:dyDescent="0.25">
      <c r="A7" s="61"/>
      <c r="B7" s="174"/>
      <c r="C7" s="174"/>
      <c r="D7" s="174"/>
      <c r="E7" s="174"/>
      <c r="F7" s="174"/>
      <c r="G7" s="174"/>
      <c r="H7" s="174"/>
      <c r="I7" s="174"/>
      <c r="J7" s="174"/>
      <c r="K7" s="175"/>
      <c r="L7" s="174"/>
      <c r="M7" s="174"/>
      <c r="N7" s="174"/>
      <c r="O7" s="174"/>
      <c r="P7" s="174"/>
      <c r="Q7" s="175"/>
      <c r="R7" s="176"/>
      <c r="S7" s="267" t="s">
        <v>6997</v>
      </c>
      <c r="T7" s="268"/>
      <c r="U7" s="268"/>
      <c r="V7" s="269"/>
      <c r="W7" s="269"/>
      <c r="X7" s="270"/>
    </row>
    <row r="8" spans="1:24" ht="21" customHeight="1" thickBot="1" x14ac:dyDescent="0.25">
      <c r="A8" s="61"/>
      <c r="B8" s="174"/>
      <c r="C8" s="174"/>
      <c r="D8" s="174"/>
      <c r="E8" s="174"/>
      <c r="F8" s="174"/>
      <c r="G8" s="174"/>
      <c r="H8" s="174"/>
      <c r="I8" s="174"/>
      <c r="J8" s="174"/>
      <c r="K8" s="175"/>
      <c r="L8" s="174"/>
      <c r="M8" s="174"/>
      <c r="N8" s="174"/>
      <c r="O8" s="174"/>
      <c r="P8" s="174"/>
      <c r="Q8" s="175"/>
      <c r="R8" s="176"/>
      <c r="S8" s="267" t="s">
        <v>6998</v>
      </c>
      <c r="T8" s="268"/>
      <c r="U8" s="268"/>
      <c r="V8" s="269"/>
      <c r="W8" s="269"/>
      <c r="X8" s="270"/>
    </row>
    <row r="9" spans="1:24" ht="21" customHeight="1" thickBot="1" x14ac:dyDescent="0.25">
      <c r="A9" s="61"/>
      <c r="B9" s="174"/>
      <c r="C9" s="174"/>
      <c r="D9" s="174"/>
      <c r="E9" s="174"/>
      <c r="F9" s="174"/>
      <c r="G9" s="174"/>
      <c r="H9" s="174"/>
      <c r="I9" s="174"/>
      <c r="J9" s="174"/>
      <c r="K9" s="175"/>
      <c r="L9" s="174"/>
      <c r="M9" s="174"/>
      <c r="N9" s="174"/>
      <c r="O9" s="174"/>
      <c r="P9" s="174"/>
      <c r="Q9" s="175"/>
      <c r="R9" s="176"/>
      <c r="S9" s="267" t="s">
        <v>7007</v>
      </c>
      <c r="T9" s="268"/>
      <c r="U9" s="268"/>
      <c r="V9" s="269"/>
      <c r="W9" s="269"/>
      <c r="X9" s="270"/>
    </row>
    <row r="10" spans="1:24" ht="21" customHeight="1" thickBot="1" x14ac:dyDescent="0.25">
      <c r="A10" s="61"/>
      <c r="B10" s="174"/>
      <c r="C10" s="174"/>
      <c r="D10" s="174"/>
      <c r="E10" s="174"/>
      <c r="F10" s="174"/>
      <c r="G10" s="174"/>
      <c r="H10" s="174"/>
      <c r="I10" s="174"/>
      <c r="J10" s="174"/>
      <c r="K10" s="175"/>
      <c r="L10" s="174"/>
      <c r="M10" s="174"/>
      <c r="N10" s="174"/>
      <c r="O10" s="174"/>
      <c r="P10" s="174"/>
      <c r="Q10" s="175"/>
      <c r="R10" s="176"/>
      <c r="S10" s="267" t="s">
        <v>7268</v>
      </c>
      <c r="T10" s="268"/>
      <c r="U10" s="268"/>
      <c r="V10" s="269"/>
      <c r="W10" s="269"/>
      <c r="X10" s="270"/>
    </row>
    <row r="11" spans="1:24" ht="21" customHeight="1" thickBot="1" x14ac:dyDescent="0.25">
      <c r="A11" s="61"/>
      <c r="B11" s="174"/>
      <c r="C11" s="174"/>
      <c r="D11" s="174"/>
      <c r="E11" s="174"/>
      <c r="F11" s="174"/>
      <c r="G11" s="174"/>
      <c r="H11" s="174"/>
      <c r="I11" s="174"/>
      <c r="J11" s="174"/>
      <c r="K11" s="175"/>
      <c r="L11" s="174"/>
      <c r="M11" s="174"/>
      <c r="N11" s="174"/>
      <c r="O11" s="174"/>
      <c r="P11" s="174"/>
      <c r="Q11" s="175"/>
      <c r="R11" s="176"/>
      <c r="S11" s="262" t="s">
        <v>7308</v>
      </c>
      <c r="T11" s="263"/>
      <c r="U11" s="263"/>
      <c r="V11" s="263"/>
      <c r="W11" s="263"/>
      <c r="X11" s="264"/>
    </row>
    <row r="12" spans="1:24" ht="21" customHeight="1" thickBot="1" x14ac:dyDescent="0.25">
      <c r="A12" s="61"/>
      <c r="B12" s="174"/>
      <c r="C12" s="174"/>
      <c r="D12" s="174"/>
      <c r="E12" s="174"/>
      <c r="F12" s="174"/>
      <c r="G12" s="174"/>
      <c r="H12" s="174"/>
      <c r="I12" s="174"/>
      <c r="J12" s="174"/>
      <c r="K12" s="175"/>
      <c r="L12" s="174"/>
      <c r="M12" s="174"/>
      <c r="N12" s="174"/>
      <c r="O12" s="174"/>
      <c r="P12" s="174"/>
      <c r="Q12" s="175"/>
      <c r="R12" s="176"/>
      <c r="S12" s="262" t="s">
        <v>7515</v>
      </c>
      <c r="T12" s="263"/>
      <c r="U12" s="263"/>
      <c r="V12" s="263"/>
      <c r="W12" s="263"/>
      <c r="X12" s="264"/>
    </row>
    <row r="13" spans="1:24" ht="21" customHeight="1" thickBot="1" x14ac:dyDescent="0.25">
      <c r="A13" s="61"/>
      <c r="B13" s="174"/>
      <c r="C13" s="174"/>
      <c r="D13" s="174"/>
      <c r="E13" s="174"/>
      <c r="F13" s="174"/>
      <c r="G13" s="174"/>
      <c r="H13" s="174"/>
      <c r="I13" s="174"/>
      <c r="J13" s="174"/>
      <c r="K13" s="175"/>
      <c r="L13" s="174"/>
      <c r="M13" s="174"/>
      <c r="N13" s="174"/>
      <c r="O13" s="174"/>
      <c r="P13" s="174"/>
      <c r="Q13" s="175"/>
      <c r="R13" s="176"/>
      <c r="S13" s="262" t="s">
        <v>7559</v>
      </c>
      <c r="T13" s="263"/>
      <c r="U13" s="263"/>
      <c r="V13" s="263"/>
      <c r="W13" s="263"/>
      <c r="X13" s="264"/>
    </row>
    <row r="14" spans="1:24" ht="21" customHeight="1" thickBot="1" x14ac:dyDescent="0.25">
      <c r="A14" s="61"/>
      <c r="B14" s="174"/>
      <c r="C14" s="174"/>
      <c r="D14" s="174"/>
      <c r="E14" s="174"/>
      <c r="F14" s="174"/>
      <c r="G14" s="174"/>
      <c r="H14" s="174"/>
      <c r="I14" s="174"/>
      <c r="J14" s="174"/>
      <c r="K14" s="175"/>
      <c r="L14" s="174"/>
      <c r="M14" s="174"/>
      <c r="N14" s="174"/>
      <c r="O14" s="174"/>
      <c r="P14" s="174"/>
      <c r="Q14" s="175"/>
      <c r="R14" s="176"/>
      <c r="S14" s="262" t="s">
        <v>7599</v>
      </c>
      <c r="T14" s="263"/>
      <c r="U14" s="263"/>
      <c r="V14" s="263"/>
      <c r="W14" s="263"/>
      <c r="X14" s="264"/>
    </row>
    <row r="15" spans="1:24" ht="21" customHeight="1" thickBot="1" x14ac:dyDescent="0.25">
      <c r="A15" s="61"/>
      <c r="B15" s="174"/>
      <c r="C15" s="174"/>
      <c r="D15" s="174"/>
      <c r="E15" s="174"/>
      <c r="F15" s="174"/>
      <c r="G15" s="174"/>
      <c r="H15" s="174"/>
      <c r="I15" s="174"/>
      <c r="J15" s="174"/>
      <c r="K15" s="175"/>
      <c r="L15" s="174"/>
      <c r="M15" s="174"/>
      <c r="N15" s="174"/>
      <c r="O15" s="174"/>
      <c r="P15" s="174"/>
      <c r="Q15" s="175"/>
      <c r="R15" s="176"/>
      <c r="S15" s="262" t="s">
        <v>7636</v>
      </c>
      <c r="T15" s="263"/>
      <c r="U15" s="263"/>
      <c r="V15" s="263"/>
      <c r="W15" s="263"/>
      <c r="X15" s="264"/>
    </row>
    <row r="16" spans="1:24" ht="21" customHeight="1" thickBot="1" x14ac:dyDescent="0.25">
      <c r="A16" s="61"/>
      <c r="B16" s="174"/>
      <c r="C16" s="174"/>
      <c r="D16" s="174"/>
      <c r="E16" s="174"/>
      <c r="F16" s="174"/>
      <c r="G16" s="174"/>
      <c r="H16" s="174"/>
      <c r="I16" s="174"/>
      <c r="J16" s="174"/>
      <c r="K16" s="175"/>
      <c r="L16" s="174"/>
      <c r="M16" s="174"/>
      <c r="N16" s="174"/>
      <c r="O16" s="174"/>
      <c r="P16" s="174"/>
      <c r="Q16" s="175"/>
      <c r="R16" s="176"/>
      <c r="S16" s="262" t="s">
        <v>7671</v>
      </c>
      <c r="T16" s="263"/>
      <c r="U16" s="263"/>
      <c r="V16" s="263"/>
      <c r="W16" s="263"/>
      <c r="X16" s="264"/>
    </row>
    <row r="17" spans="1:24" ht="21" customHeight="1" thickBot="1" x14ac:dyDescent="0.25">
      <c r="A17" s="61"/>
      <c r="B17" s="174"/>
      <c r="C17" s="174"/>
      <c r="D17" s="174"/>
      <c r="E17" s="174"/>
      <c r="F17" s="174"/>
      <c r="G17" s="174"/>
      <c r="H17" s="174"/>
      <c r="I17" s="174"/>
      <c r="J17" s="174"/>
      <c r="K17" s="175"/>
      <c r="L17" s="174"/>
      <c r="M17" s="174"/>
      <c r="N17" s="174"/>
      <c r="O17" s="174"/>
      <c r="P17" s="174"/>
      <c r="Q17" s="175"/>
      <c r="R17" s="176"/>
      <c r="S17" s="262" t="s">
        <v>8353</v>
      </c>
      <c r="T17" s="263"/>
      <c r="U17" s="263"/>
      <c r="V17" s="263"/>
      <c r="W17" s="263"/>
      <c r="X17" s="264"/>
    </row>
    <row r="18" spans="1:24" ht="21" customHeight="1" thickBot="1" x14ac:dyDescent="0.25">
      <c r="A18" s="61"/>
      <c r="B18" s="174"/>
      <c r="C18" s="174"/>
      <c r="D18" s="174"/>
      <c r="E18" s="174"/>
      <c r="F18" s="174"/>
      <c r="G18" s="174"/>
      <c r="H18" s="174"/>
      <c r="I18" s="174"/>
      <c r="J18" s="174"/>
      <c r="K18" s="175"/>
      <c r="L18" s="174"/>
      <c r="M18" s="174"/>
      <c r="N18" s="174"/>
      <c r="O18" s="174"/>
      <c r="P18" s="174"/>
      <c r="Q18" s="175"/>
      <c r="R18" s="176"/>
      <c r="S18" s="262" t="s">
        <v>8397</v>
      </c>
      <c r="T18" s="263"/>
      <c r="U18" s="263"/>
      <c r="V18" s="263"/>
      <c r="W18" s="263"/>
      <c r="X18" s="264"/>
    </row>
    <row r="19" spans="1:24" ht="21" customHeight="1" thickBot="1" x14ac:dyDescent="0.25">
      <c r="A19" s="61"/>
      <c r="B19" s="174"/>
      <c r="C19" s="174"/>
      <c r="D19" s="174"/>
      <c r="E19" s="174"/>
      <c r="F19" s="174"/>
      <c r="G19" s="174"/>
      <c r="H19" s="174"/>
      <c r="I19" s="174"/>
      <c r="J19" s="174"/>
      <c r="K19" s="175"/>
      <c r="L19" s="174"/>
      <c r="M19" s="174"/>
      <c r="N19" s="174"/>
      <c r="O19" s="174"/>
      <c r="P19" s="174"/>
      <c r="Q19" s="175"/>
      <c r="R19" s="176"/>
      <c r="S19" s="262" t="s">
        <v>8401</v>
      </c>
      <c r="T19" s="263"/>
      <c r="U19" s="263"/>
      <c r="V19" s="263"/>
      <c r="W19" s="263"/>
      <c r="X19" s="264"/>
    </row>
    <row r="20" spans="1:24" ht="27.75" customHeight="1" thickBot="1" x14ac:dyDescent="0.25">
      <c r="A20" s="61"/>
      <c r="B20" s="174"/>
      <c r="C20" s="174"/>
      <c r="D20" s="174"/>
      <c r="E20" s="174"/>
      <c r="F20" s="174"/>
      <c r="G20" s="174"/>
      <c r="H20" s="174"/>
      <c r="I20" s="174"/>
      <c r="J20" s="174"/>
      <c r="K20" s="175"/>
      <c r="L20" s="174"/>
      <c r="M20" s="174"/>
      <c r="N20" s="174"/>
      <c r="O20" s="174"/>
      <c r="P20" s="174"/>
      <c r="Q20" s="175"/>
      <c r="R20" s="176"/>
      <c r="S20" s="262" t="s">
        <v>8424</v>
      </c>
      <c r="T20" s="263"/>
      <c r="U20" s="263"/>
      <c r="V20" s="263"/>
      <c r="W20" s="263"/>
      <c r="X20" s="264"/>
    </row>
    <row r="21" spans="1:24" ht="23.25" customHeight="1" thickBot="1" x14ac:dyDescent="0.25">
      <c r="A21" s="61"/>
      <c r="B21" s="174"/>
      <c r="C21" s="174"/>
      <c r="D21" s="174"/>
      <c r="E21" s="174"/>
      <c r="F21" s="174"/>
      <c r="G21" s="174"/>
      <c r="H21" s="174"/>
      <c r="I21" s="174"/>
      <c r="J21" s="174"/>
      <c r="K21" s="175"/>
      <c r="L21" s="174"/>
      <c r="M21" s="174"/>
      <c r="N21" s="174"/>
      <c r="O21" s="174"/>
      <c r="P21" s="174"/>
      <c r="Q21" s="175"/>
      <c r="R21" s="176"/>
      <c r="S21" s="262" t="s">
        <v>8797</v>
      </c>
      <c r="T21" s="263"/>
      <c r="U21" s="263"/>
      <c r="V21" s="263"/>
      <c r="W21" s="263"/>
      <c r="X21" s="264"/>
    </row>
    <row r="22" spans="1:24" ht="23.25" customHeight="1" thickBot="1" x14ac:dyDescent="0.25">
      <c r="A22" s="61"/>
      <c r="B22" s="174"/>
      <c r="C22" s="174"/>
      <c r="D22" s="174"/>
      <c r="E22" s="174"/>
      <c r="F22" s="174"/>
      <c r="G22" s="174"/>
      <c r="H22" s="174"/>
      <c r="I22" s="174"/>
      <c r="J22" s="174"/>
      <c r="K22" s="175"/>
      <c r="L22" s="174"/>
      <c r="M22" s="174"/>
      <c r="N22" s="174"/>
      <c r="O22" s="174"/>
      <c r="P22" s="174"/>
      <c r="Q22" s="175"/>
      <c r="R22" s="176"/>
      <c r="S22" s="262" t="s">
        <v>8887</v>
      </c>
      <c r="T22" s="263"/>
      <c r="U22" s="263"/>
      <c r="V22" s="263"/>
      <c r="W22" s="263"/>
      <c r="X22" s="264"/>
    </row>
    <row r="23" spans="1:24" ht="23.25" customHeight="1" thickBot="1" x14ac:dyDescent="0.25">
      <c r="A23" s="61"/>
      <c r="B23" s="174"/>
      <c r="C23" s="174"/>
      <c r="D23" s="174"/>
      <c r="E23" s="174"/>
      <c r="F23" s="174"/>
      <c r="G23" s="174"/>
      <c r="H23" s="174"/>
      <c r="I23" s="174"/>
      <c r="J23" s="174"/>
      <c r="K23" s="175"/>
      <c r="L23" s="174"/>
      <c r="M23" s="174"/>
      <c r="N23" s="174"/>
      <c r="O23" s="174"/>
      <c r="P23" s="174"/>
      <c r="Q23" s="175"/>
      <c r="R23" s="176"/>
      <c r="S23" s="262" t="s">
        <v>8920</v>
      </c>
      <c r="T23" s="263"/>
      <c r="U23" s="263"/>
      <c r="V23" s="263"/>
      <c r="W23" s="263"/>
      <c r="X23" s="264"/>
    </row>
    <row r="24" spans="1:24" ht="23.25" customHeight="1" thickBot="1" x14ac:dyDescent="0.25">
      <c r="A24" s="61"/>
      <c r="B24" s="174"/>
      <c r="C24" s="174"/>
      <c r="D24" s="174"/>
      <c r="E24" s="174"/>
      <c r="F24" s="174"/>
      <c r="G24" s="174"/>
      <c r="H24" s="174"/>
      <c r="I24" s="174"/>
      <c r="J24" s="174"/>
      <c r="K24" s="175"/>
      <c r="L24" s="174"/>
      <c r="M24" s="174"/>
      <c r="N24" s="174"/>
      <c r="O24" s="174"/>
      <c r="P24" s="174"/>
      <c r="Q24" s="175"/>
      <c r="R24" s="176"/>
      <c r="S24" s="262" t="s">
        <v>8944</v>
      </c>
      <c r="T24" s="263"/>
      <c r="U24" s="263"/>
      <c r="V24" s="263"/>
      <c r="W24" s="263"/>
      <c r="X24" s="264"/>
    </row>
    <row r="25" spans="1:24" ht="23.25" customHeight="1" thickBot="1" x14ac:dyDescent="0.25">
      <c r="A25" s="61"/>
      <c r="B25" s="174"/>
      <c r="C25" s="174"/>
      <c r="D25" s="174"/>
      <c r="E25" s="174"/>
      <c r="F25" s="174"/>
      <c r="G25" s="174"/>
      <c r="H25" s="174"/>
      <c r="I25" s="174"/>
      <c r="J25" s="174"/>
      <c r="K25" s="175"/>
      <c r="L25" s="174"/>
      <c r="M25" s="174"/>
      <c r="N25" s="174"/>
      <c r="O25" s="174"/>
      <c r="P25" s="174"/>
      <c r="Q25" s="175"/>
      <c r="R25" s="176"/>
      <c r="S25" s="262" t="s">
        <v>8953</v>
      </c>
      <c r="T25" s="263"/>
      <c r="U25" s="263"/>
      <c r="V25" s="263"/>
      <c r="W25" s="263"/>
      <c r="X25" s="264"/>
    </row>
    <row r="26" spans="1:24" ht="23.25" customHeight="1" thickBot="1" x14ac:dyDescent="0.25">
      <c r="A26" s="61"/>
      <c r="B26" s="174"/>
      <c r="C26" s="174"/>
      <c r="D26" s="174"/>
      <c r="E26" s="174"/>
      <c r="F26" s="174"/>
      <c r="G26" s="174"/>
      <c r="H26" s="174"/>
      <c r="I26" s="174"/>
      <c r="J26" s="174"/>
      <c r="K26" s="175"/>
      <c r="L26" s="174"/>
      <c r="M26" s="174"/>
      <c r="N26" s="174"/>
      <c r="O26" s="174"/>
      <c r="P26" s="174"/>
      <c r="Q26" s="175"/>
      <c r="R26" s="176"/>
      <c r="S26" s="262" t="s">
        <v>8998</v>
      </c>
      <c r="T26" s="263"/>
      <c r="U26" s="263"/>
      <c r="V26" s="263"/>
      <c r="W26" s="263"/>
      <c r="X26" s="264"/>
    </row>
    <row r="27" spans="1:24" ht="23.25" customHeight="1" thickBot="1" x14ac:dyDescent="0.25">
      <c r="A27" s="61"/>
      <c r="B27" s="174"/>
      <c r="C27" s="174"/>
      <c r="D27" s="174"/>
      <c r="E27" s="174"/>
      <c r="F27" s="174"/>
      <c r="G27" s="174"/>
      <c r="H27" s="174"/>
      <c r="I27" s="174"/>
      <c r="J27" s="174"/>
      <c r="K27" s="175"/>
      <c r="L27" s="174"/>
      <c r="M27" s="174"/>
      <c r="N27" s="174"/>
      <c r="O27" s="174"/>
      <c r="P27" s="174"/>
      <c r="Q27" s="175"/>
      <c r="R27" s="176"/>
      <c r="S27" s="262" t="s">
        <v>9006</v>
      </c>
      <c r="T27" s="263"/>
      <c r="U27" s="263"/>
      <c r="V27" s="263"/>
      <c r="W27" s="263"/>
      <c r="X27" s="264"/>
    </row>
    <row r="28" spans="1:24" ht="23.25" customHeight="1" thickBot="1" x14ac:dyDescent="0.25">
      <c r="A28" s="61"/>
      <c r="B28" s="174"/>
      <c r="C28" s="174"/>
      <c r="D28" s="174"/>
      <c r="E28" s="174"/>
      <c r="F28" s="174"/>
      <c r="G28" s="174"/>
      <c r="H28" s="174"/>
      <c r="I28" s="174"/>
      <c r="J28" s="174"/>
      <c r="K28" s="175"/>
      <c r="L28" s="174"/>
      <c r="M28" s="174"/>
      <c r="N28" s="174"/>
      <c r="O28" s="174"/>
      <c r="P28" s="174"/>
      <c r="Q28" s="175"/>
      <c r="R28" s="176"/>
      <c r="S28" s="262" t="s">
        <v>9056</v>
      </c>
      <c r="T28" s="263"/>
      <c r="U28" s="263"/>
      <c r="V28" s="263"/>
      <c r="W28" s="263"/>
      <c r="X28" s="264"/>
    </row>
    <row r="29" spans="1:24" ht="23.25" customHeight="1" thickBot="1" x14ac:dyDescent="0.25">
      <c r="A29" s="61"/>
      <c r="B29" s="174"/>
      <c r="C29" s="174"/>
      <c r="D29" s="174"/>
      <c r="E29" s="174"/>
      <c r="F29" s="174"/>
      <c r="G29" s="174"/>
      <c r="H29" s="174"/>
      <c r="I29" s="174"/>
      <c r="J29" s="174"/>
      <c r="K29" s="175"/>
      <c r="L29" s="174"/>
      <c r="M29" s="174"/>
      <c r="N29" s="174"/>
      <c r="O29" s="174"/>
      <c r="P29" s="174"/>
      <c r="Q29" s="175"/>
      <c r="R29" s="176"/>
      <c r="S29" s="262" t="s">
        <v>9162</v>
      </c>
      <c r="T29" s="263"/>
      <c r="U29" s="263"/>
      <c r="V29" s="263"/>
      <c r="W29" s="263"/>
      <c r="X29" s="264"/>
    </row>
    <row r="30" spans="1:24" ht="23.25" customHeight="1" thickBot="1" x14ac:dyDescent="0.25">
      <c r="A30" s="61"/>
      <c r="B30" s="174"/>
      <c r="C30" s="174"/>
      <c r="D30" s="174"/>
      <c r="E30" s="174"/>
      <c r="F30" s="174"/>
      <c r="G30" s="174"/>
      <c r="H30" s="174"/>
      <c r="I30" s="174"/>
      <c r="J30" s="174"/>
      <c r="K30" s="175"/>
      <c r="L30" s="174"/>
      <c r="M30" s="174"/>
      <c r="N30" s="174"/>
      <c r="O30" s="174"/>
      <c r="P30" s="174"/>
      <c r="Q30" s="175"/>
      <c r="R30" s="176"/>
      <c r="S30" s="262" t="s">
        <v>9274</v>
      </c>
      <c r="T30" s="263"/>
      <c r="U30" s="263"/>
      <c r="V30" s="263"/>
      <c r="W30" s="263"/>
      <c r="X30" s="264"/>
    </row>
    <row r="31" spans="1:24" ht="23.25" customHeight="1" thickBot="1" x14ac:dyDescent="0.25">
      <c r="A31" s="61"/>
      <c r="B31" s="174"/>
      <c r="C31" s="174"/>
      <c r="D31" s="174"/>
      <c r="E31" s="174"/>
      <c r="F31" s="174"/>
      <c r="G31" s="174"/>
      <c r="H31" s="174"/>
      <c r="I31" s="174"/>
      <c r="J31" s="174"/>
      <c r="K31" s="175"/>
      <c r="L31" s="174"/>
      <c r="M31" s="174"/>
      <c r="N31" s="174"/>
      <c r="O31" s="174"/>
      <c r="P31" s="174"/>
      <c r="Q31" s="175"/>
      <c r="R31" s="176"/>
      <c r="S31" s="262" t="s">
        <v>9395</v>
      </c>
      <c r="T31" s="263"/>
      <c r="U31" s="263"/>
      <c r="V31" s="263"/>
      <c r="W31" s="263"/>
      <c r="X31" s="264"/>
    </row>
    <row r="32" spans="1:24" ht="23.25" customHeight="1" thickBot="1" x14ac:dyDescent="0.25">
      <c r="A32" s="61"/>
      <c r="B32" s="174"/>
      <c r="C32" s="174"/>
      <c r="D32" s="174"/>
      <c r="E32" s="174"/>
      <c r="F32" s="174"/>
      <c r="G32" s="174"/>
      <c r="H32" s="174"/>
      <c r="I32" s="174"/>
      <c r="J32" s="174"/>
      <c r="K32" s="175"/>
      <c r="L32" s="174"/>
      <c r="M32" s="174"/>
      <c r="N32" s="174"/>
      <c r="O32" s="174"/>
      <c r="P32" s="174"/>
      <c r="Q32" s="175"/>
      <c r="R32" s="176"/>
      <c r="S32" s="262" t="s">
        <v>9475</v>
      </c>
      <c r="T32" s="263"/>
      <c r="U32" s="263"/>
      <c r="V32" s="263"/>
      <c r="W32" s="263"/>
      <c r="X32" s="264"/>
    </row>
    <row r="33" spans="1:90" ht="23.25" customHeight="1" thickBot="1" x14ac:dyDescent="0.25">
      <c r="A33" s="61"/>
      <c r="B33" s="174"/>
      <c r="C33" s="174"/>
      <c r="D33" s="174"/>
      <c r="E33" s="174"/>
      <c r="F33" s="174"/>
      <c r="G33" s="174"/>
      <c r="H33" s="174"/>
      <c r="I33" s="174"/>
      <c r="J33" s="174"/>
      <c r="K33" s="175"/>
      <c r="L33" s="174"/>
      <c r="M33" s="174"/>
      <c r="N33" s="174"/>
      <c r="O33" s="174"/>
      <c r="P33" s="174"/>
      <c r="Q33" s="175"/>
      <c r="R33" s="176"/>
      <c r="S33" s="262" t="s">
        <v>9515</v>
      </c>
      <c r="T33" s="263"/>
      <c r="U33" s="263"/>
      <c r="V33" s="263"/>
      <c r="W33" s="263"/>
      <c r="X33" s="264"/>
    </row>
    <row r="34" spans="1:90" ht="23.25" customHeight="1" thickBot="1" x14ac:dyDescent="0.25">
      <c r="A34" s="61"/>
      <c r="B34" s="174"/>
      <c r="C34" s="174"/>
      <c r="D34" s="174"/>
      <c r="E34" s="174"/>
      <c r="F34" s="174"/>
      <c r="G34" s="174"/>
      <c r="H34" s="174"/>
      <c r="I34" s="174"/>
      <c r="J34" s="174"/>
      <c r="K34" s="175"/>
      <c r="L34" s="174"/>
      <c r="M34" s="174"/>
      <c r="N34" s="174"/>
      <c r="O34" s="174"/>
      <c r="P34" s="174"/>
      <c r="Q34" s="175"/>
      <c r="R34" s="176"/>
      <c r="S34" s="262" t="s">
        <v>9681</v>
      </c>
      <c r="T34" s="263"/>
      <c r="U34" s="263"/>
      <c r="V34" s="263"/>
      <c r="W34" s="263"/>
      <c r="X34" s="264"/>
    </row>
    <row r="35" spans="1:90" ht="23.25" customHeight="1" thickBot="1" x14ac:dyDescent="0.25">
      <c r="A35" s="61"/>
      <c r="B35" s="174"/>
      <c r="C35" s="174"/>
      <c r="D35" s="174"/>
      <c r="E35" s="174"/>
      <c r="F35" s="174"/>
      <c r="G35" s="174"/>
      <c r="H35" s="174"/>
      <c r="I35" s="174"/>
      <c r="J35" s="174"/>
      <c r="K35" s="175"/>
      <c r="L35" s="174"/>
      <c r="M35" s="174"/>
      <c r="N35" s="174"/>
      <c r="O35" s="174"/>
      <c r="P35" s="174"/>
      <c r="Q35" s="175"/>
      <c r="R35" s="176"/>
      <c r="S35" s="262" t="s">
        <v>9883</v>
      </c>
      <c r="T35" s="263"/>
      <c r="U35" s="263"/>
      <c r="V35" s="263"/>
      <c r="W35" s="263"/>
      <c r="X35" s="264"/>
    </row>
    <row r="36" spans="1:90" ht="23.25" customHeight="1" thickBot="1" x14ac:dyDescent="0.25">
      <c r="A36" s="61"/>
      <c r="B36" s="174"/>
      <c r="C36" s="174"/>
      <c r="D36" s="174"/>
      <c r="E36" s="174"/>
      <c r="F36" s="174"/>
      <c r="G36" s="174"/>
      <c r="H36" s="174"/>
      <c r="I36" s="174"/>
      <c r="J36" s="174"/>
      <c r="K36" s="175"/>
      <c r="L36" s="174"/>
      <c r="M36" s="174"/>
      <c r="N36" s="174"/>
      <c r="O36" s="174"/>
      <c r="P36" s="174"/>
      <c r="Q36" s="175"/>
      <c r="R36" s="176"/>
      <c r="S36" s="262" t="s">
        <v>9927</v>
      </c>
      <c r="T36" s="263"/>
      <c r="U36" s="263"/>
      <c r="V36" s="263"/>
      <c r="W36" s="263"/>
      <c r="X36" s="264"/>
    </row>
    <row r="37" spans="1:90" ht="23.25" customHeight="1" thickBot="1" x14ac:dyDescent="0.25">
      <c r="A37" s="61"/>
      <c r="B37" s="174"/>
      <c r="C37" s="174"/>
      <c r="D37" s="174"/>
      <c r="E37" s="174"/>
      <c r="F37" s="174"/>
      <c r="G37" s="174"/>
      <c r="H37" s="174"/>
      <c r="I37" s="174"/>
      <c r="J37" s="174"/>
      <c r="K37" s="175"/>
      <c r="L37" s="174"/>
      <c r="M37" s="174"/>
      <c r="N37" s="174"/>
      <c r="O37" s="174"/>
      <c r="P37" s="174"/>
      <c r="Q37" s="175"/>
      <c r="R37" s="176"/>
      <c r="S37" s="262" t="s">
        <v>9991</v>
      </c>
      <c r="T37" s="263"/>
      <c r="U37" s="263"/>
      <c r="V37" s="263"/>
      <c r="W37" s="263"/>
      <c r="X37" s="264"/>
    </row>
    <row r="38" spans="1:90" ht="23.25" customHeight="1" thickBot="1" x14ac:dyDescent="0.25">
      <c r="A38" s="61"/>
      <c r="B38" s="174"/>
      <c r="C38" s="174"/>
      <c r="D38" s="174"/>
      <c r="E38" s="174"/>
      <c r="F38" s="174"/>
      <c r="G38" s="174"/>
      <c r="H38" s="174"/>
      <c r="I38" s="174"/>
      <c r="J38" s="174"/>
      <c r="K38" s="175"/>
      <c r="L38" s="174"/>
      <c r="M38" s="174"/>
      <c r="N38" s="174"/>
      <c r="O38" s="174"/>
      <c r="P38" s="174"/>
      <c r="Q38" s="175"/>
      <c r="R38" s="176"/>
      <c r="S38" s="262" t="s">
        <v>10041</v>
      </c>
      <c r="T38" s="263"/>
      <c r="U38" s="263"/>
      <c r="V38" s="263"/>
      <c r="W38" s="263"/>
      <c r="X38" s="264"/>
    </row>
    <row r="39" spans="1:90" ht="23.25" customHeight="1" thickBot="1" x14ac:dyDescent="0.25">
      <c r="A39" s="61"/>
      <c r="B39" s="174"/>
      <c r="C39" s="174"/>
      <c r="D39" s="174"/>
      <c r="E39" s="174"/>
      <c r="F39" s="174"/>
      <c r="G39" s="174"/>
      <c r="H39" s="174"/>
      <c r="I39" s="174"/>
      <c r="J39" s="174"/>
      <c r="K39" s="175"/>
      <c r="L39" s="174"/>
      <c r="M39" s="174"/>
      <c r="N39" s="174"/>
      <c r="O39" s="174"/>
      <c r="P39" s="174"/>
      <c r="Q39" s="175"/>
      <c r="R39" s="176"/>
      <c r="S39" s="262" t="s">
        <v>10079</v>
      </c>
      <c r="T39" s="263"/>
      <c r="U39" s="263"/>
      <c r="V39" s="263"/>
      <c r="W39" s="263"/>
      <c r="X39" s="264"/>
    </row>
    <row r="40" spans="1:90" ht="23.25" customHeight="1" thickBot="1" x14ac:dyDescent="0.25">
      <c r="A40" s="61"/>
      <c r="B40" s="174"/>
      <c r="C40" s="174"/>
      <c r="D40" s="174"/>
      <c r="E40" s="174"/>
      <c r="F40" s="174"/>
      <c r="G40" s="174"/>
      <c r="H40" s="174"/>
      <c r="I40" s="174"/>
      <c r="J40" s="174"/>
      <c r="K40" s="175"/>
      <c r="L40" s="174"/>
      <c r="M40" s="174"/>
      <c r="N40" s="174"/>
      <c r="O40" s="174"/>
      <c r="P40" s="174"/>
      <c r="Q40" s="175"/>
      <c r="R40" s="176"/>
      <c r="S40" s="262" t="s">
        <v>10147</v>
      </c>
      <c r="T40" s="263"/>
      <c r="U40" s="263"/>
      <c r="V40" s="263"/>
      <c r="W40" s="263"/>
      <c r="X40" s="264"/>
    </row>
    <row r="41" spans="1:90" ht="23.25" customHeight="1" thickBot="1" x14ac:dyDescent="0.25">
      <c r="A41" s="61"/>
      <c r="B41" s="174"/>
      <c r="C41" s="174"/>
      <c r="D41" s="174"/>
      <c r="E41" s="174"/>
      <c r="F41" s="174"/>
      <c r="G41" s="174"/>
      <c r="H41" s="174"/>
      <c r="I41" s="174"/>
      <c r="J41" s="174"/>
      <c r="K41" s="175"/>
      <c r="L41" s="174"/>
      <c r="M41" s="174"/>
      <c r="N41" s="174"/>
      <c r="O41" s="174"/>
      <c r="P41" s="174"/>
      <c r="Q41" s="175"/>
      <c r="R41" s="176"/>
      <c r="S41" s="262" t="s">
        <v>10257</v>
      </c>
      <c r="T41" s="263"/>
      <c r="U41" s="263"/>
      <c r="V41" s="263"/>
      <c r="W41" s="263"/>
      <c r="X41" s="264"/>
    </row>
    <row r="42" spans="1:90" ht="23.25" customHeight="1" thickBot="1" x14ac:dyDescent="0.25">
      <c r="A42" s="61"/>
      <c r="B42" s="174"/>
      <c r="C42" s="174"/>
      <c r="D42" s="174"/>
      <c r="E42" s="174"/>
      <c r="F42" s="174"/>
      <c r="G42" s="174"/>
      <c r="H42" s="174"/>
      <c r="I42" s="174"/>
      <c r="J42" s="174"/>
      <c r="K42" s="175"/>
      <c r="L42" s="174"/>
      <c r="M42" s="174"/>
      <c r="N42" s="174"/>
      <c r="O42" s="174"/>
      <c r="P42" s="174"/>
      <c r="Q42" s="175"/>
      <c r="R42" s="176"/>
      <c r="S42" s="262" t="s">
        <v>10258</v>
      </c>
      <c r="T42" s="263"/>
      <c r="U42" s="263"/>
      <c r="V42" s="263"/>
      <c r="W42" s="263"/>
      <c r="X42" s="264"/>
    </row>
    <row r="43" spans="1:90" ht="26.25" customHeight="1" thickBot="1" x14ac:dyDescent="0.25">
      <c r="A43" s="61"/>
      <c r="B43" s="174"/>
      <c r="C43" s="174"/>
      <c r="D43" s="174"/>
      <c r="E43" s="174"/>
      <c r="F43" s="174"/>
      <c r="G43" s="174"/>
      <c r="H43" s="174"/>
      <c r="I43" s="174"/>
      <c r="J43" s="174"/>
      <c r="K43" s="175"/>
      <c r="L43" s="174"/>
      <c r="M43" s="174"/>
      <c r="N43" s="174"/>
      <c r="O43" s="174"/>
      <c r="P43" s="174"/>
      <c r="Q43" s="175"/>
      <c r="R43" s="176"/>
      <c r="S43" s="177"/>
      <c r="T43" s="177"/>
      <c r="U43" s="177"/>
      <c r="V43" s="178"/>
      <c r="W43" s="178"/>
      <c r="X43" s="178"/>
    </row>
    <row r="44" spans="1:90" ht="117.75" customHeight="1" thickBot="1" x14ac:dyDescent="0.25">
      <c r="A44" s="179" t="s">
        <v>3177</v>
      </c>
      <c r="B44" s="180" t="s">
        <v>5254</v>
      </c>
      <c r="C44" s="179" t="s">
        <v>5255</v>
      </c>
      <c r="D44" s="179" t="s">
        <v>5256</v>
      </c>
      <c r="E44" s="179" t="s">
        <v>5257</v>
      </c>
      <c r="F44" s="179" t="s">
        <v>5258</v>
      </c>
      <c r="G44" s="179" t="s">
        <v>5259</v>
      </c>
      <c r="H44" s="179" t="s">
        <v>5260</v>
      </c>
      <c r="I44" s="179" t="s">
        <v>5261</v>
      </c>
      <c r="J44" s="179" t="s">
        <v>5262</v>
      </c>
      <c r="K44" s="179" t="s">
        <v>5263</v>
      </c>
      <c r="L44" s="179" t="s">
        <v>5264</v>
      </c>
      <c r="M44" s="179" t="s">
        <v>5265</v>
      </c>
      <c r="N44" s="179" t="s">
        <v>5266</v>
      </c>
      <c r="O44" s="179" t="s">
        <v>5267</v>
      </c>
      <c r="P44" s="179" t="s">
        <v>5268</v>
      </c>
      <c r="Q44" s="179" t="s">
        <v>5269</v>
      </c>
      <c r="R44" s="181" t="s">
        <v>5270</v>
      </c>
      <c r="S44" s="181" t="s">
        <v>5271</v>
      </c>
      <c r="T44" s="181" t="s">
        <v>5272</v>
      </c>
      <c r="U44" s="181" t="s">
        <v>5273</v>
      </c>
      <c r="V44" s="179" t="s">
        <v>5274</v>
      </c>
      <c r="W44" s="179" t="s">
        <v>5275</v>
      </c>
      <c r="X44" s="179" t="s">
        <v>5276</v>
      </c>
    </row>
    <row r="45" spans="1:90" ht="14.25" customHeight="1" thickBot="1" x14ac:dyDescent="0.25">
      <c r="A45" s="182">
        <v>1</v>
      </c>
      <c r="B45" s="183">
        <v>2</v>
      </c>
      <c r="C45" s="182">
        <v>3</v>
      </c>
      <c r="D45" s="182">
        <v>4</v>
      </c>
      <c r="E45" s="182">
        <v>5</v>
      </c>
      <c r="F45" s="182">
        <v>6</v>
      </c>
      <c r="G45" s="182">
        <v>7</v>
      </c>
      <c r="H45" s="182">
        <v>8</v>
      </c>
      <c r="I45" s="182">
        <v>9</v>
      </c>
      <c r="J45" s="182">
        <v>10</v>
      </c>
      <c r="K45" s="182">
        <v>11</v>
      </c>
      <c r="L45" s="182">
        <v>12</v>
      </c>
      <c r="M45" s="182">
        <v>13</v>
      </c>
      <c r="N45" s="182">
        <v>14</v>
      </c>
      <c r="O45" s="182">
        <v>15</v>
      </c>
      <c r="P45" s="182">
        <v>16</v>
      </c>
      <c r="Q45" s="182">
        <v>17</v>
      </c>
      <c r="R45" s="182">
        <v>18</v>
      </c>
      <c r="S45" s="182">
        <v>19</v>
      </c>
      <c r="T45" s="182">
        <v>20</v>
      </c>
      <c r="U45" s="182">
        <v>21</v>
      </c>
      <c r="V45" s="182">
        <v>22</v>
      </c>
      <c r="W45" s="184">
        <v>23</v>
      </c>
      <c r="X45" s="184">
        <v>24</v>
      </c>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row>
    <row r="46" spans="1:90" ht="38.25" customHeight="1" outlineLevel="1" x14ac:dyDescent="0.2">
      <c r="A46" s="1" t="s">
        <v>3587</v>
      </c>
      <c r="B46" s="24" t="s">
        <v>5277</v>
      </c>
      <c r="C46" s="7" t="s">
        <v>3596</v>
      </c>
      <c r="D46" s="7" t="s">
        <v>5278</v>
      </c>
      <c r="E46" s="18" t="s">
        <v>5279</v>
      </c>
      <c r="F46" s="186"/>
      <c r="G46" s="1" t="s">
        <v>3190</v>
      </c>
      <c r="H46" s="17">
        <v>1</v>
      </c>
      <c r="I46" s="18">
        <v>710000000</v>
      </c>
      <c r="J46" s="4" t="s">
        <v>1931</v>
      </c>
      <c r="K46" s="4" t="s">
        <v>5282</v>
      </c>
      <c r="L46" s="7" t="s">
        <v>2985</v>
      </c>
      <c r="M46" s="8" t="s">
        <v>3195</v>
      </c>
      <c r="N46" s="8" t="s">
        <v>1408</v>
      </c>
      <c r="O46" s="8" t="s">
        <v>5280</v>
      </c>
      <c r="P46" s="1">
        <v>214</v>
      </c>
      <c r="Q46" s="1" t="s">
        <v>3597</v>
      </c>
      <c r="R46" s="10">
        <v>15520931.758530183</v>
      </c>
      <c r="S46" s="10">
        <v>15.24</v>
      </c>
      <c r="T46" s="10">
        <v>0</v>
      </c>
      <c r="U46" s="10">
        <f t="shared" ref="U46:U195" si="0">T46*1.12</f>
        <v>0</v>
      </c>
      <c r="V46" s="8" t="s">
        <v>3027</v>
      </c>
      <c r="W46" s="11">
        <v>2015</v>
      </c>
      <c r="X46" s="1" t="s">
        <v>6562</v>
      </c>
    </row>
    <row r="47" spans="1:90" ht="38.25" customHeight="1" outlineLevel="1" x14ac:dyDescent="0.2">
      <c r="A47" s="1" t="s">
        <v>6568</v>
      </c>
      <c r="B47" s="24" t="s">
        <v>5277</v>
      </c>
      <c r="C47" s="7" t="s">
        <v>3596</v>
      </c>
      <c r="D47" s="7" t="s">
        <v>5278</v>
      </c>
      <c r="E47" s="18" t="s">
        <v>5279</v>
      </c>
      <c r="F47" s="186"/>
      <c r="G47" s="1" t="s">
        <v>3190</v>
      </c>
      <c r="H47" s="17">
        <v>1</v>
      </c>
      <c r="I47" s="18">
        <v>710000000</v>
      </c>
      <c r="J47" s="4" t="s">
        <v>1931</v>
      </c>
      <c r="K47" s="4" t="s">
        <v>5282</v>
      </c>
      <c r="L47" s="7" t="s">
        <v>2985</v>
      </c>
      <c r="M47" s="8" t="s">
        <v>3195</v>
      </c>
      <c r="N47" s="8" t="s">
        <v>1408</v>
      </c>
      <c r="O47" s="8" t="s">
        <v>5280</v>
      </c>
      <c r="P47" s="1">
        <v>214</v>
      </c>
      <c r="Q47" s="1" t="s">
        <v>3597</v>
      </c>
      <c r="R47" s="10">
        <f>T47/S47</f>
        <v>14182742.78215223</v>
      </c>
      <c r="S47" s="10">
        <v>15.24</v>
      </c>
      <c r="T47" s="10">
        <f>109215000+9948000+87951000+8266000+765000</f>
        <v>216145000</v>
      </c>
      <c r="U47" s="10">
        <f t="shared" ref="U47" si="1">T47*1.12</f>
        <v>242082400.00000003</v>
      </c>
      <c r="V47" s="8" t="s">
        <v>3027</v>
      </c>
      <c r="W47" s="11">
        <v>2015</v>
      </c>
      <c r="X47" s="20"/>
    </row>
    <row r="48" spans="1:90" ht="38.25" customHeight="1" outlineLevel="1" x14ac:dyDescent="0.2">
      <c r="A48" s="1" t="s">
        <v>3588</v>
      </c>
      <c r="B48" s="24" t="s">
        <v>5277</v>
      </c>
      <c r="C48" s="7" t="s">
        <v>3596</v>
      </c>
      <c r="D48" s="7" t="s">
        <v>5278</v>
      </c>
      <c r="E48" s="18" t="s">
        <v>5279</v>
      </c>
      <c r="F48" s="186"/>
      <c r="G48" s="4" t="s">
        <v>3190</v>
      </c>
      <c r="H48" s="17">
        <v>1</v>
      </c>
      <c r="I48" s="18">
        <v>710000000</v>
      </c>
      <c r="J48" s="4" t="s">
        <v>1931</v>
      </c>
      <c r="K48" s="4" t="s">
        <v>5282</v>
      </c>
      <c r="L48" s="7" t="s">
        <v>1409</v>
      </c>
      <c r="M48" s="8" t="s">
        <v>3195</v>
      </c>
      <c r="N48" s="8" t="s">
        <v>1408</v>
      </c>
      <c r="O48" s="8" t="s">
        <v>5280</v>
      </c>
      <c r="P48" s="1">
        <v>214</v>
      </c>
      <c r="Q48" s="1" t="s">
        <v>3597</v>
      </c>
      <c r="R48" s="10">
        <f>T48/S48</f>
        <v>2440664.7788565266</v>
      </c>
      <c r="S48" s="10">
        <v>18.54</v>
      </c>
      <c r="T48" s="10">
        <v>45249925</v>
      </c>
      <c r="U48" s="10">
        <f t="shared" si="0"/>
        <v>50679916.000000007</v>
      </c>
      <c r="V48" s="8" t="s">
        <v>3027</v>
      </c>
      <c r="W48" s="11">
        <v>2015</v>
      </c>
      <c r="X48" s="20"/>
    </row>
    <row r="49" spans="1:24" ht="38.25" customHeight="1" outlineLevel="1" x14ac:dyDescent="0.2">
      <c r="A49" s="1" t="s">
        <v>3589</v>
      </c>
      <c r="B49" s="24" t="s">
        <v>5277</v>
      </c>
      <c r="C49" s="7" t="s">
        <v>3596</v>
      </c>
      <c r="D49" s="7" t="s">
        <v>5278</v>
      </c>
      <c r="E49" s="18" t="s">
        <v>5279</v>
      </c>
      <c r="F49" s="186"/>
      <c r="G49" s="1" t="s">
        <v>3190</v>
      </c>
      <c r="H49" s="17">
        <v>1</v>
      </c>
      <c r="I49" s="18">
        <v>710000000</v>
      </c>
      <c r="J49" s="4" t="s">
        <v>1931</v>
      </c>
      <c r="K49" s="4" t="s">
        <v>5282</v>
      </c>
      <c r="L49" s="7" t="s">
        <v>3040</v>
      </c>
      <c r="M49" s="8" t="s">
        <v>3195</v>
      </c>
      <c r="N49" s="8" t="s">
        <v>1408</v>
      </c>
      <c r="O49" s="8" t="s">
        <v>5280</v>
      </c>
      <c r="P49" s="1">
        <v>214</v>
      </c>
      <c r="Q49" s="1" t="s">
        <v>3597</v>
      </c>
      <c r="R49" s="10">
        <v>3000</v>
      </c>
      <c r="S49" s="10">
        <v>33.950000000000003</v>
      </c>
      <c r="T49" s="10">
        <v>0</v>
      </c>
      <c r="U49" s="10">
        <f t="shared" si="0"/>
        <v>0</v>
      </c>
      <c r="V49" s="8" t="s">
        <v>3027</v>
      </c>
      <c r="W49" s="11">
        <v>2015</v>
      </c>
      <c r="X49" s="1" t="s">
        <v>6565</v>
      </c>
    </row>
    <row r="50" spans="1:24" ht="38.25" customHeight="1" outlineLevel="1" x14ac:dyDescent="0.2">
      <c r="A50" s="1" t="s">
        <v>3590</v>
      </c>
      <c r="B50" s="24" t="s">
        <v>5277</v>
      </c>
      <c r="C50" s="7" t="s">
        <v>3596</v>
      </c>
      <c r="D50" s="7" t="s">
        <v>5278</v>
      </c>
      <c r="E50" s="18" t="s">
        <v>5279</v>
      </c>
      <c r="F50" s="186"/>
      <c r="G50" s="1" t="s">
        <v>3190</v>
      </c>
      <c r="H50" s="17">
        <v>1</v>
      </c>
      <c r="I50" s="18">
        <v>710000000</v>
      </c>
      <c r="J50" s="4" t="s">
        <v>1931</v>
      </c>
      <c r="K50" s="4" t="s">
        <v>5282</v>
      </c>
      <c r="L50" s="7" t="s">
        <v>1356</v>
      </c>
      <c r="M50" s="8" t="s">
        <v>3195</v>
      </c>
      <c r="N50" s="8" t="s">
        <v>1408</v>
      </c>
      <c r="O50" s="8" t="s">
        <v>5280</v>
      </c>
      <c r="P50" s="1">
        <v>214</v>
      </c>
      <c r="Q50" s="1" t="s">
        <v>3597</v>
      </c>
      <c r="R50" s="10">
        <f>T50/S50</f>
        <v>2979614.1099415203</v>
      </c>
      <c r="S50" s="10">
        <v>17.100000000000001</v>
      </c>
      <c r="T50" s="10">
        <v>50951401.280000001</v>
      </c>
      <c r="U50" s="10">
        <f t="shared" si="0"/>
        <v>57065569.433600008</v>
      </c>
      <c r="V50" s="8" t="s">
        <v>3027</v>
      </c>
      <c r="W50" s="11">
        <v>2015</v>
      </c>
      <c r="X50" s="20"/>
    </row>
    <row r="51" spans="1:24" ht="38.25" customHeight="1" outlineLevel="1" x14ac:dyDescent="0.2">
      <c r="A51" s="1" t="s">
        <v>3591</v>
      </c>
      <c r="B51" s="24" t="s">
        <v>5277</v>
      </c>
      <c r="C51" s="7" t="s">
        <v>1410</v>
      </c>
      <c r="D51" s="7" t="s">
        <v>1411</v>
      </c>
      <c r="E51" s="18" t="s">
        <v>1412</v>
      </c>
      <c r="F51" s="186"/>
      <c r="G51" s="1" t="s">
        <v>3190</v>
      </c>
      <c r="H51" s="17">
        <v>1</v>
      </c>
      <c r="I51" s="18">
        <v>710000000</v>
      </c>
      <c r="J51" s="4" t="s">
        <v>1931</v>
      </c>
      <c r="K51" s="4" t="s">
        <v>5282</v>
      </c>
      <c r="L51" s="7" t="s">
        <v>2985</v>
      </c>
      <c r="M51" s="8" t="s">
        <v>3195</v>
      </c>
      <c r="N51" s="8" t="s">
        <v>1408</v>
      </c>
      <c r="O51" s="8" t="s">
        <v>5280</v>
      </c>
      <c r="P51" s="1">
        <v>233</v>
      </c>
      <c r="Q51" s="4" t="s">
        <v>1413</v>
      </c>
      <c r="R51" s="10">
        <v>23365.475839958122</v>
      </c>
      <c r="S51" s="10">
        <v>2445.36</v>
      </c>
      <c r="T51" s="10">
        <v>0</v>
      </c>
      <c r="U51" s="10">
        <f t="shared" si="0"/>
        <v>0</v>
      </c>
      <c r="V51" s="8" t="s">
        <v>3027</v>
      </c>
      <c r="W51" s="11">
        <v>2015</v>
      </c>
      <c r="X51" s="1" t="s">
        <v>6562</v>
      </c>
    </row>
    <row r="52" spans="1:24" ht="38.25" customHeight="1" outlineLevel="1" x14ac:dyDescent="0.2">
      <c r="A52" s="1" t="s">
        <v>6569</v>
      </c>
      <c r="B52" s="24" t="s">
        <v>5277</v>
      </c>
      <c r="C52" s="7" t="s">
        <v>1410</v>
      </c>
      <c r="D52" s="7" t="s">
        <v>1411</v>
      </c>
      <c r="E52" s="18" t="s">
        <v>1412</v>
      </c>
      <c r="F52" s="186"/>
      <c r="G52" s="1" t="s">
        <v>3190</v>
      </c>
      <c r="H52" s="17">
        <v>1</v>
      </c>
      <c r="I52" s="18">
        <v>710000000</v>
      </c>
      <c r="J52" s="4" t="s">
        <v>1931</v>
      </c>
      <c r="K52" s="4" t="s">
        <v>5282</v>
      </c>
      <c r="L52" s="7" t="s">
        <v>2985</v>
      </c>
      <c r="M52" s="8" t="s">
        <v>3195</v>
      </c>
      <c r="N52" s="8" t="s">
        <v>1408</v>
      </c>
      <c r="O52" s="8" t="s">
        <v>5280</v>
      </c>
      <c r="P52" s="1">
        <v>233</v>
      </c>
      <c r="Q52" s="4" t="s">
        <v>1413</v>
      </c>
      <c r="R52" s="10">
        <f>T52/S52</f>
        <v>16933.294075309976</v>
      </c>
      <c r="S52" s="10">
        <v>2445.36</v>
      </c>
      <c r="T52" s="10">
        <f>20968000+19897000+543000</f>
        <v>41408000</v>
      </c>
      <c r="U52" s="10">
        <f t="shared" ref="U52" si="2">T52*1.12</f>
        <v>46376960.000000007</v>
      </c>
      <c r="V52" s="8" t="s">
        <v>3027</v>
      </c>
      <c r="W52" s="11">
        <v>2015</v>
      </c>
      <c r="X52" s="20"/>
    </row>
    <row r="53" spans="1:24" ht="38.25" customHeight="1" outlineLevel="1" x14ac:dyDescent="0.2">
      <c r="A53" s="1" t="s">
        <v>3592</v>
      </c>
      <c r="B53" s="24" t="s">
        <v>5277</v>
      </c>
      <c r="C53" s="7" t="s">
        <v>1410</v>
      </c>
      <c r="D53" s="7" t="s">
        <v>1411</v>
      </c>
      <c r="E53" s="18" t="s">
        <v>1412</v>
      </c>
      <c r="F53" s="186"/>
      <c r="G53" s="1" t="s">
        <v>3190</v>
      </c>
      <c r="H53" s="17">
        <v>1</v>
      </c>
      <c r="I53" s="18">
        <v>710000000</v>
      </c>
      <c r="J53" s="4" t="s">
        <v>1931</v>
      </c>
      <c r="K53" s="4" t="s">
        <v>5282</v>
      </c>
      <c r="L53" s="7" t="s">
        <v>3040</v>
      </c>
      <c r="M53" s="8" t="s">
        <v>3195</v>
      </c>
      <c r="N53" s="8" t="s">
        <v>1408</v>
      </c>
      <c r="O53" s="8" t="s">
        <v>5280</v>
      </c>
      <c r="P53" s="1">
        <v>233</v>
      </c>
      <c r="Q53" s="4" t="s">
        <v>1413</v>
      </c>
      <c r="R53" s="10">
        <v>30</v>
      </c>
      <c r="S53" s="10">
        <v>3891.8</v>
      </c>
      <c r="T53" s="10">
        <v>0</v>
      </c>
      <c r="U53" s="10">
        <f t="shared" si="0"/>
        <v>0</v>
      </c>
      <c r="V53" s="8" t="s">
        <v>3027</v>
      </c>
      <c r="W53" s="11">
        <v>2015</v>
      </c>
      <c r="X53" s="1" t="s">
        <v>6565</v>
      </c>
    </row>
    <row r="54" spans="1:24" ht="38.25" customHeight="1" outlineLevel="1" x14ac:dyDescent="0.2">
      <c r="A54" s="1" t="s">
        <v>3593</v>
      </c>
      <c r="B54" s="24" t="s">
        <v>5277</v>
      </c>
      <c r="C54" s="187" t="s">
        <v>3601</v>
      </c>
      <c r="D54" s="188" t="s">
        <v>5290</v>
      </c>
      <c r="E54" s="188" t="s">
        <v>5291</v>
      </c>
      <c r="F54" s="189"/>
      <c r="G54" s="4" t="s">
        <v>3190</v>
      </c>
      <c r="H54" s="22">
        <v>1</v>
      </c>
      <c r="I54" s="18">
        <v>710000000</v>
      </c>
      <c r="J54" s="4" t="s">
        <v>1931</v>
      </c>
      <c r="K54" s="4" t="s">
        <v>5292</v>
      </c>
      <c r="L54" s="7" t="s">
        <v>2985</v>
      </c>
      <c r="M54" s="8" t="s">
        <v>3195</v>
      </c>
      <c r="N54" s="8" t="s">
        <v>1408</v>
      </c>
      <c r="O54" s="4" t="s">
        <v>5280</v>
      </c>
      <c r="P54" s="4">
        <v>113</v>
      </c>
      <c r="Q54" s="4" t="s">
        <v>5293</v>
      </c>
      <c r="R54" s="10">
        <v>2560</v>
      </c>
      <c r="S54" s="10">
        <f>120/1.12</f>
        <v>107.14285714285714</v>
      </c>
      <c r="T54" s="10">
        <f>R54*S54</f>
        <v>274285.71428571426</v>
      </c>
      <c r="U54" s="10">
        <f t="shared" si="0"/>
        <v>307200</v>
      </c>
      <c r="V54" s="8" t="s">
        <v>3027</v>
      </c>
      <c r="W54" s="11">
        <v>2015</v>
      </c>
      <c r="X54" s="4"/>
    </row>
    <row r="55" spans="1:24" ht="38.25" customHeight="1" outlineLevel="1" x14ac:dyDescent="0.2">
      <c r="A55" s="1" t="s">
        <v>3594</v>
      </c>
      <c r="B55" s="16" t="s">
        <v>5277</v>
      </c>
      <c r="C55" s="7" t="s">
        <v>3316</v>
      </c>
      <c r="D55" s="7" t="s">
        <v>3024</v>
      </c>
      <c r="E55" s="18" t="s">
        <v>1937</v>
      </c>
      <c r="F55" s="25" t="s">
        <v>5281</v>
      </c>
      <c r="G55" s="1" t="s">
        <v>3190</v>
      </c>
      <c r="H55" s="17" t="s">
        <v>3025</v>
      </c>
      <c r="I55" s="18">
        <v>710000000</v>
      </c>
      <c r="J55" s="4" t="s">
        <v>1931</v>
      </c>
      <c r="K55" s="4" t="s">
        <v>5282</v>
      </c>
      <c r="L55" s="7" t="s">
        <v>2985</v>
      </c>
      <c r="M55" s="8" t="s">
        <v>3195</v>
      </c>
      <c r="N55" s="8" t="s">
        <v>1408</v>
      </c>
      <c r="O55" s="8" t="s">
        <v>5283</v>
      </c>
      <c r="P55" s="1">
        <v>112</v>
      </c>
      <c r="Q55" s="4" t="s">
        <v>3026</v>
      </c>
      <c r="R55" s="10">
        <v>600920</v>
      </c>
      <c r="S55" s="10">
        <v>135.71</v>
      </c>
      <c r="T55" s="10">
        <v>0</v>
      </c>
      <c r="U55" s="10">
        <f>T55*1.12</f>
        <v>0</v>
      </c>
      <c r="V55" s="8" t="s">
        <v>3027</v>
      </c>
      <c r="W55" s="11">
        <v>2015</v>
      </c>
      <c r="X55" s="1" t="s">
        <v>6582</v>
      </c>
    </row>
    <row r="56" spans="1:24" ht="38.25" customHeight="1" outlineLevel="1" x14ac:dyDescent="0.2">
      <c r="A56" s="1" t="s">
        <v>6971</v>
      </c>
      <c r="B56" s="16" t="s">
        <v>5277</v>
      </c>
      <c r="C56" s="7" t="s">
        <v>3316</v>
      </c>
      <c r="D56" s="7" t="s">
        <v>3024</v>
      </c>
      <c r="E56" s="18" t="s">
        <v>1937</v>
      </c>
      <c r="F56" s="25" t="s">
        <v>5281</v>
      </c>
      <c r="G56" s="1" t="s">
        <v>3190</v>
      </c>
      <c r="H56" s="17" t="s">
        <v>3025</v>
      </c>
      <c r="I56" s="18">
        <v>710000000</v>
      </c>
      <c r="J56" s="4" t="s">
        <v>1931</v>
      </c>
      <c r="K56" s="4" t="s">
        <v>5282</v>
      </c>
      <c r="L56" s="7" t="s">
        <v>2985</v>
      </c>
      <c r="M56" s="8" t="s">
        <v>3195</v>
      </c>
      <c r="N56" s="8" t="s">
        <v>1408</v>
      </c>
      <c r="O56" s="8" t="s">
        <v>5283</v>
      </c>
      <c r="P56" s="1">
        <v>112</v>
      </c>
      <c r="Q56" s="4" t="s">
        <v>3026</v>
      </c>
      <c r="R56" s="10">
        <v>600920</v>
      </c>
      <c r="S56" s="10">
        <v>131.25</v>
      </c>
      <c r="T56" s="10">
        <v>0</v>
      </c>
      <c r="U56" s="10">
        <f>T56*1.12</f>
        <v>0</v>
      </c>
      <c r="V56" s="8" t="s">
        <v>3027</v>
      </c>
      <c r="W56" s="11">
        <v>2015</v>
      </c>
      <c r="X56" s="1" t="s">
        <v>7597</v>
      </c>
    </row>
    <row r="57" spans="1:24" ht="38.25" customHeight="1" outlineLevel="1" x14ac:dyDescent="0.2">
      <c r="A57" s="1" t="s">
        <v>7596</v>
      </c>
      <c r="B57" s="16" t="s">
        <v>5277</v>
      </c>
      <c r="C57" s="7" t="s">
        <v>3316</v>
      </c>
      <c r="D57" s="7" t="s">
        <v>3024</v>
      </c>
      <c r="E57" s="18" t="s">
        <v>1937</v>
      </c>
      <c r="F57" s="25" t="s">
        <v>5281</v>
      </c>
      <c r="G57" s="1" t="s">
        <v>3190</v>
      </c>
      <c r="H57" s="17" t="s">
        <v>3025</v>
      </c>
      <c r="I57" s="18">
        <v>710000000</v>
      </c>
      <c r="J57" s="4" t="s">
        <v>1931</v>
      </c>
      <c r="K57" s="4" t="s">
        <v>7311</v>
      </c>
      <c r="L57" s="7" t="s">
        <v>2985</v>
      </c>
      <c r="M57" s="8" t="s">
        <v>3195</v>
      </c>
      <c r="N57" s="8" t="s">
        <v>1408</v>
      </c>
      <c r="O57" s="8" t="s">
        <v>5283</v>
      </c>
      <c r="P57" s="1">
        <v>112</v>
      </c>
      <c r="Q57" s="4" t="s">
        <v>3026</v>
      </c>
      <c r="R57" s="10">
        <v>600920</v>
      </c>
      <c r="S57" s="10">
        <v>119.64</v>
      </c>
      <c r="T57" s="10">
        <v>0</v>
      </c>
      <c r="U57" s="10">
        <f>T57*1.12</f>
        <v>0</v>
      </c>
      <c r="V57" s="8" t="s">
        <v>3027</v>
      </c>
      <c r="W57" s="11">
        <v>2015</v>
      </c>
      <c r="X57" s="1">
        <v>11.19</v>
      </c>
    </row>
    <row r="58" spans="1:24" ht="38.25" customHeight="1" outlineLevel="1" x14ac:dyDescent="0.2">
      <c r="A58" s="1" t="s">
        <v>8685</v>
      </c>
      <c r="B58" s="16" t="s">
        <v>5277</v>
      </c>
      <c r="C58" s="7" t="s">
        <v>3316</v>
      </c>
      <c r="D58" s="7" t="s">
        <v>3024</v>
      </c>
      <c r="E58" s="18" t="s">
        <v>1937</v>
      </c>
      <c r="F58" s="25" t="s">
        <v>5281</v>
      </c>
      <c r="G58" s="1" t="s">
        <v>3190</v>
      </c>
      <c r="H58" s="17" t="s">
        <v>3025</v>
      </c>
      <c r="I58" s="18">
        <v>710000000</v>
      </c>
      <c r="J58" s="4" t="s">
        <v>1931</v>
      </c>
      <c r="K58" s="4" t="s">
        <v>8684</v>
      </c>
      <c r="L58" s="7" t="s">
        <v>2985</v>
      </c>
      <c r="M58" s="8" t="s">
        <v>3195</v>
      </c>
      <c r="N58" s="8" t="s">
        <v>1408</v>
      </c>
      <c r="O58" s="8" t="s">
        <v>5283</v>
      </c>
      <c r="P58" s="1">
        <v>112</v>
      </c>
      <c r="Q58" s="4" t="s">
        <v>3026</v>
      </c>
      <c r="R58" s="10">
        <f>T58/S58</f>
        <v>676650.05929411761</v>
      </c>
      <c r="S58" s="10">
        <v>106.25</v>
      </c>
      <c r="T58" s="10">
        <v>71894068.799999997</v>
      </c>
      <c r="U58" s="10">
        <f>T58*1.12</f>
        <v>80521357.056000009</v>
      </c>
      <c r="V58" s="8" t="s">
        <v>3027</v>
      </c>
      <c r="W58" s="11">
        <v>2015</v>
      </c>
      <c r="X58" s="1"/>
    </row>
    <row r="59" spans="1:24" ht="38.25" customHeight="1" outlineLevel="1" x14ac:dyDescent="0.2">
      <c r="A59" s="1" t="s">
        <v>3595</v>
      </c>
      <c r="B59" s="16" t="s">
        <v>5277</v>
      </c>
      <c r="C59" s="7" t="s">
        <v>3023</v>
      </c>
      <c r="D59" s="7" t="s">
        <v>3024</v>
      </c>
      <c r="E59" s="18" t="s">
        <v>5284</v>
      </c>
      <c r="F59" s="25" t="s">
        <v>5281</v>
      </c>
      <c r="G59" s="1" t="s">
        <v>3190</v>
      </c>
      <c r="H59" s="17" t="s">
        <v>3025</v>
      </c>
      <c r="I59" s="18">
        <v>710000000</v>
      </c>
      <c r="J59" s="4" t="s">
        <v>1931</v>
      </c>
      <c r="K59" s="4" t="s">
        <v>5282</v>
      </c>
      <c r="L59" s="7" t="s">
        <v>2985</v>
      </c>
      <c r="M59" s="8" t="s">
        <v>3195</v>
      </c>
      <c r="N59" s="8" t="s">
        <v>1408</v>
      </c>
      <c r="O59" s="8" t="s">
        <v>5283</v>
      </c>
      <c r="P59" s="1">
        <v>112</v>
      </c>
      <c r="Q59" s="4" t="s">
        <v>3026</v>
      </c>
      <c r="R59" s="10">
        <v>236730</v>
      </c>
      <c r="S59" s="10">
        <v>97.32</v>
      </c>
      <c r="T59" s="10">
        <v>0</v>
      </c>
      <c r="U59" s="10">
        <f t="shared" ref="U59:U101" si="3">T59*1.12</f>
        <v>0</v>
      </c>
      <c r="V59" s="8" t="s">
        <v>3027</v>
      </c>
      <c r="W59" s="11">
        <v>2015</v>
      </c>
      <c r="X59" s="1" t="s">
        <v>6582</v>
      </c>
    </row>
    <row r="60" spans="1:24" ht="38.25" customHeight="1" outlineLevel="1" x14ac:dyDescent="0.2">
      <c r="A60" s="1" t="s">
        <v>6972</v>
      </c>
      <c r="B60" s="16" t="s">
        <v>5277</v>
      </c>
      <c r="C60" s="7" t="s">
        <v>3023</v>
      </c>
      <c r="D60" s="7" t="s">
        <v>3024</v>
      </c>
      <c r="E60" s="18" t="s">
        <v>5284</v>
      </c>
      <c r="F60" s="25" t="s">
        <v>5281</v>
      </c>
      <c r="G60" s="1" t="s">
        <v>3190</v>
      </c>
      <c r="H60" s="17" t="s">
        <v>3025</v>
      </c>
      <c r="I60" s="18">
        <v>710000000</v>
      </c>
      <c r="J60" s="4" t="s">
        <v>1931</v>
      </c>
      <c r="K60" s="4" t="s">
        <v>5282</v>
      </c>
      <c r="L60" s="7" t="s">
        <v>2985</v>
      </c>
      <c r="M60" s="8" t="s">
        <v>3195</v>
      </c>
      <c r="N60" s="8" t="s">
        <v>1408</v>
      </c>
      <c r="O60" s="8" t="s">
        <v>5283</v>
      </c>
      <c r="P60" s="1">
        <v>112</v>
      </c>
      <c r="Q60" s="4" t="s">
        <v>3026</v>
      </c>
      <c r="R60" s="10">
        <v>236730</v>
      </c>
      <c r="S60" s="10">
        <v>88.39</v>
      </c>
      <c r="T60" s="10">
        <v>0</v>
      </c>
      <c r="U60" s="10">
        <f t="shared" si="3"/>
        <v>0</v>
      </c>
      <c r="V60" s="8" t="s">
        <v>3027</v>
      </c>
      <c r="W60" s="11">
        <v>2015</v>
      </c>
      <c r="X60" s="1">
        <v>11.19</v>
      </c>
    </row>
    <row r="61" spans="1:24" ht="38.25" customHeight="1" outlineLevel="1" x14ac:dyDescent="0.2">
      <c r="A61" s="1" t="s">
        <v>8686</v>
      </c>
      <c r="B61" s="16" t="s">
        <v>5277</v>
      </c>
      <c r="C61" s="7" t="s">
        <v>3023</v>
      </c>
      <c r="D61" s="7" t="s">
        <v>3024</v>
      </c>
      <c r="E61" s="18" t="s">
        <v>5284</v>
      </c>
      <c r="F61" s="25" t="s">
        <v>5281</v>
      </c>
      <c r="G61" s="1" t="s">
        <v>3190</v>
      </c>
      <c r="H61" s="17" t="s">
        <v>3025</v>
      </c>
      <c r="I61" s="18">
        <v>710000000</v>
      </c>
      <c r="J61" s="4" t="s">
        <v>1931</v>
      </c>
      <c r="K61" s="4" t="s">
        <v>8744</v>
      </c>
      <c r="L61" s="7" t="s">
        <v>2985</v>
      </c>
      <c r="M61" s="8" t="s">
        <v>3195</v>
      </c>
      <c r="N61" s="8" t="s">
        <v>1408</v>
      </c>
      <c r="O61" s="8" t="s">
        <v>5283</v>
      </c>
      <c r="P61" s="1">
        <v>112</v>
      </c>
      <c r="Q61" s="4" t="s">
        <v>3026</v>
      </c>
      <c r="R61" s="10">
        <f>T61/S61</f>
        <v>0</v>
      </c>
      <c r="S61" s="10">
        <v>96.42</v>
      </c>
      <c r="T61" s="10">
        <v>0</v>
      </c>
      <c r="U61" s="10">
        <f>T61*1.12</f>
        <v>0</v>
      </c>
      <c r="V61" s="8" t="s">
        <v>3027</v>
      </c>
      <c r="W61" s="11">
        <v>2015</v>
      </c>
      <c r="X61" s="1">
        <v>18.190000000000001</v>
      </c>
    </row>
    <row r="62" spans="1:24" ht="38.25" customHeight="1" outlineLevel="1" x14ac:dyDescent="0.2">
      <c r="A62" s="1" t="s">
        <v>9998</v>
      </c>
      <c r="B62" s="16" t="s">
        <v>5277</v>
      </c>
      <c r="C62" s="7" t="s">
        <v>3023</v>
      </c>
      <c r="D62" s="7" t="s">
        <v>3024</v>
      </c>
      <c r="E62" s="18" t="s">
        <v>5284</v>
      </c>
      <c r="F62" s="25" t="s">
        <v>5281</v>
      </c>
      <c r="G62" s="1" t="s">
        <v>3190</v>
      </c>
      <c r="H62" s="17" t="s">
        <v>3025</v>
      </c>
      <c r="I62" s="18">
        <v>710000000</v>
      </c>
      <c r="J62" s="4" t="s">
        <v>1931</v>
      </c>
      <c r="K62" s="4" t="s">
        <v>8744</v>
      </c>
      <c r="L62" s="7" t="s">
        <v>2985</v>
      </c>
      <c r="M62" s="8" t="s">
        <v>3195</v>
      </c>
      <c r="N62" s="8" t="s">
        <v>1408</v>
      </c>
      <c r="O62" s="8" t="s">
        <v>5283</v>
      </c>
      <c r="P62" s="1">
        <v>112</v>
      </c>
      <c r="Q62" s="4" t="s">
        <v>3026</v>
      </c>
      <c r="R62" s="10">
        <f>T62/S62</f>
        <v>180275.39157405015</v>
      </c>
      <c r="S62" s="10">
        <v>116.07</v>
      </c>
      <c r="T62" s="10">
        <v>20924564.699999999</v>
      </c>
      <c r="U62" s="10">
        <f>T62*1.12</f>
        <v>23435512.464000002</v>
      </c>
      <c r="V62" s="8" t="s">
        <v>3027</v>
      </c>
      <c r="W62" s="11">
        <v>2015</v>
      </c>
      <c r="X62" s="1"/>
    </row>
    <row r="63" spans="1:24" ht="38.25" customHeight="1" outlineLevel="1" x14ac:dyDescent="0.2">
      <c r="A63" s="1" t="s">
        <v>3598</v>
      </c>
      <c r="B63" s="16" t="s">
        <v>5277</v>
      </c>
      <c r="C63" s="7" t="s">
        <v>3317</v>
      </c>
      <c r="D63" s="7" t="s">
        <v>3024</v>
      </c>
      <c r="E63" s="18" t="s">
        <v>5285</v>
      </c>
      <c r="F63" s="25" t="s">
        <v>5281</v>
      </c>
      <c r="G63" s="1" t="s">
        <v>3190</v>
      </c>
      <c r="H63" s="17" t="s">
        <v>3025</v>
      </c>
      <c r="I63" s="18">
        <v>710000000</v>
      </c>
      <c r="J63" s="4" t="s">
        <v>1931</v>
      </c>
      <c r="K63" s="4" t="s">
        <v>5282</v>
      </c>
      <c r="L63" s="7" t="s">
        <v>2985</v>
      </c>
      <c r="M63" s="8" t="s">
        <v>3195</v>
      </c>
      <c r="N63" s="8" t="s">
        <v>1408</v>
      </c>
      <c r="O63" s="8" t="s">
        <v>5283</v>
      </c>
      <c r="P63" s="1">
        <v>112</v>
      </c>
      <c r="Q63" s="4" t="s">
        <v>3026</v>
      </c>
      <c r="R63" s="10">
        <v>25050</v>
      </c>
      <c r="S63" s="10">
        <v>79.459999999999994</v>
      </c>
      <c r="T63" s="10">
        <v>0</v>
      </c>
      <c r="U63" s="10">
        <f t="shared" si="3"/>
        <v>0</v>
      </c>
      <c r="V63" s="8" t="s">
        <v>3027</v>
      </c>
      <c r="W63" s="11">
        <v>2015</v>
      </c>
      <c r="X63" s="1" t="s">
        <v>6582</v>
      </c>
    </row>
    <row r="64" spans="1:24" ht="38.25" customHeight="1" outlineLevel="1" x14ac:dyDescent="0.2">
      <c r="A64" s="1" t="s">
        <v>6973</v>
      </c>
      <c r="B64" s="16" t="s">
        <v>5277</v>
      </c>
      <c r="C64" s="7" t="s">
        <v>3317</v>
      </c>
      <c r="D64" s="7" t="s">
        <v>3024</v>
      </c>
      <c r="E64" s="18" t="s">
        <v>5285</v>
      </c>
      <c r="F64" s="25" t="s">
        <v>5281</v>
      </c>
      <c r="G64" s="1" t="s">
        <v>3190</v>
      </c>
      <c r="H64" s="17" t="s">
        <v>3025</v>
      </c>
      <c r="I64" s="18">
        <v>710000000</v>
      </c>
      <c r="J64" s="4" t="s">
        <v>1931</v>
      </c>
      <c r="K64" s="4" t="s">
        <v>5282</v>
      </c>
      <c r="L64" s="7" t="s">
        <v>2985</v>
      </c>
      <c r="M64" s="8" t="s">
        <v>3195</v>
      </c>
      <c r="N64" s="8" t="s">
        <v>1408</v>
      </c>
      <c r="O64" s="8" t="s">
        <v>5283</v>
      </c>
      <c r="P64" s="1">
        <v>112</v>
      </c>
      <c r="Q64" s="4" t="s">
        <v>3026</v>
      </c>
      <c r="R64" s="10">
        <v>25050</v>
      </c>
      <c r="S64" s="10">
        <v>77.680000000000007</v>
      </c>
      <c r="T64" s="10">
        <v>0</v>
      </c>
      <c r="U64" s="10">
        <f t="shared" si="3"/>
        <v>0</v>
      </c>
      <c r="V64" s="8" t="s">
        <v>3027</v>
      </c>
      <c r="W64" s="11">
        <v>2015</v>
      </c>
      <c r="X64" s="1">
        <v>11.19</v>
      </c>
    </row>
    <row r="65" spans="1:24" ht="38.25" customHeight="1" outlineLevel="1" x14ac:dyDescent="0.2">
      <c r="A65" s="1" t="s">
        <v>8688</v>
      </c>
      <c r="B65" s="16" t="s">
        <v>5277</v>
      </c>
      <c r="C65" s="7" t="s">
        <v>3317</v>
      </c>
      <c r="D65" s="7" t="s">
        <v>3024</v>
      </c>
      <c r="E65" s="18" t="s">
        <v>5285</v>
      </c>
      <c r="F65" s="25" t="s">
        <v>5281</v>
      </c>
      <c r="G65" s="1" t="s">
        <v>3190</v>
      </c>
      <c r="H65" s="17" t="s">
        <v>3025</v>
      </c>
      <c r="I65" s="18">
        <v>710000000</v>
      </c>
      <c r="J65" s="4" t="s">
        <v>1931</v>
      </c>
      <c r="K65" s="4" t="s">
        <v>8687</v>
      </c>
      <c r="L65" s="7" t="s">
        <v>2985</v>
      </c>
      <c r="M65" s="8" t="s">
        <v>3195</v>
      </c>
      <c r="N65" s="8" t="s">
        <v>1408</v>
      </c>
      <c r="O65" s="8" t="s">
        <v>5283</v>
      </c>
      <c r="P65" s="1">
        <v>112</v>
      </c>
      <c r="Q65" s="4" t="s">
        <v>3026</v>
      </c>
      <c r="R65" s="10">
        <f>T65/S65</f>
        <v>24488.849735716085</v>
      </c>
      <c r="S65" s="10">
        <v>79.459999999999994</v>
      </c>
      <c r="T65" s="10">
        <v>1945884</v>
      </c>
      <c r="U65" s="10">
        <v>2179390.08</v>
      </c>
      <c r="V65" s="8" t="s">
        <v>3027</v>
      </c>
      <c r="W65" s="11">
        <v>2015</v>
      </c>
      <c r="X65" s="1"/>
    </row>
    <row r="66" spans="1:24" s="85" customFormat="1" ht="38.25" customHeight="1" outlineLevel="1" x14ac:dyDescent="0.2">
      <c r="A66" s="1" t="s">
        <v>3599</v>
      </c>
      <c r="B66" s="25" t="s">
        <v>5277</v>
      </c>
      <c r="C66" s="25" t="s">
        <v>3318</v>
      </c>
      <c r="D66" s="25" t="s">
        <v>5286</v>
      </c>
      <c r="E66" s="25" t="s">
        <v>5287</v>
      </c>
      <c r="F66" s="25" t="s">
        <v>5281</v>
      </c>
      <c r="G66" s="25" t="s">
        <v>3190</v>
      </c>
      <c r="H66" s="25" t="s">
        <v>3025</v>
      </c>
      <c r="I66" s="25">
        <v>710000000</v>
      </c>
      <c r="J66" s="25" t="s">
        <v>1931</v>
      </c>
      <c r="K66" s="25" t="s">
        <v>5282</v>
      </c>
      <c r="L66" s="25" t="s">
        <v>2985</v>
      </c>
      <c r="M66" s="8" t="s">
        <v>3195</v>
      </c>
      <c r="N66" s="8" t="s">
        <v>1408</v>
      </c>
      <c r="O66" s="25" t="s">
        <v>5283</v>
      </c>
      <c r="P66" s="25">
        <v>112</v>
      </c>
      <c r="Q66" s="25" t="s">
        <v>3026</v>
      </c>
      <c r="R66" s="10">
        <v>108775</v>
      </c>
      <c r="S66" s="10">
        <v>95.54</v>
      </c>
      <c r="T66" s="10">
        <v>0</v>
      </c>
      <c r="U66" s="10">
        <f t="shared" si="3"/>
        <v>0</v>
      </c>
      <c r="V66" s="25" t="s">
        <v>3027</v>
      </c>
      <c r="W66" s="11">
        <v>2015</v>
      </c>
      <c r="X66" s="25" t="s">
        <v>6582</v>
      </c>
    </row>
    <row r="67" spans="1:24" s="85" customFormat="1" ht="38.25" customHeight="1" outlineLevel="1" x14ac:dyDescent="0.2">
      <c r="A67" s="1" t="s">
        <v>6974</v>
      </c>
      <c r="B67" s="25" t="s">
        <v>5277</v>
      </c>
      <c r="C67" s="25" t="s">
        <v>3318</v>
      </c>
      <c r="D67" s="25" t="s">
        <v>5286</v>
      </c>
      <c r="E67" s="25" t="s">
        <v>5287</v>
      </c>
      <c r="F67" s="25" t="s">
        <v>5281</v>
      </c>
      <c r="G67" s="25" t="s">
        <v>3190</v>
      </c>
      <c r="H67" s="25" t="s">
        <v>3025</v>
      </c>
      <c r="I67" s="25">
        <v>710000000</v>
      </c>
      <c r="J67" s="25" t="s">
        <v>1931</v>
      </c>
      <c r="K67" s="25" t="s">
        <v>5282</v>
      </c>
      <c r="L67" s="25" t="s">
        <v>2985</v>
      </c>
      <c r="M67" s="8" t="s">
        <v>3195</v>
      </c>
      <c r="N67" s="8" t="s">
        <v>1408</v>
      </c>
      <c r="O67" s="25" t="s">
        <v>5283</v>
      </c>
      <c r="P67" s="25">
        <v>112</v>
      </c>
      <c r="Q67" s="25" t="s">
        <v>3026</v>
      </c>
      <c r="R67" s="10">
        <v>108775</v>
      </c>
      <c r="S67" s="10">
        <v>88.39</v>
      </c>
      <c r="T67" s="10">
        <v>0</v>
      </c>
      <c r="U67" s="10">
        <f t="shared" si="3"/>
        <v>0</v>
      </c>
      <c r="V67" s="25" t="s">
        <v>3027</v>
      </c>
      <c r="W67" s="11">
        <v>2015</v>
      </c>
      <c r="X67" s="1">
        <v>11.19</v>
      </c>
    </row>
    <row r="68" spans="1:24" s="85" customFormat="1" ht="38.25" customHeight="1" outlineLevel="1" x14ac:dyDescent="0.2">
      <c r="A68" s="1" t="s">
        <v>8689</v>
      </c>
      <c r="B68" s="25" t="s">
        <v>5277</v>
      </c>
      <c r="C68" s="25" t="s">
        <v>3318</v>
      </c>
      <c r="D68" s="25" t="s">
        <v>5286</v>
      </c>
      <c r="E68" s="25" t="s">
        <v>5287</v>
      </c>
      <c r="F68" s="25" t="s">
        <v>5281</v>
      </c>
      <c r="G68" s="25" t="s">
        <v>3190</v>
      </c>
      <c r="H68" s="25" t="s">
        <v>3025</v>
      </c>
      <c r="I68" s="25">
        <v>710000000</v>
      </c>
      <c r="J68" s="25" t="s">
        <v>1931</v>
      </c>
      <c r="K68" s="25" t="s">
        <v>8687</v>
      </c>
      <c r="L68" s="25" t="s">
        <v>2985</v>
      </c>
      <c r="M68" s="8" t="s">
        <v>3195</v>
      </c>
      <c r="N68" s="8" t="s">
        <v>1408</v>
      </c>
      <c r="O68" s="25" t="s">
        <v>5283</v>
      </c>
      <c r="P68" s="25">
        <v>112</v>
      </c>
      <c r="Q68" s="25" t="s">
        <v>3026</v>
      </c>
      <c r="R68" s="10">
        <f>T68/S68</f>
        <v>0</v>
      </c>
      <c r="S68" s="10">
        <v>85.71</v>
      </c>
      <c r="T68" s="10">
        <v>0</v>
      </c>
      <c r="U68" s="10">
        <v>0</v>
      </c>
      <c r="V68" s="25" t="s">
        <v>3027</v>
      </c>
      <c r="W68" s="11">
        <v>2015</v>
      </c>
      <c r="X68" s="25" t="s">
        <v>9929</v>
      </c>
    </row>
    <row r="69" spans="1:24" s="85" customFormat="1" ht="38.25" customHeight="1" outlineLevel="1" x14ac:dyDescent="0.2">
      <c r="A69" s="1" t="s">
        <v>9930</v>
      </c>
      <c r="B69" s="25" t="s">
        <v>5277</v>
      </c>
      <c r="C69" s="25" t="s">
        <v>3318</v>
      </c>
      <c r="D69" s="25" t="s">
        <v>5286</v>
      </c>
      <c r="E69" s="25" t="s">
        <v>5287</v>
      </c>
      <c r="F69" s="25" t="s">
        <v>5281</v>
      </c>
      <c r="G69" s="25" t="s">
        <v>3190</v>
      </c>
      <c r="H69" s="25" t="s">
        <v>3025</v>
      </c>
      <c r="I69" s="25">
        <v>710000000</v>
      </c>
      <c r="J69" s="25" t="s">
        <v>1931</v>
      </c>
      <c r="K69" s="25" t="s">
        <v>9931</v>
      </c>
      <c r="L69" s="25" t="s">
        <v>2985</v>
      </c>
      <c r="M69" s="8" t="s">
        <v>3195</v>
      </c>
      <c r="N69" s="8" t="s">
        <v>1408</v>
      </c>
      <c r="O69" s="25" t="s">
        <v>5283</v>
      </c>
      <c r="P69" s="25">
        <v>112</v>
      </c>
      <c r="Q69" s="25" t="s">
        <v>3026</v>
      </c>
      <c r="R69" s="10">
        <f>T69/S69</f>
        <v>108775</v>
      </c>
      <c r="S69" s="10">
        <v>88.39</v>
      </c>
      <c r="T69" s="10">
        <v>9614622.25</v>
      </c>
      <c r="U69" s="10">
        <v>10768376.92</v>
      </c>
      <c r="V69" s="25" t="s">
        <v>3027</v>
      </c>
      <c r="W69" s="11">
        <v>2015</v>
      </c>
      <c r="X69" s="25"/>
    </row>
    <row r="70" spans="1:24" s="93" customFormat="1" ht="38.25" customHeight="1" outlineLevel="1" x14ac:dyDescent="0.2">
      <c r="A70" s="1" t="s">
        <v>3600</v>
      </c>
      <c r="B70" s="7" t="s">
        <v>5277</v>
      </c>
      <c r="C70" s="7" t="s">
        <v>1938</v>
      </c>
      <c r="D70" s="7" t="s">
        <v>5286</v>
      </c>
      <c r="E70" s="7" t="s">
        <v>1939</v>
      </c>
      <c r="F70" s="7" t="s">
        <v>5281</v>
      </c>
      <c r="G70" s="7" t="s">
        <v>3190</v>
      </c>
      <c r="H70" s="7" t="s">
        <v>3025</v>
      </c>
      <c r="I70" s="7">
        <v>710000000</v>
      </c>
      <c r="J70" s="7" t="s">
        <v>1931</v>
      </c>
      <c r="K70" s="7" t="s">
        <v>5282</v>
      </c>
      <c r="L70" s="7" t="s">
        <v>2985</v>
      </c>
      <c r="M70" s="8" t="s">
        <v>3195</v>
      </c>
      <c r="N70" s="8" t="s">
        <v>1408</v>
      </c>
      <c r="O70" s="7" t="s">
        <v>5283</v>
      </c>
      <c r="P70" s="7">
        <v>112</v>
      </c>
      <c r="Q70" s="7" t="s">
        <v>3026</v>
      </c>
      <c r="R70" s="10">
        <v>93980</v>
      </c>
      <c r="S70" s="10">
        <v>138.38999999999999</v>
      </c>
      <c r="T70" s="10">
        <v>0</v>
      </c>
      <c r="U70" s="10">
        <f t="shared" si="3"/>
        <v>0</v>
      </c>
      <c r="V70" s="7" t="s">
        <v>3027</v>
      </c>
      <c r="W70" s="11">
        <v>2015</v>
      </c>
      <c r="X70" s="7" t="s">
        <v>6582</v>
      </c>
    </row>
    <row r="71" spans="1:24" s="93" customFormat="1" ht="38.25" customHeight="1" outlineLevel="1" x14ac:dyDescent="0.2">
      <c r="A71" s="1" t="s">
        <v>6975</v>
      </c>
      <c r="B71" s="7" t="s">
        <v>5277</v>
      </c>
      <c r="C71" s="7" t="s">
        <v>1938</v>
      </c>
      <c r="D71" s="7" t="s">
        <v>5286</v>
      </c>
      <c r="E71" s="7" t="s">
        <v>1939</v>
      </c>
      <c r="F71" s="7" t="s">
        <v>5281</v>
      </c>
      <c r="G71" s="7" t="s">
        <v>3190</v>
      </c>
      <c r="H71" s="7" t="s">
        <v>3025</v>
      </c>
      <c r="I71" s="7">
        <v>710000000</v>
      </c>
      <c r="J71" s="7" t="s">
        <v>1931</v>
      </c>
      <c r="K71" s="7" t="s">
        <v>5282</v>
      </c>
      <c r="L71" s="7" t="s">
        <v>2985</v>
      </c>
      <c r="M71" s="8" t="s">
        <v>3195</v>
      </c>
      <c r="N71" s="8" t="s">
        <v>1408</v>
      </c>
      <c r="O71" s="7" t="s">
        <v>5283</v>
      </c>
      <c r="P71" s="7">
        <v>112</v>
      </c>
      <c r="Q71" s="7" t="s">
        <v>3026</v>
      </c>
      <c r="R71" s="10">
        <v>93980</v>
      </c>
      <c r="S71" s="10">
        <v>132.13999999999999</v>
      </c>
      <c r="T71" s="10">
        <v>0</v>
      </c>
      <c r="U71" s="10">
        <f t="shared" si="3"/>
        <v>0</v>
      </c>
      <c r="V71" s="7" t="s">
        <v>3027</v>
      </c>
      <c r="W71" s="11">
        <v>2015</v>
      </c>
      <c r="X71" s="7"/>
    </row>
    <row r="72" spans="1:24" s="93" customFormat="1" ht="38.25" customHeight="1" outlineLevel="1" x14ac:dyDescent="0.2">
      <c r="A72" s="1" t="s">
        <v>8745</v>
      </c>
      <c r="B72" s="7" t="s">
        <v>5277</v>
      </c>
      <c r="C72" s="7" t="s">
        <v>1938</v>
      </c>
      <c r="D72" s="7" t="s">
        <v>5286</v>
      </c>
      <c r="E72" s="7" t="s">
        <v>1939</v>
      </c>
      <c r="F72" s="7" t="s">
        <v>5281</v>
      </c>
      <c r="G72" s="7" t="s">
        <v>3190</v>
      </c>
      <c r="H72" s="7" t="s">
        <v>3025</v>
      </c>
      <c r="I72" s="7">
        <v>710000000</v>
      </c>
      <c r="J72" s="7" t="s">
        <v>1931</v>
      </c>
      <c r="K72" s="7" t="s">
        <v>5282</v>
      </c>
      <c r="L72" s="7" t="s">
        <v>2985</v>
      </c>
      <c r="M72" s="8" t="s">
        <v>3195</v>
      </c>
      <c r="N72" s="8" t="s">
        <v>1408</v>
      </c>
      <c r="O72" s="7" t="s">
        <v>5283</v>
      </c>
      <c r="P72" s="7">
        <v>112</v>
      </c>
      <c r="Q72" s="7" t="s">
        <v>3026</v>
      </c>
      <c r="R72" s="10">
        <v>93980</v>
      </c>
      <c r="S72" s="10">
        <v>132.13999999999999</v>
      </c>
      <c r="T72" s="10">
        <f>R72*S72</f>
        <v>12418517.199999999</v>
      </c>
      <c r="U72" s="10">
        <f t="shared" ref="U72" si="4">T72*1.12</f>
        <v>13908739.264</v>
      </c>
      <c r="V72" s="7" t="s">
        <v>3027</v>
      </c>
      <c r="W72" s="11">
        <v>2015</v>
      </c>
      <c r="X72" s="7"/>
    </row>
    <row r="73" spans="1:24" s="85" customFormat="1" ht="45.75" customHeight="1" outlineLevel="1" x14ac:dyDescent="0.2">
      <c r="A73" s="1" t="s">
        <v>3602</v>
      </c>
      <c r="B73" s="25" t="s">
        <v>5277</v>
      </c>
      <c r="C73" s="25" t="s">
        <v>3318</v>
      </c>
      <c r="D73" s="25" t="s">
        <v>5286</v>
      </c>
      <c r="E73" s="25" t="s">
        <v>5287</v>
      </c>
      <c r="F73" s="25" t="s">
        <v>5288</v>
      </c>
      <c r="G73" s="25" t="s">
        <v>3190</v>
      </c>
      <c r="H73" s="25" t="s">
        <v>3025</v>
      </c>
      <c r="I73" s="25">
        <v>710000000</v>
      </c>
      <c r="J73" s="25" t="s">
        <v>1931</v>
      </c>
      <c r="K73" s="25" t="s">
        <v>5282</v>
      </c>
      <c r="L73" s="25" t="s">
        <v>2985</v>
      </c>
      <c r="M73" s="8" t="s">
        <v>3195</v>
      </c>
      <c r="N73" s="8" t="s">
        <v>1408</v>
      </c>
      <c r="O73" s="25" t="s">
        <v>5283</v>
      </c>
      <c r="P73" s="25">
        <v>112</v>
      </c>
      <c r="Q73" s="25" t="s">
        <v>3026</v>
      </c>
      <c r="R73" s="10">
        <v>254574</v>
      </c>
      <c r="S73" s="10">
        <v>95.54</v>
      </c>
      <c r="T73" s="10">
        <v>0</v>
      </c>
      <c r="U73" s="10">
        <f t="shared" si="3"/>
        <v>0</v>
      </c>
      <c r="V73" s="25" t="s">
        <v>3027</v>
      </c>
      <c r="W73" s="11">
        <v>2015</v>
      </c>
      <c r="X73" s="8" t="s">
        <v>6582</v>
      </c>
    </row>
    <row r="74" spans="1:24" s="85" customFormat="1" ht="38.25" customHeight="1" outlineLevel="1" x14ac:dyDescent="0.2">
      <c r="A74" s="1" t="s">
        <v>6927</v>
      </c>
      <c r="B74" s="25" t="s">
        <v>5277</v>
      </c>
      <c r="C74" s="25" t="s">
        <v>3318</v>
      </c>
      <c r="D74" s="25" t="s">
        <v>5286</v>
      </c>
      <c r="E74" s="25" t="s">
        <v>5287</v>
      </c>
      <c r="F74" s="25" t="s">
        <v>5288</v>
      </c>
      <c r="G74" s="25" t="s">
        <v>3190</v>
      </c>
      <c r="H74" s="25" t="s">
        <v>3025</v>
      </c>
      <c r="I74" s="25">
        <v>710000000</v>
      </c>
      <c r="J74" s="25" t="s">
        <v>1931</v>
      </c>
      <c r="K74" s="25" t="s">
        <v>5282</v>
      </c>
      <c r="L74" s="25" t="s">
        <v>2985</v>
      </c>
      <c r="M74" s="8" t="s">
        <v>3195</v>
      </c>
      <c r="N74" s="8" t="s">
        <v>1408</v>
      </c>
      <c r="O74" s="25" t="s">
        <v>5283</v>
      </c>
      <c r="P74" s="25">
        <v>112</v>
      </c>
      <c r="Q74" s="25" t="s">
        <v>3026</v>
      </c>
      <c r="R74" s="10">
        <v>254574</v>
      </c>
      <c r="S74" s="10">
        <v>88.392857140000004</v>
      </c>
      <c r="T74" s="10">
        <v>0</v>
      </c>
      <c r="U74" s="10">
        <f t="shared" si="3"/>
        <v>0</v>
      </c>
      <c r="V74" s="25" t="s">
        <v>3027</v>
      </c>
      <c r="W74" s="11">
        <v>2015</v>
      </c>
      <c r="X74" s="1">
        <v>11.19</v>
      </c>
    </row>
    <row r="75" spans="1:24" s="85" customFormat="1" ht="38.25" customHeight="1" outlineLevel="1" x14ac:dyDescent="0.2">
      <c r="A75" s="1" t="s">
        <v>8690</v>
      </c>
      <c r="B75" s="25" t="s">
        <v>5277</v>
      </c>
      <c r="C75" s="25" t="s">
        <v>3318</v>
      </c>
      <c r="D75" s="25" t="s">
        <v>5286</v>
      </c>
      <c r="E75" s="25" t="s">
        <v>5287</v>
      </c>
      <c r="F75" s="25" t="s">
        <v>5288</v>
      </c>
      <c r="G75" s="25" t="s">
        <v>3190</v>
      </c>
      <c r="H75" s="25" t="s">
        <v>3025</v>
      </c>
      <c r="I75" s="25">
        <v>710000000</v>
      </c>
      <c r="J75" s="25" t="s">
        <v>1931</v>
      </c>
      <c r="K75" s="25" t="s">
        <v>8687</v>
      </c>
      <c r="L75" s="25" t="s">
        <v>2985</v>
      </c>
      <c r="M75" s="8" t="s">
        <v>3195</v>
      </c>
      <c r="N75" s="8" t="s">
        <v>1408</v>
      </c>
      <c r="O75" s="25" t="s">
        <v>5283</v>
      </c>
      <c r="P75" s="25">
        <v>112</v>
      </c>
      <c r="Q75" s="25" t="s">
        <v>3026</v>
      </c>
      <c r="R75" s="10">
        <v>254574</v>
      </c>
      <c r="S75" s="10">
        <v>85.71</v>
      </c>
      <c r="T75" s="10">
        <v>0</v>
      </c>
      <c r="U75" s="10">
        <v>0</v>
      </c>
      <c r="V75" s="25" t="s">
        <v>3027</v>
      </c>
      <c r="W75" s="11">
        <v>2015</v>
      </c>
      <c r="X75" s="25" t="s">
        <v>7597</v>
      </c>
    </row>
    <row r="76" spans="1:24" s="85" customFormat="1" ht="38.25" customHeight="1" outlineLevel="1" x14ac:dyDescent="0.2">
      <c r="A76" s="1" t="s">
        <v>9928</v>
      </c>
      <c r="B76" s="25" t="s">
        <v>5277</v>
      </c>
      <c r="C76" s="25" t="s">
        <v>3318</v>
      </c>
      <c r="D76" s="25" t="s">
        <v>5286</v>
      </c>
      <c r="E76" s="25" t="s">
        <v>5287</v>
      </c>
      <c r="F76" s="25" t="s">
        <v>5288</v>
      </c>
      <c r="G76" s="25" t="s">
        <v>3190</v>
      </c>
      <c r="H76" s="25" t="s">
        <v>3025</v>
      </c>
      <c r="I76" s="25">
        <v>710000000</v>
      </c>
      <c r="J76" s="25" t="s">
        <v>1931</v>
      </c>
      <c r="K76" s="25" t="s">
        <v>9931</v>
      </c>
      <c r="L76" s="25" t="s">
        <v>2985</v>
      </c>
      <c r="M76" s="8" t="s">
        <v>3195</v>
      </c>
      <c r="N76" s="8" t="s">
        <v>1408</v>
      </c>
      <c r="O76" s="25" t="s">
        <v>5283</v>
      </c>
      <c r="P76" s="25">
        <v>112</v>
      </c>
      <c r="Q76" s="25" t="s">
        <v>3026</v>
      </c>
      <c r="R76" s="10">
        <v>254574</v>
      </c>
      <c r="S76" s="10">
        <v>88.392857141999997</v>
      </c>
      <c r="T76" s="10">
        <f>R76*S76</f>
        <v>22502523.214067508</v>
      </c>
      <c r="U76" s="10">
        <f>T76*1.12</f>
        <v>25202825.99975561</v>
      </c>
      <c r="V76" s="25" t="s">
        <v>3027</v>
      </c>
      <c r="W76" s="11">
        <v>2015</v>
      </c>
      <c r="X76" s="25"/>
    </row>
    <row r="77" spans="1:24" ht="38.25" customHeight="1" outlineLevel="1" x14ac:dyDescent="0.2">
      <c r="A77" s="1" t="s">
        <v>3557</v>
      </c>
      <c r="B77" s="16" t="s">
        <v>5277</v>
      </c>
      <c r="C77" s="7" t="s">
        <v>3023</v>
      </c>
      <c r="D77" s="7" t="s">
        <v>3024</v>
      </c>
      <c r="E77" s="18" t="s">
        <v>5284</v>
      </c>
      <c r="F77" s="25" t="s">
        <v>5281</v>
      </c>
      <c r="G77" s="1" t="s">
        <v>3190</v>
      </c>
      <c r="H77" s="17" t="s">
        <v>3025</v>
      </c>
      <c r="I77" s="18">
        <v>710000000</v>
      </c>
      <c r="J77" s="4" t="s">
        <v>1931</v>
      </c>
      <c r="K77" s="4" t="s">
        <v>5282</v>
      </c>
      <c r="L77" s="7" t="s">
        <v>3335</v>
      </c>
      <c r="M77" s="8" t="s">
        <v>3195</v>
      </c>
      <c r="N77" s="8" t="s">
        <v>1408</v>
      </c>
      <c r="O77" s="8" t="s">
        <v>5283</v>
      </c>
      <c r="P77" s="1">
        <v>112</v>
      </c>
      <c r="Q77" s="4" t="s">
        <v>3026</v>
      </c>
      <c r="R77" s="10">
        <v>6165.23</v>
      </c>
      <c r="S77" s="10">
        <v>97.32</v>
      </c>
      <c r="T77" s="10">
        <f>R77*S77</f>
        <v>600000.18359999987</v>
      </c>
      <c r="U77" s="10">
        <f t="shared" si="3"/>
        <v>672000.20563199988</v>
      </c>
      <c r="V77" s="8" t="s">
        <v>3027</v>
      </c>
      <c r="W77" s="11">
        <v>2015</v>
      </c>
      <c r="X77" s="1" t="s">
        <v>6582</v>
      </c>
    </row>
    <row r="78" spans="1:24" ht="38.25" customHeight="1" outlineLevel="1" x14ac:dyDescent="0.2">
      <c r="A78" s="1" t="s">
        <v>6976</v>
      </c>
      <c r="B78" s="16" t="s">
        <v>5277</v>
      </c>
      <c r="C78" s="7" t="s">
        <v>3023</v>
      </c>
      <c r="D78" s="7" t="s">
        <v>3024</v>
      </c>
      <c r="E78" s="18" t="s">
        <v>5284</v>
      </c>
      <c r="F78" s="25" t="s">
        <v>5281</v>
      </c>
      <c r="G78" s="1" t="s">
        <v>3190</v>
      </c>
      <c r="H78" s="17" t="s">
        <v>3025</v>
      </c>
      <c r="I78" s="18">
        <v>710000000</v>
      </c>
      <c r="J78" s="4" t="s">
        <v>1931</v>
      </c>
      <c r="K78" s="4" t="s">
        <v>5282</v>
      </c>
      <c r="L78" s="7" t="s">
        <v>3335</v>
      </c>
      <c r="M78" s="8" t="s">
        <v>3195</v>
      </c>
      <c r="N78" s="8" t="s">
        <v>1408</v>
      </c>
      <c r="O78" s="8" t="s">
        <v>5283</v>
      </c>
      <c r="P78" s="1">
        <v>112</v>
      </c>
      <c r="Q78" s="4" t="s">
        <v>3026</v>
      </c>
      <c r="R78" s="10">
        <v>6165.23</v>
      </c>
      <c r="S78" s="10">
        <v>88.39</v>
      </c>
      <c r="T78" s="10">
        <v>0</v>
      </c>
      <c r="U78" s="10">
        <f t="shared" si="3"/>
        <v>0</v>
      </c>
      <c r="V78" s="8" t="s">
        <v>3027</v>
      </c>
      <c r="W78" s="11">
        <v>2015</v>
      </c>
      <c r="X78" s="1">
        <v>11.19</v>
      </c>
    </row>
    <row r="79" spans="1:24" ht="41.25" customHeight="1" outlineLevel="1" x14ac:dyDescent="0.2">
      <c r="A79" s="1" t="s">
        <v>8691</v>
      </c>
      <c r="B79" s="16" t="s">
        <v>5277</v>
      </c>
      <c r="C79" s="7" t="s">
        <v>3023</v>
      </c>
      <c r="D79" s="7" t="s">
        <v>3024</v>
      </c>
      <c r="E79" s="18" t="s">
        <v>5284</v>
      </c>
      <c r="F79" s="25" t="s">
        <v>5281</v>
      </c>
      <c r="G79" s="1" t="s">
        <v>3190</v>
      </c>
      <c r="H79" s="17" t="s">
        <v>3025</v>
      </c>
      <c r="I79" s="18">
        <v>710000000</v>
      </c>
      <c r="J79" s="4" t="s">
        <v>1931</v>
      </c>
      <c r="K79" s="4" t="s">
        <v>8687</v>
      </c>
      <c r="L79" s="7" t="s">
        <v>3335</v>
      </c>
      <c r="M79" s="8" t="s">
        <v>3195</v>
      </c>
      <c r="N79" s="8" t="s">
        <v>1408</v>
      </c>
      <c r="O79" s="8" t="s">
        <v>5283</v>
      </c>
      <c r="P79" s="1">
        <v>112</v>
      </c>
      <c r="Q79" s="4" t="s">
        <v>3026</v>
      </c>
      <c r="R79" s="10">
        <f>T79/S79</f>
        <v>0</v>
      </c>
      <c r="S79" s="10">
        <v>96.42</v>
      </c>
      <c r="T79" s="10">
        <v>0</v>
      </c>
      <c r="U79" s="10">
        <f t="shared" si="3"/>
        <v>0</v>
      </c>
      <c r="V79" s="8" t="s">
        <v>3027</v>
      </c>
      <c r="W79" s="11">
        <v>2015</v>
      </c>
      <c r="X79" s="1">
        <v>18.190000000000001</v>
      </c>
    </row>
    <row r="80" spans="1:24" ht="40.5" customHeight="1" outlineLevel="1" x14ac:dyDescent="0.2">
      <c r="A80" s="1" t="s">
        <v>9999</v>
      </c>
      <c r="B80" s="16" t="s">
        <v>5277</v>
      </c>
      <c r="C80" s="7" t="s">
        <v>3023</v>
      </c>
      <c r="D80" s="7" t="s">
        <v>3024</v>
      </c>
      <c r="E80" s="18" t="s">
        <v>5284</v>
      </c>
      <c r="F80" s="25" t="s">
        <v>5281</v>
      </c>
      <c r="G80" s="1" t="s">
        <v>3190</v>
      </c>
      <c r="H80" s="17" t="s">
        <v>3025</v>
      </c>
      <c r="I80" s="18">
        <v>710000000</v>
      </c>
      <c r="J80" s="4" t="s">
        <v>1931</v>
      </c>
      <c r="K80" s="4" t="s">
        <v>8687</v>
      </c>
      <c r="L80" s="7" t="s">
        <v>3335</v>
      </c>
      <c r="M80" s="8" t="s">
        <v>3195</v>
      </c>
      <c r="N80" s="8" t="s">
        <v>1408</v>
      </c>
      <c r="O80" s="8" t="s">
        <v>5283</v>
      </c>
      <c r="P80" s="1">
        <v>112</v>
      </c>
      <c r="Q80" s="4" t="s">
        <v>3026</v>
      </c>
      <c r="R80" s="10">
        <f>T80/S80</f>
        <v>5169.2943913155859</v>
      </c>
      <c r="S80" s="10">
        <v>116.07</v>
      </c>
      <c r="T80" s="10">
        <v>600000</v>
      </c>
      <c r="U80" s="10">
        <f t="shared" ref="U80" si="5">T80*1.12</f>
        <v>672000.00000000012</v>
      </c>
      <c r="V80" s="8" t="s">
        <v>3027</v>
      </c>
      <c r="W80" s="11">
        <v>2015</v>
      </c>
      <c r="X80" s="1"/>
    </row>
    <row r="81" spans="1:24" ht="38.25" customHeight="1" outlineLevel="1" x14ac:dyDescent="0.2">
      <c r="A81" s="1" t="s">
        <v>4227</v>
      </c>
      <c r="B81" s="16" t="s">
        <v>5277</v>
      </c>
      <c r="C81" s="7" t="s">
        <v>3023</v>
      </c>
      <c r="D81" s="7" t="s">
        <v>3024</v>
      </c>
      <c r="E81" s="18" t="s">
        <v>5284</v>
      </c>
      <c r="F81" s="25" t="s">
        <v>5281</v>
      </c>
      <c r="G81" s="1" t="s">
        <v>3190</v>
      </c>
      <c r="H81" s="17" t="s">
        <v>3025</v>
      </c>
      <c r="I81" s="18">
        <v>710000000</v>
      </c>
      <c r="J81" s="4" t="s">
        <v>1931</v>
      </c>
      <c r="K81" s="4" t="s">
        <v>5282</v>
      </c>
      <c r="L81" s="7" t="s">
        <v>3040</v>
      </c>
      <c r="M81" s="8" t="s">
        <v>3195</v>
      </c>
      <c r="N81" s="8" t="s">
        <v>1408</v>
      </c>
      <c r="O81" s="8" t="s">
        <v>5283</v>
      </c>
      <c r="P81" s="1">
        <v>112</v>
      </c>
      <c r="Q81" s="4" t="s">
        <v>3026</v>
      </c>
      <c r="R81" s="10">
        <v>29866.560000000001</v>
      </c>
      <c r="S81" s="10">
        <v>97.32</v>
      </c>
      <c r="T81" s="10">
        <v>0</v>
      </c>
      <c r="U81" s="10">
        <f t="shared" si="3"/>
        <v>0</v>
      </c>
      <c r="V81" s="8" t="s">
        <v>3027</v>
      </c>
      <c r="W81" s="11">
        <v>2015</v>
      </c>
      <c r="X81" s="1" t="s">
        <v>6582</v>
      </c>
    </row>
    <row r="82" spans="1:24" ht="38.25" customHeight="1" outlineLevel="1" x14ac:dyDescent="0.2">
      <c r="A82" s="1" t="s">
        <v>6977</v>
      </c>
      <c r="B82" s="16" t="s">
        <v>5277</v>
      </c>
      <c r="C82" s="7" t="s">
        <v>3023</v>
      </c>
      <c r="D82" s="7" t="s">
        <v>3024</v>
      </c>
      <c r="E82" s="18" t="s">
        <v>5284</v>
      </c>
      <c r="F82" s="25" t="s">
        <v>5281</v>
      </c>
      <c r="G82" s="1" t="s">
        <v>3190</v>
      </c>
      <c r="H82" s="17" t="s">
        <v>3025</v>
      </c>
      <c r="I82" s="18">
        <v>710000000</v>
      </c>
      <c r="J82" s="4" t="s">
        <v>1931</v>
      </c>
      <c r="K82" s="4" t="s">
        <v>5282</v>
      </c>
      <c r="L82" s="7" t="s">
        <v>3040</v>
      </c>
      <c r="M82" s="8" t="s">
        <v>3195</v>
      </c>
      <c r="N82" s="8" t="s">
        <v>1408</v>
      </c>
      <c r="O82" s="8" t="s">
        <v>5283</v>
      </c>
      <c r="P82" s="1">
        <v>112</v>
      </c>
      <c r="Q82" s="4" t="s">
        <v>3026</v>
      </c>
      <c r="R82" s="10">
        <v>29866.560000000001</v>
      </c>
      <c r="S82" s="10">
        <v>88.39</v>
      </c>
      <c r="T82" s="10">
        <v>0</v>
      </c>
      <c r="U82" s="10">
        <f t="shared" si="3"/>
        <v>0</v>
      </c>
      <c r="V82" s="8" t="s">
        <v>3027</v>
      </c>
      <c r="W82" s="11">
        <v>2015</v>
      </c>
      <c r="X82" s="1">
        <v>11.19</v>
      </c>
    </row>
    <row r="83" spans="1:24" ht="39" customHeight="1" outlineLevel="1" x14ac:dyDescent="0.2">
      <c r="A83" s="1" t="s">
        <v>8692</v>
      </c>
      <c r="B83" s="16" t="s">
        <v>5277</v>
      </c>
      <c r="C83" s="7" t="s">
        <v>3023</v>
      </c>
      <c r="D83" s="7" t="s">
        <v>3024</v>
      </c>
      <c r="E83" s="18" t="s">
        <v>5284</v>
      </c>
      <c r="F83" s="25" t="s">
        <v>5281</v>
      </c>
      <c r="G83" s="1" t="s">
        <v>3190</v>
      </c>
      <c r="H83" s="17" t="s">
        <v>3025</v>
      </c>
      <c r="I83" s="18">
        <v>710000000</v>
      </c>
      <c r="J83" s="4" t="s">
        <v>1931</v>
      </c>
      <c r="K83" s="4" t="s">
        <v>8687</v>
      </c>
      <c r="L83" s="7" t="s">
        <v>3040</v>
      </c>
      <c r="M83" s="8" t="s">
        <v>3195</v>
      </c>
      <c r="N83" s="8" t="s">
        <v>1408</v>
      </c>
      <c r="O83" s="8" t="s">
        <v>5283</v>
      </c>
      <c r="P83" s="1">
        <v>112</v>
      </c>
      <c r="Q83" s="4" t="s">
        <v>3026</v>
      </c>
      <c r="R83" s="10">
        <f>T83/S83</f>
        <v>0</v>
      </c>
      <c r="S83" s="10">
        <v>96.42</v>
      </c>
      <c r="T83" s="10">
        <v>0</v>
      </c>
      <c r="U83" s="10">
        <v>2956693.87</v>
      </c>
      <c r="V83" s="8" t="s">
        <v>3027</v>
      </c>
      <c r="W83" s="11">
        <v>2015</v>
      </c>
      <c r="X83" s="1" t="s">
        <v>10009</v>
      </c>
    </row>
    <row r="84" spans="1:24" ht="38.25" customHeight="1" outlineLevel="1" x14ac:dyDescent="0.2">
      <c r="A84" s="1" t="s">
        <v>10000</v>
      </c>
      <c r="B84" s="16" t="s">
        <v>5277</v>
      </c>
      <c r="C84" s="7" t="s">
        <v>3023</v>
      </c>
      <c r="D84" s="7" t="s">
        <v>3024</v>
      </c>
      <c r="E84" s="18" t="s">
        <v>5284</v>
      </c>
      <c r="F84" s="25" t="s">
        <v>5281</v>
      </c>
      <c r="G84" s="1" t="s">
        <v>3190</v>
      </c>
      <c r="H84" s="17" t="s">
        <v>3025</v>
      </c>
      <c r="I84" s="18">
        <v>710000000</v>
      </c>
      <c r="J84" s="4" t="s">
        <v>1931</v>
      </c>
      <c r="K84" s="4" t="s">
        <v>10002</v>
      </c>
      <c r="L84" s="7" t="s">
        <v>3040</v>
      </c>
      <c r="M84" s="8" t="s">
        <v>3195</v>
      </c>
      <c r="N84" s="8" t="s">
        <v>1408</v>
      </c>
      <c r="O84" s="8" t="s">
        <v>5283</v>
      </c>
      <c r="P84" s="1">
        <v>112</v>
      </c>
      <c r="Q84" s="4" t="s">
        <v>3026</v>
      </c>
      <c r="R84" s="10">
        <f>T84/S84</f>
        <v>0</v>
      </c>
      <c r="S84" s="10">
        <v>116.07</v>
      </c>
      <c r="T84" s="10">
        <v>0</v>
      </c>
      <c r="U84" s="10">
        <v>0</v>
      </c>
      <c r="V84" s="8" t="s">
        <v>3027</v>
      </c>
      <c r="W84" s="11">
        <v>2015</v>
      </c>
      <c r="X84" s="1" t="s">
        <v>9929</v>
      </c>
    </row>
    <row r="85" spans="1:24" ht="38.25" customHeight="1" outlineLevel="1" x14ac:dyDescent="0.2">
      <c r="A85" s="1" t="s">
        <v>10184</v>
      </c>
      <c r="B85" s="16" t="s">
        <v>5277</v>
      </c>
      <c r="C85" s="7" t="s">
        <v>3023</v>
      </c>
      <c r="D85" s="7" t="s">
        <v>3024</v>
      </c>
      <c r="E85" s="18" t="s">
        <v>5284</v>
      </c>
      <c r="F85" s="25" t="s">
        <v>5281</v>
      </c>
      <c r="G85" s="1" t="s">
        <v>3190</v>
      </c>
      <c r="H85" s="17" t="s">
        <v>3025</v>
      </c>
      <c r="I85" s="18">
        <v>710000000</v>
      </c>
      <c r="J85" s="4" t="s">
        <v>1931</v>
      </c>
      <c r="K85" s="4" t="s">
        <v>10185</v>
      </c>
      <c r="L85" s="7" t="s">
        <v>3040</v>
      </c>
      <c r="M85" s="8" t="s">
        <v>3195</v>
      </c>
      <c r="N85" s="8" t="s">
        <v>1408</v>
      </c>
      <c r="O85" s="8" t="s">
        <v>5283</v>
      </c>
      <c r="P85" s="1">
        <v>112</v>
      </c>
      <c r="Q85" s="4" t="s">
        <v>3026</v>
      </c>
      <c r="R85" s="10">
        <f>T85/S85</f>
        <v>23281.065817230021</v>
      </c>
      <c r="S85" s="10">
        <v>113.39279999999999</v>
      </c>
      <c r="T85" s="10">
        <v>2639905.2400000002</v>
      </c>
      <c r="U85" s="10">
        <v>2956693.87</v>
      </c>
      <c r="V85" s="8" t="s">
        <v>3027</v>
      </c>
      <c r="W85" s="11">
        <v>2015</v>
      </c>
      <c r="X85" s="1"/>
    </row>
    <row r="86" spans="1:24" ht="51" customHeight="1" outlineLevel="1" x14ac:dyDescent="0.2">
      <c r="A86" s="1" t="s">
        <v>4228</v>
      </c>
      <c r="B86" s="16" t="s">
        <v>5277</v>
      </c>
      <c r="C86" s="7" t="s">
        <v>3316</v>
      </c>
      <c r="D86" s="7" t="s">
        <v>3024</v>
      </c>
      <c r="E86" s="18" t="s">
        <v>1937</v>
      </c>
      <c r="F86" s="25" t="s">
        <v>5289</v>
      </c>
      <c r="G86" s="1" t="s">
        <v>3190</v>
      </c>
      <c r="H86" s="17" t="s">
        <v>3025</v>
      </c>
      <c r="I86" s="18">
        <v>710000000</v>
      </c>
      <c r="J86" s="4" t="s">
        <v>1931</v>
      </c>
      <c r="K86" s="4" t="s">
        <v>5282</v>
      </c>
      <c r="L86" s="7" t="s">
        <v>1889</v>
      </c>
      <c r="M86" s="8" t="s">
        <v>3195</v>
      </c>
      <c r="N86" s="8" t="s">
        <v>1408</v>
      </c>
      <c r="O86" s="8" t="s">
        <v>5283</v>
      </c>
      <c r="P86" s="1">
        <v>112</v>
      </c>
      <c r="Q86" s="4" t="s">
        <v>3026</v>
      </c>
      <c r="R86" s="10">
        <f>2570+920</f>
        <v>3490</v>
      </c>
      <c r="S86" s="10">
        <v>135.71</v>
      </c>
      <c r="T86" s="10">
        <v>0</v>
      </c>
      <c r="U86" s="10">
        <f t="shared" si="3"/>
        <v>0</v>
      </c>
      <c r="V86" s="8" t="s">
        <v>3027</v>
      </c>
      <c r="W86" s="11">
        <v>2015</v>
      </c>
      <c r="X86" s="1" t="s">
        <v>6582</v>
      </c>
    </row>
    <row r="87" spans="1:24" ht="51" customHeight="1" outlineLevel="1" x14ac:dyDescent="0.2">
      <c r="A87" s="1" t="s">
        <v>6978</v>
      </c>
      <c r="B87" s="16" t="s">
        <v>5277</v>
      </c>
      <c r="C87" s="7" t="s">
        <v>3316</v>
      </c>
      <c r="D87" s="7" t="s">
        <v>3024</v>
      </c>
      <c r="E87" s="18" t="s">
        <v>1937</v>
      </c>
      <c r="F87" s="25" t="s">
        <v>5289</v>
      </c>
      <c r="G87" s="1" t="s">
        <v>3190</v>
      </c>
      <c r="H87" s="17" t="s">
        <v>3025</v>
      </c>
      <c r="I87" s="18">
        <v>710000000</v>
      </c>
      <c r="J87" s="4" t="s">
        <v>1931</v>
      </c>
      <c r="K87" s="4" t="s">
        <v>5282</v>
      </c>
      <c r="L87" s="7" t="s">
        <v>1889</v>
      </c>
      <c r="M87" s="8" t="s">
        <v>3195</v>
      </c>
      <c r="N87" s="8" t="s">
        <v>1408</v>
      </c>
      <c r="O87" s="8" t="s">
        <v>5283</v>
      </c>
      <c r="P87" s="1">
        <v>112</v>
      </c>
      <c r="Q87" s="4" t="s">
        <v>3026</v>
      </c>
      <c r="R87" s="10">
        <f>2570+920</f>
        <v>3490</v>
      </c>
      <c r="S87" s="10">
        <v>131.25</v>
      </c>
      <c r="T87" s="10">
        <v>0</v>
      </c>
      <c r="U87" s="10">
        <f t="shared" si="3"/>
        <v>0</v>
      </c>
      <c r="V87" s="8" t="s">
        <v>3027</v>
      </c>
      <c r="W87" s="11">
        <v>2015</v>
      </c>
      <c r="X87" s="1" t="s">
        <v>7597</v>
      </c>
    </row>
    <row r="88" spans="1:24" ht="51" customHeight="1" outlineLevel="1" x14ac:dyDescent="0.2">
      <c r="A88" s="1" t="s">
        <v>7598</v>
      </c>
      <c r="B88" s="16" t="s">
        <v>5277</v>
      </c>
      <c r="C88" s="7" t="s">
        <v>3316</v>
      </c>
      <c r="D88" s="7" t="s">
        <v>3024</v>
      </c>
      <c r="E88" s="18" t="s">
        <v>1937</v>
      </c>
      <c r="F88" s="25" t="s">
        <v>5289</v>
      </c>
      <c r="G88" s="1" t="s">
        <v>3190</v>
      </c>
      <c r="H88" s="17" t="s">
        <v>3025</v>
      </c>
      <c r="I88" s="18">
        <v>710000000</v>
      </c>
      <c r="J88" s="4" t="s">
        <v>1931</v>
      </c>
      <c r="K88" s="4" t="s">
        <v>7311</v>
      </c>
      <c r="L88" s="7" t="s">
        <v>1889</v>
      </c>
      <c r="M88" s="8" t="s">
        <v>3195</v>
      </c>
      <c r="N88" s="8" t="s">
        <v>1408</v>
      </c>
      <c r="O88" s="8" t="s">
        <v>5283</v>
      </c>
      <c r="P88" s="1">
        <v>112</v>
      </c>
      <c r="Q88" s="4" t="s">
        <v>3026</v>
      </c>
      <c r="R88" s="10">
        <f>2570+920</f>
        <v>3490</v>
      </c>
      <c r="S88" s="10">
        <v>119.64</v>
      </c>
      <c r="T88" s="10">
        <v>0</v>
      </c>
      <c r="U88" s="10">
        <f t="shared" si="3"/>
        <v>0</v>
      </c>
      <c r="V88" s="8" t="s">
        <v>3027</v>
      </c>
      <c r="W88" s="11">
        <v>2015</v>
      </c>
      <c r="X88" s="1"/>
    </row>
    <row r="89" spans="1:24" ht="51" customHeight="1" outlineLevel="1" x14ac:dyDescent="0.2">
      <c r="A89" s="1" t="s">
        <v>8693</v>
      </c>
      <c r="B89" s="16" t="s">
        <v>5277</v>
      </c>
      <c r="C89" s="7" t="s">
        <v>3316</v>
      </c>
      <c r="D89" s="7" t="s">
        <v>3024</v>
      </c>
      <c r="E89" s="18" t="s">
        <v>1937</v>
      </c>
      <c r="F89" s="25" t="s">
        <v>5289</v>
      </c>
      <c r="G89" s="1" t="s">
        <v>3190</v>
      </c>
      <c r="H89" s="17" t="s">
        <v>3025</v>
      </c>
      <c r="I89" s="18">
        <v>710000000</v>
      </c>
      <c r="J89" s="4" t="s">
        <v>1931</v>
      </c>
      <c r="K89" s="4" t="s">
        <v>8684</v>
      </c>
      <c r="L89" s="7" t="s">
        <v>1889</v>
      </c>
      <c r="M89" s="8" t="s">
        <v>3195</v>
      </c>
      <c r="N89" s="8" t="s">
        <v>1408</v>
      </c>
      <c r="O89" s="8" t="s">
        <v>5283</v>
      </c>
      <c r="P89" s="1">
        <v>112</v>
      </c>
      <c r="Q89" s="4" t="s">
        <v>3026</v>
      </c>
      <c r="R89" s="10">
        <f>T89/S89</f>
        <v>3929.8221176470588</v>
      </c>
      <c r="S89" s="10">
        <v>106.25</v>
      </c>
      <c r="T89" s="10">
        <v>417543.6</v>
      </c>
      <c r="U89" s="10">
        <f>T89*1.12</f>
        <v>467648.83199999999</v>
      </c>
      <c r="V89" s="8" t="s">
        <v>3027</v>
      </c>
      <c r="W89" s="11">
        <v>2015</v>
      </c>
      <c r="X89" s="1"/>
    </row>
    <row r="90" spans="1:24" ht="51" customHeight="1" outlineLevel="1" x14ac:dyDescent="0.2">
      <c r="A90" s="1" t="s">
        <v>4229</v>
      </c>
      <c r="B90" s="16" t="s">
        <v>5277</v>
      </c>
      <c r="C90" s="7" t="s">
        <v>3023</v>
      </c>
      <c r="D90" s="7" t="s">
        <v>3024</v>
      </c>
      <c r="E90" s="18" t="s">
        <v>5284</v>
      </c>
      <c r="F90" s="25" t="s">
        <v>5289</v>
      </c>
      <c r="G90" s="1" t="s">
        <v>3190</v>
      </c>
      <c r="H90" s="17" t="s">
        <v>3025</v>
      </c>
      <c r="I90" s="18">
        <v>710000000</v>
      </c>
      <c r="J90" s="4" t="s">
        <v>1931</v>
      </c>
      <c r="K90" s="4" t="s">
        <v>5282</v>
      </c>
      <c r="L90" s="7" t="s">
        <v>1889</v>
      </c>
      <c r="M90" s="8" t="s">
        <v>3195</v>
      </c>
      <c r="N90" s="8" t="s">
        <v>1408</v>
      </c>
      <c r="O90" s="8" t="s">
        <v>5283</v>
      </c>
      <c r="P90" s="1">
        <v>112</v>
      </c>
      <c r="Q90" s="4" t="s">
        <v>3026</v>
      </c>
      <c r="R90" s="10">
        <f>27542+1318</f>
        <v>28860</v>
      </c>
      <c r="S90" s="10">
        <v>97.32</v>
      </c>
      <c r="T90" s="10">
        <v>0</v>
      </c>
      <c r="U90" s="10">
        <f t="shared" si="3"/>
        <v>0</v>
      </c>
      <c r="V90" s="8" t="s">
        <v>3027</v>
      </c>
      <c r="W90" s="11">
        <v>2015</v>
      </c>
      <c r="X90" s="1" t="s">
        <v>6582</v>
      </c>
    </row>
    <row r="91" spans="1:24" ht="51" customHeight="1" outlineLevel="1" x14ac:dyDescent="0.2">
      <c r="A91" s="1" t="s">
        <v>6979</v>
      </c>
      <c r="B91" s="16" t="s">
        <v>5277</v>
      </c>
      <c r="C91" s="7" t="s">
        <v>3023</v>
      </c>
      <c r="D91" s="7" t="s">
        <v>3024</v>
      </c>
      <c r="E91" s="18" t="s">
        <v>5284</v>
      </c>
      <c r="F91" s="25" t="s">
        <v>5289</v>
      </c>
      <c r="G91" s="1" t="s">
        <v>3190</v>
      </c>
      <c r="H91" s="17" t="s">
        <v>3025</v>
      </c>
      <c r="I91" s="18">
        <v>710000000</v>
      </c>
      <c r="J91" s="4" t="s">
        <v>1931</v>
      </c>
      <c r="K91" s="4" t="s">
        <v>5282</v>
      </c>
      <c r="L91" s="7" t="s">
        <v>1889</v>
      </c>
      <c r="M91" s="8" t="s">
        <v>3195</v>
      </c>
      <c r="N91" s="8" t="s">
        <v>1408</v>
      </c>
      <c r="O91" s="8" t="s">
        <v>5283</v>
      </c>
      <c r="P91" s="1">
        <v>112</v>
      </c>
      <c r="Q91" s="4" t="s">
        <v>3026</v>
      </c>
      <c r="R91" s="10">
        <f>27542+1318</f>
        <v>28860</v>
      </c>
      <c r="S91" s="10">
        <v>88.39</v>
      </c>
      <c r="T91" s="10">
        <v>0</v>
      </c>
      <c r="U91" s="10">
        <f t="shared" si="3"/>
        <v>0</v>
      </c>
      <c r="V91" s="8" t="s">
        <v>3027</v>
      </c>
      <c r="W91" s="11">
        <v>2015</v>
      </c>
      <c r="X91" s="1"/>
    </row>
    <row r="92" spans="1:24" ht="51" customHeight="1" outlineLevel="1" x14ac:dyDescent="0.2">
      <c r="A92" s="1" t="s">
        <v>8694</v>
      </c>
      <c r="B92" s="16" t="s">
        <v>5277</v>
      </c>
      <c r="C92" s="7" t="s">
        <v>3023</v>
      </c>
      <c r="D92" s="7" t="s">
        <v>3024</v>
      </c>
      <c r="E92" s="18" t="s">
        <v>5284</v>
      </c>
      <c r="F92" s="25" t="s">
        <v>5289</v>
      </c>
      <c r="G92" s="1" t="s">
        <v>3190</v>
      </c>
      <c r="H92" s="17" t="s">
        <v>3025</v>
      </c>
      <c r="I92" s="18">
        <v>710000000</v>
      </c>
      <c r="J92" s="4" t="s">
        <v>1931</v>
      </c>
      <c r="K92" s="4" t="s">
        <v>8687</v>
      </c>
      <c r="L92" s="7" t="s">
        <v>1889</v>
      </c>
      <c r="M92" s="8" t="s">
        <v>3195</v>
      </c>
      <c r="N92" s="8" t="s">
        <v>1408</v>
      </c>
      <c r="O92" s="8" t="s">
        <v>5283</v>
      </c>
      <c r="P92" s="1">
        <v>112</v>
      </c>
      <c r="Q92" s="4" t="s">
        <v>3026</v>
      </c>
      <c r="R92" s="10">
        <f>T92/S92</f>
        <v>0</v>
      </c>
      <c r="S92" s="10">
        <v>96.42</v>
      </c>
      <c r="T92" s="10">
        <v>0</v>
      </c>
      <c r="U92" s="10">
        <f>T92*1.12</f>
        <v>0</v>
      </c>
      <c r="V92" s="8" t="s">
        <v>3027</v>
      </c>
      <c r="W92" s="11">
        <v>2015</v>
      </c>
      <c r="X92" s="1">
        <v>18.190000000000001</v>
      </c>
    </row>
    <row r="93" spans="1:24" ht="51" customHeight="1" outlineLevel="1" x14ac:dyDescent="0.2">
      <c r="A93" s="1" t="s">
        <v>10001</v>
      </c>
      <c r="B93" s="16" t="s">
        <v>5277</v>
      </c>
      <c r="C93" s="7" t="s">
        <v>3023</v>
      </c>
      <c r="D93" s="7" t="s">
        <v>3024</v>
      </c>
      <c r="E93" s="18" t="s">
        <v>5284</v>
      </c>
      <c r="F93" s="25" t="s">
        <v>5289</v>
      </c>
      <c r="G93" s="1" t="s">
        <v>3190</v>
      </c>
      <c r="H93" s="17" t="s">
        <v>3025</v>
      </c>
      <c r="I93" s="18">
        <v>710000000</v>
      </c>
      <c r="J93" s="4" t="s">
        <v>1931</v>
      </c>
      <c r="K93" s="4" t="s">
        <v>8687</v>
      </c>
      <c r="L93" s="7" t="s">
        <v>1889</v>
      </c>
      <c r="M93" s="8" t="s">
        <v>3195</v>
      </c>
      <c r="N93" s="8" t="s">
        <v>1408</v>
      </c>
      <c r="O93" s="8" t="s">
        <v>5283</v>
      </c>
      <c r="P93" s="1">
        <v>112</v>
      </c>
      <c r="Q93" s="4" t="s">
        <v>3026</v>
      </c>
      <c r="R93" s="10">
        <f>T93/S93</f>
        <v>21977.560093047301</v>
      </c>
      <c r="S93" s="10">
        <v>116.07</v>
      </c>
      <c r="T93" s="10">
        <v>2550935.4</v>
      </c>
      <c r="U93" s="10">
        <f>T93*1.12</f>
        <v>2857047.648</v>
      </c>
      <c r="V93" s="8" t="s">
        <v>3027</v>
      </c>
      <c r="W93" s="11">
        <v>2015</v>
      </c>
      <c r="X93" s="1"/>
    </row>
    <row r="94" spans="1:24" s="85" customFormat="1" ht="51" customHeight="1" outlineLevel="1" x14ac:dyDescent="0.2">
      <c r="A94" s="1" t="s">
        <v>4230</v>
      </c>
      <c r="B94" s="25" t="s">
        <v>5277</v>
      </c>
      <c r="C94" s="25" t="s">
        <v>3318</v>
      </c>
      <c r="D94" s="25" t="s">
        <v>5286</v>
      </c>
      <c r="E94" s="25" t="s">
        <v>5287</v>
      </c>
      <c r="F94" s="25" t="s">
        <v>5289</v>
      </c>
      <c r="G94" s="25" t="s">
        <v>3190</v>
      </c>
      <c r="H94" s="25" t="s">
        <v>3025</v>
      </c>
      <c r="I94" s="25">
        <v>710000000</v>
      </c>
      <c r="J94" s="25" t="s">
        <v>1931</v>
      </c>
      <c r="K94" s="25" t="s">
        <v>5282</v>
      </c>
      <c r="L94" s="7" t="s">
        <v>1889</v>
      </c>
      <c r="M94" s="8" t="s">
        <v>3195</v>
      </c>
      <c r="N94" s="8" t="s">
        <v>1408</v>
      </c>
      <c r="O94" s="25" t="s">
        <v>5283</v>
      </c>
      <c r="P94" s="25">
        <v>112</v>
      </c>
      <c r="Q94" s="25" t="s">
        <v>3026</v>
      </c>
      <c r="R94" s="10">
        <f>23760+23400+1929</f>
        <v>49089</v>
      </c>
      <c r="S94" s="10">
        <v>95.54</v>
      </c>
      <c r="T94" s="10">
        <v>0</v>
      </c>
      <c r="U94" s="10">
        <f t="shared" si="3"/>
        <v>0</v>
      </c>
      <c r="V94" s="25" t="s">
        <v>3027</v>
      </c>
      <c r="W94" s="11">
        <v>2015</v>
      </c>
      <c r="X94" s="25" t="s">
        <v>6582</v>
      </c>
    </row>
    <row r="95" spans="1:24" s="85" customFormat="1" ht="51" customHeight="1" outlineLevel="1" x14ac:dyDescent="0.2">
      <c r="A95" s="1" t="s">
        <v>6980</v>
      </c>
      <c r="B95" s="25" t="s">
        <v>5277</v>
      </c>
      <c r="C95" s="25" t="s">
        <v>3318</v>
      </c>
      <c r="D95" s="25" t="s">
        <v>5286</v>
      </c>
      <c r="E95" s="25" t="s">
        <v>5287</v>
      </c>
      <c r="F95" s="25" t="s">
        <v>5289</v>
      </c>
      <c r="G95" s="25" t="s">
        <v>3190</v>
      </c>
      <c r="H95" s="25" t="s">
        <v>3025</v>
      </c>
      <c r="I95" s="25">
        <v>710000000</v>
      </c>
      <c r="J95" s="25" t="s">
        <v>1931</v>
      </c>
      <c r="K95" s="25" t="s">
        <v>5282</v>
      </c>
      <c r="L95" s="7" t="s">
        <v>1889</v>
      </c>
      <c r="M95" s="8" t="s">
        <v>3195</v>
      </c>
      <c r="N95" s="8" t="s">
        <v>1408</v>
      </c>
      <c r="O95" s="25" t="s">
        <v>5283</v>
      </c>
      <c r="P95" s="25">
        <v>112</v>
      </c>
      <c r="Q95" s="25" t="s">
        <v>3026</v>
      </c>
      <c r="R95" s="10">
        <f>23760+23400+1929</f>
        <v>49089</v>
      </c>
      <c r="S95" s="10">
        <v>88.39</v>
      </c>
      <c r="T95" s="10">
        <v>0</v>
      </c>
      <c r="U95" s="10">
        <f t="shared" si="3"/>
        <v>0</v>
      </c>
      <c r="V95" s="25" t="s">
        <v>3027</v>
      </c>
      <c r="W95" s="11">
        <v>2015</v>
      </c>
      <c r="X95" s="1">
        <v>11.19</v>
      </c>
    </row>
    <row r="96" spans="1:24" s="85" customFormat="1" ht="51" customHeight="1" outlineLevel="1" x14ac:dyDescent="0.2">
      <c r="A96" s="1" t="s">
        <v>8695</v>
      </c>
      <c r="B96" s="25" t="s">
        <v>5277</v>
      </c>
      <c r="C96" s="25" t="s">
        <v>3318</v>
      </c>
      <c r="D96" s="25" t="s">
        <v>5286</v>
      </c>
      <c r="E96" s="25" t="s">
        <v>5287</v>
      </c>
      <c r="F96" s="25" t="s">
        <v>5289</v>
      </c>
      <c r="G96" s="25" t="s">
        <v>3190</v>
      </c>
      <c r="H96" s="25" t="s">
        <v>3025</v>
      </c>
      <c r="I96" s="25">
        <v>710000000</v>
      </c>
      <c r="J96" s="25" t="s">
        <v>1931</v>
      </c>
      <c r="K96" s="25" t="s">
        <v>8687</v>
      </c>
      <c r="L96" s="7" t="s">
        <v>1889</v>
      </c>
      <c r="M96" s="8" t="s">
        <v>3195</v>
      </c>
      <c r="N96" s="8" t="s">
        <v>1408</v>
      </c>
      <c r="O96" s="25" t="s">
        <v>5283</v>
      </c>
      <c r="P96" s="25">
        <v>112</v>
      </c>
      <c r="Q96" s="25" t="s">
        <v>3026</v>
      </c>
      <c r="R96" s="10">
        <f>T96/S96</f>
        <v>0</v>
      </c>
      <c r="S96" s="10">
        <v>85.71</v>
      </c>
      <c r="T96" s="10">
        <v>0</v>
      </c>
      <c r="U96" s="10">
        <f>T96*1.12</f>
        <v>0</v>
      </c>
      <c r="V96" s="25" t="s">
        <v>3027</v>
      </c>
      <c r="W96" s="11">
        <v>2015</v>
      </c>
      <c r="X96" s="25" t="s">
        <v>9929</v>
      </c>
    </row>
    <row r="97" spans="1:24" s="85" customFormat="1" ht="51" customHeight="1" outlineLevel="1" x14ac:dyDescent="0.2">
      <c r="A97" s="1" t="s">
        <v>9932</v>
      </c>
      <c r="B97" s="25" t="s">
        <v>5277</v>
      </c>
      <c r="C97" s="25" t="s">
        <v>3318</v>
      </c>
      <c r="D97" s="25" t="s">
        <v>5286</v>
      </c>
      <c r="E97" s="25" t="s">
        <v>5287</v>
      </c>
      <c r="F97" s="25" t="s">
        <v>5289</v>
      </c>
      <c r="G97" s="25" t="s">
        <v>3190</v>
      </c>
      <c r="H97" s="25" t="s">
        <v>3025</v>
      </c>
      <c r="I97" s="25">
        <v>710000000</v>
      </c>
      <c r="J97" s="25" t="s">
        <v>1931</v>
      </c>
      <c r="K97" s="25" t="s">
        <v>9931</v>
      </c>
      <c r="L97" s="7" t="s">
        <v>1889</v>
      </c>
      <c r="M97" s="8" t="s">
        <v>3195</v>
      </c>
      <c r="N97" s="8" t="s">
        <v>1408</v>
      </c>
      <c r="O97" s="25" t="s">
        <v>5283</v>
      </c>
      <c r="P97" s="25">
        <v>112</v>
      </c>
      <c r="Q97" s="25" t="s">
        <v>3026</v>
      </c>
      <c r="R97" s="10">
        <f>T97/S97</f>
        <v>49089</v>
      </c>
      <c r="S97" s="10">
        <v>88.39</v>
      </c>
      <c r="T97" s="10">
        <v>4338976.71</v>
      </c>
      <c r="U97" s="10">
        <f>T97*1.12</f>
        <v>4859653.9152000006</v>
      </c>
      <c r="V97" s="25" t="s">
        <v>3027</v>
      </c>
      <c r="W97" s="11">
        <v>2015</v>
      </c>
      <c r="X97" s="25"/>
    </row>
    <row r="98" spans="1:24" s="93" customFormat="1" ht="51" customHeight="1" outlineLevel="1" x14ac:dyDescent="0.2">
      <c r="A98" s="1" t="s">
        <v>4231</v>
      </c>
      <c r="B98" s="7" t="s">
        <v>5277</v>
      </c>
      <c r="C98" s="7" t="s">
        <v>1938</v>
      </c>
      <c r="D98" s="7" t="s">
        <v>5286</v>
      </c>
      <c r="E98" s="7" t="s">
        <v>1939</v>
      </c>
      <c r="F98" s="25" t="s">
        <v>5289</v>
      </c>
      <c r="G98" s="7" t="s">
        <v>3190</v>
      </c>
      <c r="H98" s="7" t="s">
        <v>3025</v>
      </c>
      <c r="I98" s="7">
        <v>710000000</v>
      </c>
      <c r="J98" s="7" t="s">
        <v>1931</v>
      </c>
      <c r="K98" s="7" t="s">
        <v>5282</v>
      </c>
      <c r="L98" s="7" t="s">
        <v>1889</v>
      </c>
      <c r="M98" s="8" t="s">
        <v>3195</v>
      </c>
      <c r="N98" s="8" t="s">
        <v>1408</v>
      </c>
      <c r="O98" s="7" t="s">
        <v>5283</v>
      </c>
      <c r="P98" s="7">
        <v>112</v>
      </c>
      <c r="Q98" s="7" t="s">
        <v>3026</v>
      </c>
      <c r="R98" s="10">
        <f>15652+1413+3855</f>
        <v>20920</v>
      </c>
      <c r="S98" s="10">
        <v>138.38999999999999</v>
      </c>
      <c r="T98" s="10">
        <v>0</v>
      </c>
      <c r="U98" s="10">
        <f t="shared" si="3"/>
        <v>0</v>
      </c>
      <c r="V98" s="7" t="s">
        <v>3027</v>
      </c>
      <c r="W98" s="11">
        <v>2015</v>
      </c>
      <c r="X98" s="7" t="s">
        <v>6582</v>
      </c>
    </row>
    <row r="99" spans="1:24" s="93" customFormat="1" ht="51" customHeight="1" outlineLevel="1" x14ac:dyDescent="0.2">
      <c r="A99" s="1" t="s">
        <v>6981</v>
      </c>
      <c r="B99" s="7" t="s">
        <v>5277</v>
      </c>
      <c r="C99" s="7" t="s">
        <v>1938</v>
      </c>
      <c r="D99" s="7" t="s">
        <v>5286</v>
      </c>
      <c r="E99" s="7" t="s">
        <v>1939</v>
      </c>
      <c r="F99" s="25" t="s">
        <v>5289</v>
      </c>
      <c r="G99" s="7" t="s">
        <v>3190</v>
      </c>
      <c r="H99" s="7" t="s">
        <v>3025</v>
      </c>
      <c r="I99" s="7">
        <v>710000000</v>
      </c>
      <c r="J99" s="7" t="s">
        <v>1931</v>
      </c>
      <c r="K99" s="7" t="s">
        <v>5282</v>
      </c>
      <c r="L99" s="7" t="s">
        <v>1889</v>
      </c>
      <c r="M99" s="8" t="s">
        <v>3195</v>
      </c>
      <c r="N99" s="8" t="s">
        <v>1408</v>
      </c>
      <c r="O99" s="7" t="s">
        <v>5283</v>
      </c>
      <c r="P99" s="7">
        <v>112</v>
      </c>
      <c r="Q99" s="7" t="s">
        <v>3026</v>
      </c>
      <c r="R99" s="10">
        <f>15652+1413+3855</f>
        <v>20920</v>
      </c>
      <c r="S99" s="10">
        <v>132.13999999999999</v>
      </c>
      <c r="T99" s="10">
        <f>R99*S99</f>
        <v>2764368.8</v>
      </c>
      <c r="U99" s="10">
        <f t="shared" si="3"/>
        <v>3096093.0559999999</v>
      </c>
      <c r="V99" s="7" t="s">
        <v>3027</v>
      </c>
      <c r="W99" s="11">
        <v>2015</v>
      </c>
      <c r="X99" s="7"/>
    </row>
    <row r="100" spans="1:24" s="85" customFormat="1" ht="51" customHeight="1" outlineLevel="1" x14ac:dyDescent="0.2">
      <c r="A100" s="1" t="s">
        <v>4232</v>
      </c>
      <c r="B100" s="25" t="s">
        <v>5277</v>
      </c>
      <c r="C100" s="25" t="s">
        <v>3318</v>
      </c>
      <c r="D100" s="25" t="s">
        <v>5286</v>
      </c>
      <c r="E100" s="25" t="s">
        <v>5287</v>
      </c>
      <c r="F100" s="25" t="s">
        <v>5288</v>
      </c>
      <c r="G100" s="25" t="s">
        <v>3190</v>
      </c>
      <c r="H100" s="25" t="s">
        <v>3025</v>
      </c>
      <c r="I100" s="25">
        <v>710000000</v>
      </c>
      <c r="J100" s="25" t="s">
        <v>1931</v>
      </c>
      <c r="K100" s="25" t="s">
        <v>5282</v>
      </c>
      <c r="L100" s="7" t="s">
        <v>1889</v>
      </c>
      <c r="M100" s="8" t="s">
        <v>3195</v>
      </c>
      <c r="N100" s="8" t="s">
        <v>1408</v>
      </c>
      <c r="O100" s="25" t="s">
        <v>5283</v>
      </c>
      <c r="P100" s="25">
        <v>112</v>
      </c>
      <c r="Q100" s="25" t="s">
        <v>3026</v>
      </c>
      <c r="R100" s="10">
        <f>150073+52841+234877</f>
        <v>437791</v>
      </c>
      <c r="S100" s="10">
        <v>95.54</v>
      </c>
      <c r="T100" s="10">
        <v>0</v>
      </c>
      <c r="U100" s="10">
        <f t="shared" si="3"/>
        <v>0</v>
      </c>
      <c r="V100" s="25" t="s">
        <v>3027</v>
      </c>
      <c r="W100" s="11">
        <v>2015</v>
      </c>
      <c r="X100" s="25" t="s">
        <v>6582</v>
      </c>
    </row>
    <row r="101" spans="1:24" s="85" customFormat="1" ht="51" customHeight="1" outlineLevel="1" x14ac:dyDescent="0.2">
      <c r="A101" s="1" t="s">
        <v>6982</v>
      </c>
      <c r="B101" s="25" t="s">
        <v>5277</v>
      </c>
      <c r="C101" s="25" t="s">
        <v>3318</v>
      </c>
      <c r="D101" s="25" t="s">
        <v>5286</v>
      </c>
      <c r="E101" s="25" t="s">
        <v>5287</v>
      </c>
      <c r="F101" s="25" t="s">
        <v>5288</v>
      </c>
      <c r="G101" s="25" t="s">
        <v>3190</v>
      </c>
      <c r="H101" s="25" t="s">
        <v>3025</v>
      </c>
      <c r="I101" s="25">
        <v>710000000</v>
      </c>
      <c r="J101" s="25" t="s">
        <v>1931</v>
      </c>
      <c r="K101" s="25" t="s">
        <v>5282</v>
      </c>
      <c r="L101" s="7" t="s">
        <v>1889</v>
      </c>
      <c r="M101" s="8" t="s">
        <v>3195</v>
      </c>
      <c r="N101" s="8" t="s">
        <v>1408</v>
      </c>
      <c r="O101" s="25" t="s">
        <v>5283</v>
      </c>
      <c r="P101" s="25">
        <v>112</v>
      </c>
      <c r="Q101" s="25" t="s">
        <v>3026</v>
      </c>
      <c r="R101" s="10">
        <f>150073+52841+234877</f>
        <v>437791</v>
      </c>
      <c r="S101" s="10">
        <v>88.39</v>
      </c>
      <c r="T101" s="10">
        <v>0</v>
      </c>
      <c r="U101" s="10">
        <f t="shared" si="3"/>
        <v>0</v>
      </c>
      <c r="V101" s="25" t="s">
        <v>3027</v>
      </c>
      <c r="W101" s="11">
        <v>2015</v>
      </c>
      <c r="X101" s="1">
        <v>11.19</v>
      </c>
    </row>
    <row r="102" spans="1:24" s="85" customFormat="1" ht="51" customHeight="1" outlineLevel="1" x14ac:dyDescent="0.2">
      <c r="A102" s="1" t="s">
        <v>8696</v>
      </c>
      <c r="B102" s="25" t="s">
        <v>5277</v>
      </c>
      <c r="C102" s="25" t="s">
        <v>3318</v>
      </c>
      <c r="D102" s="25" t="s">
        <v>5286</v>
      </c>
      <c r="E102" s="25" t="s">
        <v>5287</v>
      </c>
      <c r="F102" s="25" t="s">
        <v>5288</v>
      </c>
      <c r="G102" s="25" t="s">
        <v>3190</v>
      </c>
      <c r="H102" s="25" t="s">
        <v>3025</v>
      </c>
      <c r="I102" s="25">
        <v>710000000</v>
      </c>
      <c r="J102" s="25" t="s">
        <v>1931</v>
      </c>
      <c r="K102" s="25" t="s">
        <v>8687</v>
      </c>
      <c r="L102" s="7" t="s">
        <v>1889</v>
      </c>
      <c r="M102" s="8" t="s">
        <v>3195</v>
      </c>
      <c r="N102" s="8" t="s">
        <v>1408</v>
      </c>
      <c r="O102" s="25" t="s">
        <v>5283</v>
      </c>
      <c r="P102" s="25">
        <v>112</v>
      </c>
      <c r="Q102" s="25" t="s">
        <v>3026</v>
      </c>
      <c r="R102" s="10">
        <f>T102/S102</f>
        <v>0</v>
      </c>
      <c r="S102" s="10">
        <v>85.71</v>
      </c>
      <c r="T102" s="10">
        <v>0</v>
      </c>
      <c r="U102" s="10">
        <f>T102*1.12</f>
        <v>0</v>
      </c>
      <c r="V102" s="25" t="s">
        <v>3027</v>
      </c>
      <c r="W102" s="11">
        <v>2015</v>
      </c>
      <c r="X102" s="25" t="s">
        <v>9929</v>
      </c>
    </row>
    <row r="103" spans="1:24" s="85" customFormat="1" ht="51" customHeight="1" outlineLevel="1" x14ac:dyDescent="0.2">
      <c r="A103" s="1" t="s">
        <v>9933</v>
      </c>
      <c r="B103" s="25" t="s">
        <v>5277</v>
      </c>
      <c r="C103" s="25" t="s">
        <v>3318</v>
      </c>
      <c r="D103" s="25" t="s">
        <v>5286</v>
      </c>
      <c r="E103" s="25" t="s">
        <v>5287</v>
      </c>
      <c r="F103" s="25" t="s">
        <v>5288</v>
      </c>
      <c r="G103" s="25" t="s">
        <v>3190</v>
      </c>
      <c r="H103" s="25" t="s">
        <v>3025</v>
      </c>
      <c r="I103" s="25">
        <v>710000000</v>
      </c>
      <c r="J103" s="25" t="s">
        <v>1931</v>
      </c>
      <c r="K103" s="25" t="s">
        <v>9931</v>
      </c>
      <c r="L103" s="7" t="s">
        <v>1889</v>
      </c>
      <c r="M103" s="8" t="s">
        <v>3195</v>
      </c>
      <c r="N103" s="8" t="s">
        <v>1408</v>
      </c>
      <c r="O103" s="25" t="s">
        <v>5283</v>
      </c>
      <c r="P103" s="25">
        <v>112</v>
      </c>
      <c r="Q103" s="25" t="s">
        <v>3026</v>
      </c>
      <c r="R103" s="10">
        <f>T103/S103</f>
        <v>437791</v>
      </c>
      <c r="S103" s="10">
        <v>88.39</v>
      </c>
      <c r="T103" s="10">
        <v>38696346.490000002</v>
      </c>
      <c r="U103" s="10">
        <f>T103*1.12</f>
        <v>43339908.06880001</v>
      </c>
      <c r="V103" s="25" t="s">
        <v>3027</v>
      </c>
      <c r="W103" s="11">
        <v>2015</v>
      </c>
      <c r="X103" s="25"/>
    </row>
    <row r="104" spans="1:24" ht="76.5" customHeight="1" outlineLevel="1" x14ac:dyDescent="0.2">
      <c r="A104" s="1" t="s">
        <v>4233</v>
      </c>
      <c r="B104" s="24" t="s">
        <v>5277</v>
      </c>
      <c r="C104" s="16" t="s">
        <v>3002</v>
      </c>
      <c r="D104" s="81" t="s">
        <v>5294</v>
      </c>
      <c r="E104" s="18" t="s">
        <v>5295</v>
      </c>
      <c r="F104" s="4" t="s">
        <v>5296</v>
      </c>
      <c r="G104" s="1" t="s">
        <v>3187</v>
      </c>
      <c r="H104" s="22">
        <v>1</v>
      </c>
      <c r="I104" s="18">
        <v>710000000</v>
      </c>
      <c r="J104" s="4" t="s">
        <v>1931</v>
      </c>
      <c r="K104" s="4" t="s">
        <v>5706</v>
      </c>
      <c r="L104" s="7" t="s">
        <v>1940</v>
      </c>
      <c r="M104" s="8" t="s">
        <v>3195</v>
      </c>
      <c r="N104" s="8" t="s">
        <v>1890</v>
      </c>
      <c r="O104" s="16" t="s">
        <v>2146</v>
      </c>
      <c r="P104" s="82">
        <v>5111</v>
      </c>
      <c r="Q104" s="82" t="s">
        <v>5298</v>
      </c>
      <c r="R104" s="26">
        <f>74+1000+220+50+5+6</f>
        <v>1355</v>
      </c>
      <c r="S104" s="10">
        <v>569.20000000000005</v>
      </c>
      <c r="T104" s="10">
        <v>0</v>
      </c>
      <c r="U104" s="10">
        <f t="shared" si="0"/>
        <v>0</v>
      </c>
      <c r="V104" s="11" t="s">
        <v>3027</v>
      </c>
      <c r="W104" s="11">
        <v>2015</v>
      </c>
      <c r="X104" s="4" t="s">
        <v>8396</v>
      </c>
    </row>
    <row r="105" spans="1:24" ht="76.5" customHeight="1" outlineLevel="1" x14ac:dyDescent="0.2">
      <c r="A105" s="1" t="s">
        <v>8389</v>
      </c>
      <c r="B105" s="24" t="s">
        <v>5277</v>
      </c>
      <c r="C105" s="16" t="s">
        <v>3002</v>
      </c>
      <c r="D105" s="81" t="s">
        <v>5294</v>
      </c>
      <c r="E105" s="18" t="s">
        <v>5295</v>
      </c>
      <c r="F105" s="4" t="s">
        <v>5296</v>
      </c>
      <c r="G105" s="1" t="s">
        <v>3187</v>
      </c>
      <c r="H105" s="22">
        <v>0</v>
      </c>
      <c r="I105" s="18">
        <v>710000000</v>
      </c>
      <c r="J105" s="4" t="s">
        <v>1931</v>
      </c>
      <c r="K105" s="4" t="s">
        <v>756</v>
      </c>
      <c r="L105" s="7" t="s">
        <v>1940</v>
      </c>
      <c r="M105" s="8" t="s">
        <v>3195</v>
      </c>
      <c r="N105" s="8" t="s">
        <v>1890</v>
      </c>
      <c r="O105" s="16" t="s">
        <v>8390</v>
      </c>
      <c r="P105" s="82">
        <v>5111</v>
      </c>
      <c r="Q105" s="82" t="s">
        <v>5298</v>
      </c>
      <c r="R105" s="26">
        <f>74+1000+220+50+5+6</f>
        <v>1355</v>
      </c>
      <c r="S105" s="10">
        <v>569.20000000000005</v>
      </c>
      <c r="T105" s="10">
        <v>0</v>
      </c>
      <c r="U105" s="10">
        <f t="shared" ref="U105" si="6">T105*1.12</f>
        <v>0</v>
      </c>
      <c r="V105" s="11"/>
      <c r="W105" s="11">
        <v>2015</v>
      </c>
      <c r="X105" s="4" t="s">
        <v>7518</v>
      </c>
    </row>
    <row r="106" spans="1:24" ht="76.5" customHeight="1" outlineLevel="1" x14ac:dyDescent="0.2">
      <c r="A106" s="1" t="s">
        <v>9146</v>
      </c>
      <c r="B106" s="24" t="s">
        <v>5277</v>
      </c>
      <c r="C106" s="16" t="s">
        <v>3002</v>
      </c>
      <c r="D106" s="81" t="s">
        <v>5294</v>
      </c>
      <c r="E106" s="18" t="s">
        <v>5295</v>
      </c>
      <c r="F106" s="4" t="s">
        <v>5296</v>
      </c>
      <c r="G106" s="1" t="s">
        <v>3187</v>
      </c>
      <c r="H106" s="22">
        <v>0</v>
      </c>
      <c r="I106" s="18">
        <v>710000000</v>
      </c>
      <c r="J106" s="4" t="s">
        <v>1931</v>
      </c>
      <c r="K106" s="4" t="s">
        <v>9142</v>
      </c>
      <c r="L106" s="7" t="s">
        <v>1940</v>
      </c>
      <c r="M106" s="8" t="s">
        <v>3195</v>
      </c>
      <c r="N106" s="8" t="s">
        <v>1890</v>
      </c>
      <c r="O106" s="16" t="s">
        <v>8390</v>
      </c>
      <c r="P106" s="82">
        <v>5111</v>
      </c>
      <c r="Q106" s="82" t="s">
        <v>5298</v>
      </c>
      <c r="R106" s="26">
        <f>74+1000+220+50+5+6+120</f>
        <v>1475</v>
      </c>
      <c r="S106" s="10">
        <v>569.20000000000005</v>
      </c>
      <c r="T106" s="10">
        <v>0</v>
      </c>
      <c r="U106" s="10">
        <f t="shared" ref="U106" si="7">T106*1.12</f>
        <v>0</v>
      </c>
      <c r="V106" s="11"/>
      <c r="W106" s="11">
        <v>2015</v>
      </c>
      <c r="X106" s="4" t="s">
        <v>7518</v>
      </c>
    </row>
    <row r="107" spans="1:24" ht="76.5" customHeight="1" outlineLevel="1" x14ac:dyDescent="0.2">
      <c r="A107" s="1" t="s">
        <v>9900</v>
      </c>
      <c r="B107" s="24" t="s">
        <v>5277</v>
      </c>
      <c r="C107" s="16" t="s">
        <v>3002</v>
      </c>
      <c r="D107" s="81" t="s">
        <v>5294</v>
      </c>
      <c r="E107" s="18" t="s">
        <v>5295</v>
      </c>
      <c r="F107" s="4" t="s">
        <v>5296</v>
      </c>
      <c r="G107" s="1" t="s">
        <v>3187</v>
      </c>
      <c r="H107" s="22">
        <v>0</v>
      </c>
      <c r="I107" s="18">
        <v>710000000</v>
      </c>
      <c r="J107" s="4" t="s">
        <v>1931</v>
      </c>
      <c r="K107" s="4" t="s">
        <v>9901</v>
      </c>
      <c r="L107" s="7" t="s">
        <v>1940</v>
      </c>
      <c r="M107" s="8" t="s">
        <v>3195</v>
      </c>
      <c r="N107" s="8" t="s">
        <v>1890</v>
      </c>
      <c r="O107" s="16" t="s">
        <v>8390</v>
      </c>
      <c r="P107" s="82">
        <v>5111</v>
      </c>
      <c r="Q107" s="82" t="s">
        <v>5298</v>
      </c>
      <c r="R107" s="26">
        <f>74+1000+220+50+5+6+120+90</f>
        <v>1565</v>
      </c>
      <c r="S107" s="10">
        <v>569.20000000000005</v>
      </c>
      <c r="T107" s="10">
        <f t="shared" ref="T107" si="8">S107*R107</f>
        <v>890798.00000000012</v>
      </c>
      <c r="U107" s="10">
        <f t="shared" ref="U107" si="9">T107*1.12</f>
        <v>997693.76000000024</v>
      </c>
      <c r="V107" s="11"/>
      <c r="W107" s="11">
        <v>2015</v>
      </c>
      <c r="X107" s="4"/>
    </row>
    <row r="108" spans="1:24" ht="76.5" customHeight="1" outlineLevel="1" x14ac:dyDescent="0.2">
      <c r="A108" s="1" t="s">
        <v>4234</v>
      </c>
      <c r="B108" s="24" t="s">
        <v>5277</v>
      </c>
      <c r="C108" s="16" t="s">
        <v>3002</v>
      </c>
      <c r="D108" s="18" t="s">
        <v>5294</v>
      </c>
      <c r="E108" s="18" t="s">
        <v>5295</v>
      </c>
      <c r="F108" s="4" t="s">
        <v>5296</v>
      </c>
      <c r="G108" s="1" t="s">
        <v>3187</v>
      </c>
      <c r="H108" s="22">
        <v>1</v>
      </c>
      <c r="I108" s="18">
        <v>710000000</v>
      </c>
      <c r="J108" s="4" t="s">
        <v>1931</v>
      </c>
      <c r="K108" s="4" t="s">
        <v>5706</v>
      </c>
      <c r="L108" s="7" t="s">
        <v>3040</v>
      </c>
      <c r="M108" s="8" t="s">
        <v>3195</v>
      </c>
      <c r="N108" s="8" t="s">
        <v>1890</v>
      </c>
      <c r="O108" s="16" t="s">
        <v>2146</v>
      </c>
      <c r="P108" s="82">
        <v>5111</v>
      </c>
      <c r="Q108" s="82" t="s">
        <v>5298</v>
      </c>
      <c r="R108" s="26">
        <v>9</v>
      </c>
      <c r="S108" s="10">
        <v>569.20000000000005</v>
      </c>
      <c r="T108" s="10">
        <v>0</v>
      </c>
      <c r="U108" s="10">
        <f t="shared" si="0"/>
        <v>0</v>
      </c>
      <c r="V108" s="11" t="s">
        <v>3027</v>
      </c>
      <c r="W108" s="11">
        <v>2015</v>
      </c>
      <c r="X108" s="4" t="s">
        <v>8396</v>
      </c>
    </row>
    <row r="109" spans="1:24" ht="76.5" customHeight="1" outlineLevel="1" x14ac:dyDescent="0.2">
      <c r="A109" s="1" t="s">
        <v>8391</v>
      </c>
      <c r="B109" s="24" t="s">
        <v>5277</v>
      </c>
      <c r="C109" s="16" t="s">
        <v>3002</v>
      </c>
      <c r="D109" s="18" t="s">
        <v>5294</v>
      </c>
      <c r="E109" s="18" t="s">
        <v>5295</v>
      </c>
      <c r="F109" s="4" t="s">
        <v>5296</v>
      </c>
      <c r="G109" s="1" t="s">
        <v>3187</v>
      </c>
      <c r="H109" s="22">
        <v>0</v>
      </c>
      <c r="I109" s="18">
        <v>710000000</v>
      </c>
      <c r="J109" s="4" t="s">
        <v>1931</v>
      </c>
      <c r="K109" s="4" t="s">
        <v>756</v>
      </c>
      <c r="L109" s="7" t="s">
        <v>3040</v>
      </c>
      <c r="M109" s="8" t="s">
        <v>3195</v>
      </c>
      <c r="N109" s="8" t="s">
        <v>1890</v>
      </c>
      <c r="O109" s="16" t="s">
        <v>2146</v>
      </c>
      <c r="P109" s="82">
        <v>5111</v>
      </c>
      <c r="Q109" s="82" t="s">
        <v>5298</v>
      </c>
      <c r="R109" s="26">
        <v>9</v>
      </c>
      <c r="S109" s="10">
        <v>569.20000000000005</v>
      </c>
      <c r="T109" s="10">
        <f t="shared" ref="T109" si="10">S109*R109</f>
        <v>5122.8</v>
      </c>
      <c r="U109" s="10">
        <f t="shared" ref="U109" si="11">T109*1.12</f>
        <v>5737.536000000001</v>
      </c>
      <c r="V109" s="11"/>
      <c r="W109" s="11">
        <v>2015</v>
      </c>
      <c r="X109" s="20"/>
    </row>
    <row r="110" spans="1:24" ht="76.5" customHeight="1" outlineLevel="1" x14ac:dyDescent="0.2">
      <c r="A110" s="1" t="s">
        <v>4235</v>
      </c>
      <c r="B110" s="24" t="s">
        <v>5277</v>
      </c>
      <c r="C110" s="16" t="s">
        <v>3002</v>
      </c>
      <c r="D110" s="81" t="s">
        <v>5294</v>
      </c>
      <c r="E110" s="18" t="s">
        <v>5295</v>
      </c>
      <c r="F110" s="4" t="s">
        <v>5296</v>
      </c>
      <c r="G110" s="1" t="s">
        <v>3187</v>
      </c>
      <c r="H110" s="22">
        <v>1</v>
      </c>
      <c r="I110" s="18">
        <v>710000000</v>
      </c>
      <c r="J110" s="4" t="s">
        <v>1931</v>
      </c>
      <c r="K110" s="4" t="s">
        <v>5706</v>
      </c>
      <c r="L110" s="7" t="s">
        <v>5668</v>
      </c>
      <c r="M110" s="8" t="s">
        <v>3195</v>
      </c>
      <c r="N110" s="8" t="s">
        <v>1890</v>
      </c>
      <c r="O110" s="16" t="s">
        <v>2146</v>
      </c>
      <c r="P110" s="82">
        <v>5111</v>
      </c>
      <c r="Q110" s="82" t="s">
        <v>5298</v>
      </c>
      <c r="R110" s="26">
        <v>30</v>
      </c>
      <c r="S110" s="10">
        <v>569.20000000000005</v>
      </c>
      <c r="T110" s="10">
        <v>0</v>
      </c>
      <c r="U110" s="10">
        <f t="shared" si="0"/>
        <v>0</v>
      </c>
      <c r="V110" s="11" t="s">
        <v>3027</v>
      </c>
      <c r="W110" s="11">
        <v>2015</v>
      </c>
      <c r="X110" s="4" t="s">
        <v>8396</v>
      </c>
    </row>
    <row r="111" spans="1:24" ht="76.5" customHeight="1" outlineLevel="1" x14ac:dyDescent="0.2">
      <c r="A111" s="1" t="s">
        <v>8392</v>
      </c>
      <c r="B111" s="24" t="s">
        <v>5277</v>
      </c>
      <c r="C111" s="16" t="s">
        <v>3002</v>
      </c>
      <c r="D111" s="81" t="s">
        <v>5294</v>
      </c>
      <c r="E111" s="18" t="s">
        <v>5295</v>
      </c>
      <c r="F111" s="4" t="s">
        <v>5296</v>
      </c>
      <c r="G111" s="1" t="s">
        <v>3187</v>
      </c>
      <c r="H111" s="22">
        <v>0</v>
      </c>
      <c r="I111" s="18">
        <v>710000000</v>
      </c>
      <c r="J111" s="4" t="s">
        <v>1931</v>
      </c>
      <c r="K111" s="4" t="s">
        <v>756</v>
      </c>
      <c r="L111" s="7" t="s">
        <v>5668</v>
      </c>
      <c r="M111" s="8" t="s">
        <v>3195</v>
      </c>
      <c r="N111" s="8" t="s">
        <v>1890</v>
      </c>
      <c r="O111" s="16" t="s">
        <v>1935</v>
      </c>
      <c r="P111" s="82">
        <v>5111</v>
      </c>
      <c r="Q111" s="82" t="s">
        <v>5298</v>
      </c>
      <c r="R111" s="26">
        <v>30</v>
      </c>
      <c r="S111" s="10">
        <v>569.20000000000005</v>
      </c>
      <c r="T111" s="10">
        <v>0</v>
      </c>
      <c r="U111" s="10">
        <f t="shared" ref="U111" si="12">T111*1.12</f>
        <v>0</v>
      </c>
      <c r="V111" s="11"/>
      <c r="W111" s="11">
        <v>2015</v>
      </c>
      <c r="X111" s="4" t="s">
        <v>6565</v>
      </c>
    </row>
    <row r="112" spans="1:24" ht="76.5" customHeight="1" outlineLevel="1" x14ac:dyDescent="0.2">
      <c r="A112" s="1" t="s">
        <v>4236</v>
      </c>
      <c r="B112" s="24" t="s">
        <v>5277</v>
      </c>
      <c r="C112" s="16" t="s">
        <v>3002</v>
      </c>
      <c r="D112" s="81" t="s">
        <v>5294</v>
      </c>
      <c r="E112" s="18" t="s">
        <v>5295</v>
      </c>
      <c r="F112" s="4" t="s">
        <v>5296</v>
      </c>
      <c r="G112" s="1" t="s">
        <v>3187</v>
      </c>
      <c r="H112" s="22">
        <v>1</v>
      </c>
      <c r="I112" s="18">
        <v>710000000</v>
      </c>
      <c r="J112" s="4" t="s">
        <v>1931</v>
      </c>
      <c r="K112" s="4" t="s">
        <v>5706</v>
      </c>
      <c r="L112" s="4" t="s">
        <v>5689</v>
      </c>
      <c r="M112" s="8" t="s">
        <v>3195</v>
      </c>
      <c r="N112" s="8" t="s">
        <v>1890</v>
      </c>
      <c r="O112" s="16" t="s">
        <v>2146</v>
      </c>
      <c r="P112" s="82">
        <v>5111</v>
      </c>
      <c r="Q112" s="82" t="s">
        <v>5298</v>
      </c>
      <c r="R112" s="26">
        <v>60</v>
      </c>
      <c r="S112" s="10">
        <v>569.20000000000005</v>
      </c>
      <c r="T112" s="10">
        <v>0</v>
      </c>
      <c r="U112" s="10">
        <f t="shared" si="0"/>
        <v>0</v>
      </c>
      <c r="V112" s="11" t="s">
        <v>3027</v>
      </c>
      <c r="W112" s="11">
        <v>2015</v>
      </c>
      <c r="X112" s="4" t="s">
        <v>8396</v>
      </c>
    </row>
    <row r="113" spans="1:24" ht="76.5" customHeight="1" outlineLevel="1" x14ac:dyDescent="0.2">
      <c r="A113" s="1" t="s">
        <v>8393</v>
      </c>
      <c r="B113" s="24" t="s">
        <v>5277</v>
      </c>
      <c r="C113" s="16" t="s">
        <v>3002</v>
      </c>
      <c r="D113" s="81" t="s">
        <v>5294</v>
      </c>
      <c r="E113" s="18" t="s">
        <v>5295</v>
      </c>
      <c r="F113" s="4" t="s">
        <v>5296</v>
      </c>
      <c r="G113" s="1" t="s">
        <v>3187</v>
      </c>
      <c r="H113" s="22">
        <v>0</v>
      </c>
      <c r="I113" s="18">
        <v>710000000</v>
      </c>
      <c r="J113" s="4" t="s">
        <v>1931</v>
      </c>
      <c r="K113" s="4" t="s">
        <v>756</v>
      </c>
      <c r="L113" s="4" t="s">
        <v>5689</v>
      </c>
      <c r="M113" s="8" t="s">
        <v>3195</v>
      </c>
      <c r="N113" s="8" t="s">
        <v>1890</v>
      </c>
      <c r="O113" s="16" t="s">
        <v>1935</v>
      </c>
      <c r="P113" s="82">
        <v>5111</v>
      </c>
      <c r="Q113" s="82" t="s">
        <v>5298</v>
      </c>
      <c r="R113" s="26">
        <v>60</v>
      </c>
      <c r="S113" s="10">
        <v>569.20000000000005</v>
      </c>
      <c r="T113" s="10">
        <v>0</v>
      </c>
      <c r="U113" s="10">
        <f t="shared" ref="U113" si="13">T113*1.12</f>
        <v>0</v>
      </c>
      <c r="V113" s="11"/>
      <c r="W113" s="11">
        <v>2015</v>
      </c>
      <c r="X113" s="4" t="s">
        <v>6565</v>
      </c>
    </row>
    <row r="114" spans="1:24" ht="76.5" customHeight="1" outlineLevel="1" x14ac:dyDescent="0.2">
      <c r="A114" s="1" t="s">
        <v>4237</v>
      </c>
      <c r="B114" s="24" t="s">
        <v>5277</v>
      </c>
      <c r="C114" s="16" t="s">
        <v>3002</v>
      </c>
      <c r="D114" s="81" t="s">
        <v>5294</v>
      </c>
      <c r="E114" s="18" t="s">
        <v>5295</v>
      </c>
      <c r="F114" s="4" t="s">
        <v>5296</v>
      </c>
      <c r="G114" s="1" t="s">
        <v>3187</v>
      </c>
      <c r="H114" s="22">
        <v>1</v>
      </c>
      <c r="I114" s="18">
        <v>710000000</v>
      </c>
      <c r="J114" s="4" t="s">
        <v>1931</v>
      </c>
      <c r="K114" s="4" t="s">
        <v>5706</v>
      </c>
      <c r="L114" s="7" t="s">
        <v>1889</v>
      </c>
      <c r="M114" s="8" t="s">
        <v>3195</v>
      </c>
      <c r="N114" s="8" t="s">
        <v>1890</v>
      </c>
      <c r="O114" s="16" t="s">
        <v>2146</v>
      </c>
      <c r="P114" s="82">
        <v>5111</v>
      </c>
      <c r="Q114" s="82" t="s">
        <v>5298</v>
      </c>
      <c r="R114" s="26">
        <v>50</v>
      </c>
      <c r="S114" s="10">
        <v>569.20000000000005</v>
      </c>
      <c r="T114" s="10">
        <v>0</v>
      </c>
      <c r="U114" s="10">
        <f t="shared" si="0"/>
        <v>0</v>
      </c>
      <c r="V114" s="11" t="s">
        <v>3027</v>
      </c>
      <c r="W114" s="11">
        <v>2015</v>
      </c>
      <c r="X114" s="4" t="s">
        <v>8396</v>
      </c>
    </row>
    <row r="115" spans="1:24" ht="76.5" customHeight="1" outlineLevel="1" x14ac:dyDescent="0.2">
      <c r="A115" s="1" t="s">
        <v>8394</v>
      </c>
      <c r="B115" s="24" t="s">
        <v>5277</v>
      </c>
      <c r="C115" s="16" t="s">
        <v>3002</v>
      </c>
      <c r="D115" s="81" t="s">
        <v>5294</v>
      </c>
      <c r="E115" s="18" t="s">
        <v>5295</v>
      </c>
      <c r="F115" s="4" t="s">
        <v>5296</v>
      </c>
      <c r="G115" s="1" t="s">
        <v>3187</v>
      </c>
      <c r="H115" s="22">
        <v>0</v>
      </c>
      <c r="I115" s="18">
        <v>710000000</v>
      </c>
      <c r="J115" s="4" t="s">
        <v>1931</v>
      </c>
      <c r="K115" s="4" t="s">
        <v>756</v>
      </c>
      <c r="L115" s="7" t="s">
        <v>1889</v>
      </c>
      <c r="M115" s="8" t="s">
        <v>3195</v>
      </c>
      <c r="N115" s="8" t="s">
        <v>1890</v>
      </c>
      <c r="O115" s="16" t="s">
        <v>1935</v>
      </c>
      <c r="P115" s="82">
        <v>5111</v>
      </c>
      <c r="Q115" s="82" t="s">
        <v>5298</v>
      </c>
      <c r="R115" s="26">
        <v>50</v>
      </c>
      <c r="S115" s="10">
        <v>569.20000000000005</v>
      </c>
      <c r="T115" s="10">
        <f t="shared" ref="T115" si="14">S115*R115</f>
        <v>28460.000000000004</v>
      </c>
      <c r="U115" s="10">
        <f t="shared" ref="U115" si="15">T115*1.12</f>
        <v>31875.200000000008</v>
      </c>
      <c r="V115" s="11"/>
      <c r="W115" s="11">
        <v>2015</v>
      </c>
      <c r="X115" s="4"/>
    </row>
    <row r="116" spans="1:24" ht="76.5" customHeight="1" outlineLevel="1" x14ac:dyDescent="0.2">
      <c r="A116" s="1" t="s">
        <v>4238</v>
      </c>
      <c r="B116" s="24" t="s">
        <v>5277</v>
      </c>
      <c r="C116" s="18" t="s">
        <v>3300</v>
      </c>
      <c r="D116" s="18" t="s">
        <v>5294</v>
      </c>
      <c r="E116" s="18" t="s">
        <v>5299</v>
      </c>
      <c r="F116" s="4" t="s">
        <v>1414</v>
      </c>
      <c r="G116" s="1" t="s">
        <v>3187</v>
      </c>
      <c r="H116" s="22">
        <v>1</v>
      </c>
      <c r="I116" s="18">
        <v>710000000</v>
      </c>
      <c r="J116" s="4" t="s">
        <v>1931</v>
      </c>
      <c r="K116" s="4" t="s">
        <v>5706</v>
      </c>
      <c r="L116" s="7" t="s">
        <v>1940</v>
      </c>
      <c r="M116" s="8" t="s">
        <v>3195</v>
      </c>
      <c r="N116" s="8" t="s">
        <v>1890</v>
      </c>
      <c r="O116" s="16" t="s">
        <v>2146</v>
      </c>
      <c r="P116" s="8">
        <v>5111</v>
      </c>
      <c r="Q116" s="8" t="s">
        <v>5298</v>
      </c>
      <c r="R116" s="26">
        <v>3</v>
      </c>
      <c r="S116" s="10">
        <v>1071.43</v>
      </c>
      <c r="T116" s="10">
        <v>0</v>
      </c>
      <c r="U116" s="10">
        <f t="shared" si="0"/>
        <v>0</v>
      </c>
      <c r="V116" s="11" t="s">
        <v>3027</v>
      </c>
      <c r="W116" s="11">
        <v>2015</v>
      </c>
      <c r="X116" s="4" t="s">
        <v>8396</v>
      </c>
    </row>
    <row r="117" spans="1:24" ht="76.5" customHeight="1" outlineLevel="1" x14ac:dyDescent="0.2">
      <c r="A117" s="1" t="s">
        <v>8395</v>
      </c>
      <c r="B117" s="24" t="s">
        <v>5277</v>
      </c>
      <c r="C117" s="18" t="s">
        <v>3300</v>
      </c>
      <c r="D117" s="18" t="s">
        <v>5294</v>
      </c>
      <c r="E117" s="18" t="s">
        <v>5299</v>
      </c>
      <c r="F117" s="4" t="s">
        <v>1414</v>
      </c>
      <c r="G117" s="1" t="s">
        <v>3187</v>
      </c>
      <c r="H117" s="22">
        <v>0</v>
      </c>
      <c r="I117" s="18">
        <v>710000000</v>
      </c>
      <c r="J117" s="4" t="s">
        <v>1931</v>
      </c>
      <c r="K117" s="4" t="s">
        <v>756</v>
      </c>
      <c r="L117" s="7" t="s">
        <v>1940</v>
      </c>
      <c r="M117" s="8" t="s">
        <v>3195</v>
      </c>
      <c r="N117" s="8" t="s">
        <v>1890</v>
      </c>
      <c r="O117" s="16" t="s">
        <v>1935</v>
      </c>
      <c r="P117" s="8">
        <v>5111</v>
      </c>
      <c r="Q117" s="8" t="s">
        <v>5298</v>
      </c>
      <c r="R117" s="26">
        <v>3</v>
      </c>
      <c r="S117" s="10">
        <v>1071.43</v>
      </c>
      <c r="T117" s="10">
        <f t="shared" ref="T117" si="16">S117*R117</f>
        <v>3214.29</v>
      </c>
      <c r="U117" s="10">
        <f t="shared" ref="U117" si="17">T117*1.12</f>
        <v>3600.0048000000002</v>
      </c>
      <c r="V117" s="11"/>
      <c r="W117" s="11">
        <v>2015</v>
      </c>
      <c r="X117" s="4"/>
    </row>
    <row r="118" spans="1:24" ht="76.5" customHeight="1" outlineLevel="1" x14ac:dyDescent="0.2">
      <c r="A118" s="1" t="s">
        <v>4239</v>
      </c>
      <c r="B118" s="24" t="s">
        <v>5277</v>
      </c>
      <c r="C118" s="96" t="s">
        <v>3269</v>
      </c>
      <c r="D118" s="18" t="s">
        <v>3270</v>
      </c>
      <c r="E118" s="18" t="s">
        <v>6440</v>
      </c>
      <c r="F118" s="4"/>
      <c r="G118" s="4" t="s">
        <v>3190</v>
      </c>
      <c r="H118" s="22">
        <v>0</v>
      </c>
      <c r="I118" s="18">
        <v>710000000</v>
      </c>
      <c r="J118" s="4" t="s">
        <v>1931</v>
      </c>
      <c r="K118" s="4" t="s">
        <v>5297</v>
      </c>
      <c r="L118" s="7" t="s">
        <v>1940</v>
      </c>
      <c r="M118" s="8" t="s">
        <v>3195</v>
      </c>
      <c r="N118" s="8" t="s">
        <v>1890</v>
      </c>
      <c r="O118" s="8" t="s">
        <v>1935</v>
      </c>
      <c r="P118" s="8">
        <v>796</v>
      </c>
      <c r="Q118" s="8" t="s">
        <v>3196</v>
      </c>
      <c r="R118" s="19">
        <f>20+2+25+20</f>
        <v>67</v>
      </c>
      <c r="S118" s="10">
        <v>93.75</v>
      </c>
      <c r="T118" s="10">
        <f t="shared" ref="T118:T149" si="18">S118*R118</f>
        <v>6281.25</v>
      </c>
      <c r="U118" s="10">
        <f t="shared" si="0"/>
        <v>7035.0000000000009</v>
      </c>
      <c r="V118" s="11"/>
      <c r="W118" s="11">
        <v>2015</v>
      </c>
      <c r="X118" s="4"/>
    </row>
    <row r="119" spans="1:24" ht="76.5" customHeight="1" outlineLevel="1" x14ac:dyDescent="0.2">
      <c r="A119" s="1" t="s">
        <v>4240</v>
      </c>
      <c r="B119" s="24" t="s">
        <v>5277</v>
      </c>
      <c r="C119" s="97" t="s">
        <v>1415</v>
      </c>
      <c r="D119" s="7" t="s">
        <v>3291</v>
      </c>
      <c r="E119" s="7" t="s">
        <v>5191</v>
      </c>
      <c r="F119" s="18"/>
      <c r="G119" s="4" t="s">
        <v>3190</v>
      </c>
      <c r="H119" s="22">
        <v>0</v>
      </c>
      <c r="I119" s="18">
        <v>710000000</v>
      </c>
      <c r="J119" s="4" t="s">
        <v>1931</v>
      </c>
      <c r="K119" s="4" t="s">
        <v>5297</v>
      </c>
      <c r="L119" s="7" t="s">
        <v>1940</v>
      </c>
      <c r="M119" s="8" t="s">
        <v>3195</v>
      </c>
      <c r="N119" s="8" t="s">
        <v>1890</v>
      </c>
      <c r="O119" s="8" t="s">
        <v>1935</v>
      </c>
      <c r="P119" s="8">
        <v>778</v>
      </c>
      <c r="Q119" s="8" t="s">
        <v>5152</v>
      </c>
      <c r="R119" s="98">
        <v>15</v>
      </c>
      <c r="S119" s="10">
        <v>91.96</v>
      </c>
      <c r="T119" s="10">
        <f t="shared" si="18"/>
        <v>1379.3999999999999</v>
      </c>
      <c r="U119" s="10">
        <f t="shared" ref="U119:U149" si="19">T119*1.12</f>
        <v>1544.9279999999999</v>
      </c>
      <c r="V119" s="11"/>
      <c r="W119" s="11">
        <v>2015</v>
      </c>
      <c r="X119" s="4"/>
    </row>
    <row r="120" spans="1:24" ht="76.5" customHeight="1" outlineLevel="1" x14ac:dyDescent="0.2">
      <c r="A120" s="1" t="s">
        <v>4241</v>
      </c>
      <c r="B120" s="24" t="s">
        <v>5277</v>
      </c>
      <c r="C120" s="97" t="s">
        <v>3273</v>
      </c>
      <c r="D120" s="7" t="s">
        <v>5168</v>
      </c>
      <c r="E120" s="7" t="s">
        <v>5169</v>
      </c>
      <c r="F120" s="18" t="s">
        <v>1416</v>
      </c>
      <c r="G120" s="4" t="s">
        <v>3190</v>
      </c>
      <c r="H120" s="22">
        <v>0</v>
      </c>
      <c r="I120" s="18">
        <v>710000000</v>
      </c>
      <c r="J120" s="4" t="s">
        <v>1931</v>
      </c>
      <c r="K120" s="4" t="s">
        <v>5297</v>
      </c>
      <c r="L120" s="7" t="s">
        <v>1940</v>
      </c>
      <c r="M120" s="8" t="s">
        <v>3195</v>
      </c>
      <c r="N120" s="8" t="s">
        <v>1890</v>
      </c>
      <c r="O120" s="8" t="s">
        <v>1935</v>
      </c>
      <c r="P120" s="8">
        <v>796</v>
      </c>
      <c r="Q120" s="8" t="s">
        <v>3196</v>
      </c>
      <c r="R120" s="98">
        <f>10+5</f>
        <v>15</v>
      </c>
      <c r="S120" s="10">
        <v>524.11</v>
      </c>
      <c r="T120" s="10">
        <f t="shared" si="18"/>
        <v>7861.6500000000005</v>
      </c>
      <c r="U120" s="10">
        <f t="shared" si="19"/>
        <v>8805.0480000000007</v>
      </c>
      <c r="V120" s="11"/>
      <c r="W120" s="11">
        <v>2015</v>
      </c>
      <c r="X120" s="4"/>
    </row>
    <row r="121" spans="1:24" ht="76.5" customHeight="1" outlineLevel="1" x14ac:dyDescent="0.2">
      <c r="A121" s="1" t="s">
        <v>4242</v>
      </c>
      <c r="B121" s="24" t="s">
        <v>5277</v>
      </c>
      <c r="C121" s="97" t="s">
        <v>3273</v>
      </c>
      <c r="D121" s="7" t="s">
        <v>5168</v>
      </c>
      <c r="E121" s="7" t="s">
        <v>5169</v>
      </c>
      <c r="F121" s="18" t="s">
        <v>1417</v>
      </c>
      <c r="G121" s="4" t="s">
        <v>3190</v>
      </c>
      <c r="H121" s="22">
        <v>0</v>
      </c>
      <c r="I121" s="18">
        <v>710000000</v>
      </c>
      <c r="J121" s="4" t="s">
        <v>1931</v>
      </c>
      <c r="K121" s="4" t="s">
        <v>5297</v>
      </c>
      <c r="L121" s="7" t="s">
        <v>1940</v>
      </c>
      <c r="M121" s="8" t="s">
        <v>3195</v>
      </c>
      <c r="N121" s="8" t="s">
        <v>1890</v>
      </c>
      <c r="O121" s="8" t="s">
        <v>1935</v>
      </c>
      <c r="P121" s="8">
        <v>796</v>
      </c>
      <c r="Q121" s="8" t="s">
        <v>3196</v>
      </c>
      <c r="R121" s="98">
        <f>15+5</f>
        <v>20</v>
      </c>
      <c r="S121" s="10">
        <v>846.43</v>
      </c>
      <c r="T121" s="10">
        <f t="shared" si="18"/>
        <v>16928.599999999999</v>
      </c>
      <c r="U121" s="10">
        <f t="shared" si="19"/>
        <v>18960.031999999999</v>
      </c>
      <c r="V121" s="11"/>
      <c r="W121" s="11">
        <v>2015</v>
      </c>
      <c r="X121" s="4"/>
    </row>
    <row r="122" spans="1:24" ht="76.5" customHeight="1" outlineLevel="1" x14ac:dyDescent="0.2">
      <c r="A122" s="1" t="s">
        <v>4243</v>
      </c>
      <c r="B122" s="24" t="s">
        <v>5277</v>
      </c>
      <c r="C122" s="7" t="s">
        <v>6441</v>
      </c>
      <c r="D122" s="7" t="s">
        <v>5185</v>
      </c>
      <c r="E122" s="7" t="s">
        <v>5186</v>
      </c>
      <c r="F122" s="4"/>
      <c r="G122" s="4" t="s">
        <v>3190</v>
      </c>
      <c r="H122" s="22">
        <v>0</v>
      </c>
      <c r="I122" s="18">
        <v>710000000</v>
      </c>
      <c r="J122" s="4" t="s">
        <v>1931</v>
      </c>
      <c r="K122" s="4" t="s">
        <v>5297</v>
      </c>
      <c r="L122" s="7" t="s">
        <v>1940</v>
      </c>
      <c r="M122" s="8" t="s">
        <v>3195</v>
      </c>
      <c r="N122" s="8" t="s">
        <v>1890</v>
      </c>
      <c r="O122" s="8" t="s">
        <v>1935</v>
      </c>
      <c r="P122" s="4">
        <v>778</v>
      </c>
      <c r="Q122" s="4" t="s">
        <v>5152</v>
      </c>
      <c r="R122" s="26">
        <f>5+180</f>
        <v>185</v>
      </c>
      <c r="S122" s="10">
        <v>214.29</v>
      </c>
      <c r="T122" s="10">
        <f t="shared" si="18"/>
        <v>39643.65</v>
      </c>
      <c r="U122" s="10">
        <f t="shared" si="19"/>
        <v>44400.888000000006</v>
      </c>
      <c r="V122" s="11"/>
      <c r="W122" s="11">
        <v>2015</v>
      </c>
      <c r="X122" s="4"/>
    </row>
    <row r="123" spans="1:24" ht="76.5" customHeight="1" outlineLevel="1" x14ac:dyDescent="0.2">
      <c r="A123" s="1" t="s">
        <v>4244</v>
      </c>
      <c r="B123" s="24" t="s">
        <v>5277</v>
      </c>
      <c r="C123" s="97" t="s">
        <v>3288</v>
      </c>
      <c r="D123" s="97" t="s">
        <v>5185</v>
      </c>
      <c r="E123" s="97" t="s">
        <v>5187</v>
      </c>
      <c r="F123" s="4"/>
      <c r="G123" s="4" t="s">
        <v>3190</v>
      </c>
      <c r="H123" s="22">
        <v>0</v>
      </c>
      <c r="I123" s="18">
        <v>710000000</v>
      </c>
      <c r="J123" s="4" t="s">
        <v>1931</v>
      </c>
      <c r="K123" s="4" t="s">
        <v>5297</v>
      </c>
      <c r="L123" s="7" t="s">
        <v>1940</v>
      </c>
      <c r="M123" s="8" t="s">
        <v>3195</v>
      </c>
      <c r="N123" s="8" t="s">
        <v>1890</v>
      </c>
      <c r="O123" s="8" t="s">
        <v>1935</v>
      </c>
      <c r="P123" s="4">
        <v>778</v>
      </c>
      <c r="Q123" s="4" t="s">
        <v>5152</v>
      </c>
      <c r="R123" s="26">
        <f>160+3+3</f>
        <v>166</v>
      </c>
      <c r="S123" s="10">
        <v>150</v>
      </c>
      <c r="T123" s="10">
        <f t="shared" si="18"/>
        <v>24900</v>
      </c>
      <c r="U123" s="10">
        <f t="shared" si="19"/>
        <v>27888.000000000004</v>
      </c>
      <c r="V123" s="11"/>
      <c r="W123" s="11">
        <v>2015</v>
      </c>
      <c r="X123" s="4"/>
    </row>
    <row r="124" spans="1:24" ht="76.5" customHeight="1" outlineLevel="1" x14ac:dyDescent="0.2">
      <c r="A124" s="1" t="s">
        <v>4245</v>
      </c>
      <c r="B124" s="24" t="s">
        <v>5277</v>
      </c>
      <c r="C124" s="97" t="s">
        <v>3289</v>
      </c>
      <c r="D124" s="97" t="s">
        <v>5185</v>
      </c>
      <c r="E124" s="97" t="s">
        <v>5188</v>
      </c>
      <c r="F124" s="4"/>
      <c r="G124" s="4" t="s">
        <v>3190</v>
      </c>
      <c r="H124" s="22">
        <v>0</v>
      </c>
      <c r="I124" s="18">
        <v>710000000</v>
      </c>
      <c r="J124" s="4" t="s">
        <v>1931</v>
      </c>
      <c r="K124" s="4" t="s">
        <v>5297</v>
      </c>
      <c r="L124" s="7" t="s">
        <v>1940</v>
      </c>
      <c r="M124" s="8" t="s">
        <v>3195</v>
      </c>
      <c r="N124" s="8" t="s">
        <v>1890</v>
      </c>
      <c r="O124" s="8" t="s">
        <v>1935</v>
      </c>
      <c r="P124" s="4">
        <v>778</v>
      </c>
      <c r="Q124" s="4" t="s">
        <v>5152</v>
      </c>
      <c r="R124" s="26">
        <f>8+180+3</f>
        <v>191</v>
      </c>
      <c r="S124" s="10">
        <v>64.290000000000006</v>
      </c>
      <c r="T124" s="10">
        <f t="shared" si="18"/>
        <v>12279.390000000001</v>
      </c>
      <c r="U124" s="10">
        <f t="shared" si="19"/>
        <v>13752.916800000003</v>
      </c>
      <c r="V124" s="11"/>
      <c r="W124" s="11">
        <v>2015</v>
      </c>
      <c r="X124" s="4"/>
    </row>
    <row r="125" spans="1:24" ht="76.5" customHeight="1" outlineLevel="1" x14ac:dyDescent="0.2">
      <c r="A125" s="1" t="s">
        <v>4246</v>
      </c>
      <c r="B125" s="24" t="s">
        <v>5277</v>
      </c>
      <c r="C125" s="18" t="s">
        <v>3008</v>
      </c>
      <c r="D125" s="18" t="s">
        <v>5150</v>
      </c>
      <c r="E125" s="18" t="s">
        <v>5151</v>
      </c>
      <c r="F125" s="18" t="s">
        <v>1453</v>
      </c>
      <c r="G125" s="4" t="s">
        <v>3190</v>
      </c>
      <c r="H125" s="22">
        <v>0</v>
      </c>
      <c r="I125" s="18">
        <v>710000000</v>
      </c>
      <c r="J125" s="4" t="s">
        <v>1931</v>
      </c>
      <c r="K125" s="4" t="s">
        <v>5297</v>
      </c>
      <c r="L125" s="7" t="s">
        <v>1940</v>
      </c>
      <c r="M125" s="8" t="s">
        <v>3195</v>
      </c>
      <c r="N125" s="8" t="s">
        <v>1890</v>
      </c>
      <c r="O125" s="8" t="s">
        <v>1935</v>
      </c>
      <c r="P125" s="4">
        <v>778</v>
      </c>
      <c r="Q125" s="4" t="s">
        <v>5152</v>
      </c>
      <c r="R125" s="10">
        <f>15+280+15+20+2</f>
        <v>332</v>
      </c>
      <c r="S125" s="10">
        <v>95.54</v>
      </c>
      <c r="T125" s="10">
        <f t="shared" si="18"/>
        <v>31719.280000000002</v>
      </c>
      <c r="U125" s="10">
        <f t="shared" si="19"/>
        <v>35525.593600000007</v>
      </c>
      <c r="V125" s="11"/>
      <c r="W125" s="11">
        <v>2015</v>
      </c>
      <c r="X125" s="4"/>
    </row>
    <row r="126" spans="1:24" ht="76.5" customHeight="1" outlineLevel="1" x14ac:dyDescent="0.2">
      <c r="A126" s="1" t="s">
        <v>4247</v>
      </c>
      <c r="B126" s="24" t="s">
        <v>5277</v>
      </c>
      <c r="C126" s="18" t="s">
        <v>3008</v>
      </c>
      <c r="D126" s="18" t="s">
        <v>5150</v>
      </c>
      <c r="E126" s="18" t="s">
        <v>5151</v>
      </c>
      <c r="F126" s="18" t="s">
        <v>1454</v>
      </c>
      <c r="G126" s="4" t="s">
        <v>3190</v>
      </c>
      <c r="H126" s="22">
        <v>0</v>
      </c>
      <c r="I126" s="18">
        <v>710000000</v>
      </c>
      <c r="J126" s="4" t="s">
        <v>1931</v>
      </c>
      <c r="K126" s="4" t="s">
        <v>5297</v>
      </c>
      <c r="L126" s="7" t="s">
        <v>1940</v>
      </c>
      <c r="M126" s="8" t="s">
        <v>3195</v>
      </c>
      <c r="N126" s="8" t="s">
        <v>1890</v>
      </c>
      <c r="O126" s="8" t="s">
        <v>1935</v>
      </c>
      <c r="P126" s="4">
        <v>778</v>
      </c>
      <c r="Q126" s="4" t="s">
        <v>5152</v>
      </c>
      <c r="R126" s="10">
        <f>13+140+15</f>
        <v>168</v>
      </c>
      <c r="S126" s="10">
        <v>52.68</v>
      </c>
      <c r="T126" s="10">
        <f t="shared" si="18"/>
        <v>8850.24</v>
      </c>
      <c r="U126" s="10">
        <f t="shared" si="19"/>
        <v>9912.2687999999998</v>
      </c>
      <c r="V126" s="11"/>
      <c r="W126" s="11">
        <v>2015</v>
      </c>
      <c r="X126" s="4"/>
    </row>
    <row r="127" spans="1:24" ht="76.5" customHeight="1" outlineLevel="1" x14ac:dyDescent="0.2">
      <c r="A127" s="1" t="s">
        <v>4248</v>
      </c>
      <c r="B127" s="24" t="s">
        <v>5277</v>
      </c>
      <c r="C127" s="16" t="s">
        <v>3265</v>
      </c>
      <c r="D127" s="123" t="s">
        <v>5147</v>
      </c>
      <c r="E127" s="18" t="s">
        <v>5148</v>
      </c>
      <c r="F127" s="4"/>
      <c r="G127" s="4" t="s">
        <v>3190</v>
      </c>
      <c r="H127" s="22">
        <v>0</v>
      </c>
      <c r="I127" s="18">
        <v>710000000</v>
      </c>
      <c r="J127" s="4" t="s">
        <v>1931</v>
      </c>
      <c r="K127" s="4" t="s">
        <v>5297</v>
      </c>
      <c r="L127" s="7" t="s">
        <v>1940</v>
      </c>
      <c r="M127" s="8" t="s">
        <v>3195</v>
      </c>
      <c r="N127" s="8" t="s">
        <v>1890</v>
      </c>
      <c r="O127" s="8" t="s">
        <v>1935</v>
      </c>
      <c r="P127" s="8">
        <v>796</v>
      </c>
      <c r="Q127" s="8" t="s">
        <v>3196</v>
      </c>
      <c r="R127" s="26">
        <f>33+5</f>
        <v>38</v>
      </c>
      <c r="S127" s="10">
        <v>53.57</v>
      </c>
      <c r="T127" s="10">
        <f t="shared" si="18"/>
        <v>2035.66</v>
      </c>
      <c r="U127" s="10">
        <f t="shared" si="19"/>
        <v>2279.9392000000003</v>
      </c>
      <c r="V127" s="11"/>
      <c r="W127" s="11">
        <v>2015</v>
      </c>
      <c r="X127" s="4"/>
    </row>
    <row r="128" spans="1:24" ht="76.5" customHeight="1" outlineLevel="1" x14ac:dyDescent="0.2">
      <c r="A128" s="1" t="s">
        <v>4249</v>
      </c>
      <c r="B128" s="24" t="s">
        <v>5277</v>
      </c>
      <c r="C128" s="16" t="s">
        <v>3034</v>
      </c>
      <c r="D128" s="123" t="s">
        <v>1421</v>
      </c>
      <c r="E128" s="18" t="s">
        <v>1422</v>
      </c>
      <c r="F128" s="4"/>
      <c r="G128" s="4" t="s">
        <v>3190</v>
      </c>
      <c r="H128" s="22">
        <v>0</v>
      </c>
      <c r="I128" s="18">
        <v>710000000</v>
      </c>
      <c r="J128" s="4" t="s">
        <v>1931</v>
      </c>
      <c r="K128" s="4" t="s">
        <v>5297</v>
      </c>
      <c r="L128" s="7" t="s">
        <v>1940</v>
      </c>
      <c r="M128" s="8" t="s">
        <v>3195</v>
      </c>
      <c r="N128" s="8" t="s">
        <v>1890</v>
      </c>
      <c r="O128" s="8" t="s">
        <v>1935</v>
      </c>
      <c r="P128" s="8">
        <v>796</v>
      </c>
      <c r="Q128" s="8" t="s">
        <v>3196</v>
      </c>
      <c r="R128" s="26">
        <f>7+50+15+30</f>
        <v>102</v>
      </c>
      <c r="S128" s="10">
        <v>217.86</v>
      </c>
      <c r="T128" s="10">
        <f t="shared" si="18"/>
        <v>22221.72</v>
      </c>
      <c r="U128" s="10">
        <f t="shared" si="19"/>
        <v>24888.326400000005</v>
      </c>
      <c r="V128" s="11"/>
      <c r="W128" s="11">
        <v>2015</v>
      </c>
      <c r="X128" s="4"/>
    </row>
    <row r="129" spans="1:24" ht="76.5" customHeight="1" outlineLevel="1" x14ac:dyDescent="0.2">
      <c r="A129" s="1" t="s">
        <v>4250</v>
      </c>
      <c r="B129" s="24" t="s">
        <v>5277</v>
      </c>
      <c r="C129" s="18" t="s">
        <v>1423</v>
      </c>
      <c r="D129" s="18" t="s">
        <v>1424</v>
      </c>
      <c r="E129" s="4" t="s">
        <v>1425</v>
      </c>
      <c r="F129" s="4"/>
      <c r="G129" s="4" t="s">
        <v>3190</v>
      </c>
      <c r="H129" s="22">
        <v>0</v>
      </c>
      <c r="I129" s="18">
        <v>710000000</v>
      </c>
      <c r="J129" s="4" t="s">
        <v>1931</v>
      </c>
      <c r="K129" s="4" t="s">
        <v>5297</v>
      </c>
      <c r="L129" s="7" t="s">
        <v>1940</v>
      </c>
      <c r="M129" s="8" t="s">
        <v>3195</v>
      </c>
      <c r="N129" s="8" t="s">
        <v>1890</v>
      </c>
      <c r="O129" s="8" t="s">
        <v>1935</v>
      </c>
      <c r="P129" s="8">
        <v>796</v>
      </c>
      <c r="Q129" s="8" t="s">
        <v>3196</v>
      </c>
      <c r="R129" s="26">
        <v>5</v>
      </c>
      <c r="S129" s="10">
        <v>250.89</v>
      </c>
      <c r="T129" s="10">
        <f t="shared" si="18"/>
        <v>1254.4499999999998</v>
      </c>
      <c r="U129" s="10">
        <f t="shared" si="19"/>
        <v>1404.9839999999999</v>
      </c>
      <c r="V129" s="11"/>
      <c r="W129" s="11">
        <v>2015</v>
      </c>
      <c r="X129" s="4"/>
    </row>
    <row r="130" spans="1:24" ht="76.5" customHeight="1" outlineLevel="1" x14ac:dyDescent="0.2">
      <c r="A130" s="1" t="s">
        <v>4251</v>
      </c>
      <c r="B130" s="24" t="s">
        <v>5277</v>
      </c>
      <c r="C130" s="81" t="s">
        <v>1426</v>
      </c>
      <c r="D130" s="81" t="s">
        <v>1427</v>
      </c>
      <c r="E130" s="81" t="s">
        <v>5191</v>
      </c>
      <c r="F130" s="4" t="s">
        <v>5152</v>
      </c>
      <c r="G130" s="4" t="s">
        <v>3190</v>
      </c>
      <c r="H130" s="22">
        <v>0</v>
      </c>
      <c r="I130" s="18">
        <v>710000000</v>
      </c>
      <c r="J130" s="4" t="s">
        <v>1931</v>
      </c>
      <c r="K130" s="4" t="s">
        <v>5297</v>
      </c>
      <c r="L130" s="7" t="s">
        <v>1940</v>
      </c>
      <c r="M130" s="8" t="s">
        <v>3195</v>
      </c>
      <c r="N130" s="8" t="s">
        <v>1890</v>
      </c>
      <c r="O130" s="8" t="s">
        <v>1935</v>
      </c>
      <c r="P130" s="8">
        <v>5111</v>
      </c>
      <c r="Q130" s="8" t="s">
        <v>5298</v>
      </c>
      <c r="R130" s="26">
        <v>21</v>
      </c>
      <c r="S130" s="10">
        <v>38.39</v>
      </c>
      <c r="T130" s="10">
        <f t="shared" si="18"/>
        <v>806.19</v>
      </c>
      <c r="U130" s="10">
        <f t="shared" si="19"/>
        <v>902.93280000000016</v>
      </c>
      <c r="V130" s="11"/>
      <c r="W130" s="11">
        <v>2015</v>
      </c>
      <c r="X130" s="4"/>
    </row>
    <row r="131" spans="1:24" ht="76.5" customHeight="1" outlineLevel="1" x14ac:dyDescent="0.2">
      <c r="A131" s="1" t="s">
        <v>4252</v>
      </c>
      <c r="B131" s="24" t="s">
        <v>5277</v>
      </c>
      <c r="C131" s="190" t="s">
        <v>3274</v>
      </c>
      <c r="D131" s="190" t="s">
        <v>5170</v>
      </c>
      <c r="E131" s="190" t="s">
        <v>5171</v>
      </c>
      <c r="F131" s="4"/>
      <c r="G131" s="4" t="s">
        <v>3190</v>
      </c>
      <c r="H131" s="22">
        <v>0</v>
      </c>
      <c r="I131" s="18">
        <v>710000000</v>
      </c>
      <c r="J131" s="4" t="s">
        <v>1931</v>
      </c>
      <c r="K131" s="4" t="s">
        <v>5297</v>
      </c>
      <c r="L131" s="7" t="s">
        <v>1940</v>
      </c>
      <c r="M131" s="8" t="s">
        <v>3195</v>
      </c>
      <c r="N131" s="8" t="s">
        <v>1890</v>
      </c>
      <c r="O131" s="8" t="s">
        <v>1935</v>
      </c>
      <c r="P131" s="8">
        <v>796</v>
      </c>
      <c r="Q131" s="8" t="s">
        <v>3196</v>
      </c>
      <c r="R131" s="26">
        <f>80+20+10</f>
        <v>110</v>
      </c>
      <c r="S131" s="10">
        <v>70.540000000000006</v>
      </c>
      <c r="T131" s="10">
        <f t="shared" si="18"/>
        <v>7759.4000000000005</v>
      </c>
      <c r="U131" s="10">
        <f t="shared" si="19"/>
        <v>8690.5280000000021</v>
      </c>
      <c r="V131" s="11"/>
      <c r="W131" s="11">
        <v>2015</v>
      </c>
      <c r="X131" s="4"/>
    </row>
    <row r="132" spans="1:24" ht="76.5" customHeight="1" outlineLevel="1" x14ac:dyDescent="0.2">
      <c r="A132" s="1" t="s">
        <v>4253</v>
      </c>
      <c r="B132" s="24" t="s">
        <v>5277</v>
      </c>
      <c r="C132" s="18" t="s">
        <v>1428</v>
      </c>
      <c r="D132" s="18" t="s">
        <v>5158</v>
      </c>
      <c r="E132" s="18" t="s">
        <v>1429</v>
      </c>
      <c r="F132" s="123"/>
      <c r="G132" s="4" t="s">
        <v>3190</v>
      </c>
      <c r="H132" s="22">
        <v>0</v>
      </c>
      <c r="I132" s="18">
        <v>710000000</v>
      </c>
      <c r="J132" s="4" t="s">
        <v>1931</v>
      </c>
      <c r="K132" s="4" t="s">
        <v>5297</v>
      </c>
      <c r="L132" s="7" t="s">
        <v>1940</v>
      </c>
      <c r="M132" s="8" t="s">
        <v>3195</v>
      </c>
      <c r="N132" s="8" t="s">
        <v>1890</v>
      </c>
      <c r="O132" s="8" t="s">
        <v>1935</v>
      </c>
      <c r="P132" s="8">
        <v>796</v>
      </c>
      <c r="Q132" s="8" t="s">
        <v>3196</v>
      </c>
      <c r="R132" s="26">
        <v>20</v>
      </c>
      <c r="S132" s="10">
        <v>41.07</v>
      </c>
      <c r="T132" s="10">
        <f t="shared" si="18"/>
        <v>821.4</v>
      </c>
      <c r="U132" s="10">
        <f t="shared" si="19"/>
        <v>919.96800000000007</v>
      </c>
      <c r="V132" s="11"/>
      <c r="W132" s="11">
        <v>2015</v>
      </c>
      <c r="X132" s="4"/>
    </row>
    <row r="133" spans="1:24" ht="76.5" customHeight="1" outlineLevel="1" x14ac:dyDescent="0.2">
      <c r="A133" s="1" t="s">
        <v>4254</v>
      </c>
      <c r="B133" s="24" t="s">
        <v>5277</v>
      </c>
      <c r="C133" s="18" t="s">
        <v>3271</v>
      </c>
      <c r="D133" s="18" t="s">
        <v>5158</v>
      </c>
      <c r="E133" s="18" t="s">
        <v>1430</v>
      </c>
      <c r="F133" s="123"/>
      <c r="G133" s="4" t="s">
        <v>3190</v>
      </c>
      <c r="H133" s="22">
        <v>0</v>
      </c>
      <c r="I133" s="18">
        <v>710000000</v>
      </c>
      <c r="J133" s="4" t="s">
        <v>1931</v>
      </c>
      <c r="K133" s="4" t="s">
        <v>5297</v>
      </c>
      <c r="L133" s="7" t="s">
        <v>1940</v>
      </c>
      <c r="M133" s="8" t="s">
        <v>3195</v>
      </c>
      <c r="N133" s="8" t="s">
        <v>1890</v>
      </c>
      <c r="O133" s="8" t="s">
        <v>1935</v>
      </c>
      <c r="P133" s="8">
        <v>796</v>
      </c>
      <c r="Q133" s="8" t="s">
        <v>3196</v>
      </c>
      <c r="R133" s="26">
        <f>15+2+1+10</f>
        <v>28</v>
      </c>
      <c r="S133" s="10">
        <v>36</v>
      </c>
      <c r="T133" s="10">
        <f t="shared" si="18"/>
        <v>1008</v>
      </c>
      <c r="U133" s="10">
        <f t="shared" si="19"/>
        <v>1128.96</v>
      </c>
      <c r="V133" s="11"/>
      <c r="W133" s="11">
        <v>2015</v>
      </c>
      <c r="X133" s="4"/>
    </row>
    <row r="134" spans="1:24" ht="76.5" customHeight="1" outlineLevel="1" x14ac:dyDescent="0.2">
      <c r="A134" s="1" t="s">
        <v>4255</v>
      </c>
      <c r="B134" s="24" t="s">
        <v>5277</v>
      </c>
      <c r="C134" s="18" t="s">
        <v>1431</v>
      </c>
      <c r="D134" s="18" t="s">
        <v>5158</v>
      </c>
      <c r="E134" s="18" t="s">
        <v>1432</v>
      </c>
      <c r="F134" s="123"/>
      <c r="G134" s="4" t="s">
        <v>3190</v>
      </c>
      <c r="H134" s="22">
        <v>0</v>
      </c>
      <c r="I134" s="18">
        <v>710000000</v>
      </c>
      <c r="J134" s="4" t="s">
        <v>1931</v>
      </c>
      <c r="K134" s="4" t="s">
        <v>5297</v>
      </c>
      <c r="L134" s="7" t="s">
        <v>1940</v>
      </c>
      <c r="M134" s="8" t="s">
        <v>3195</v>
      </c>
      <c r="N134" s="8" t="s">
        <v>1890</v>
      </c>
      <c r="O134" s="8" t="s">
        <v>1935</v>
      </c>
      <c r="P134" s="8">
        <v>796</v>
      </c>
      <c r="Q134" s="8" t="s">
        <v>3196</v>
      </c>
      <c r="R134" s="26">
        <f>20</f>
        <v>20</v>
      </c>
      <c r="S134" s="10">
        <v>35.71</v>
      </c>
      <c r="T134" s="10">
        <f t="shared" si="18"/>
        <v>714.2</v>
      </c>
      <c r="U134" s="10">
        <f t="shared" si="19"/>
        <v>799.90400000000011</v>
      </c>
      <c r="V134" s="11"/>
      <c r="W134" s="11">
        <v>2015</v>
      </c>
      <c r="X134" s="4"/>
    </row>
    <row r="135" spans="1:24" ht="76.5" customHeight="1" outlineLevel="1" x14ac:dyDescent="0.2">
      <c r="A135" s="1" t="s">
        <v>4256</v>
      </c>
      <c r="B135" s="24" t="s">
        <v>5277</v>
      </c>
      <c r="C135" s="18" t="s">
        <v>1433</v>
      </c>
      <c r="D135" s="18" t="s">
        <v>5158</v>
      </c>
      <c r="E135" s="18" t="s">
        <v>1434</v>
      </c>
      <c r="F135" s="123"/>
      <c r="G135" s="4" t="s">
        <v>3190</v>
      </c>
      <c r="H135" s="22">
        <v>0</v>
      </c>
      <c r="I135" s="18">
        <v>710000000</v>
      </c>
      <c r="J135" s="4" t="s">
        <v>1931</v>
      </c>
      <c r="K135" s="4" t="s">
        <v>5297</v>
      </c>
      <c r="L135" s="7" t="s">
        <v>1940</v>
      </c>
      <c r="M135" s="8" t="s">
        <v>3195</v>
      </c>
      <c r="N135" s="8" t="s">
        <v>1890</v>
      </c>
      <c r="O135" s="8" t="s">
        <v>1935</v>
      </c>
      <c r="P135" s="8">
        <v>796</v>
      </c>
      <c r="Q135" s="8" t="s">
        <v>3196</v>
      </c>
      <c r="R135" s="26">
        <v>10</v>
      </c>
      <c r="S135" s="10">
        <v>31.25</v>
      </c>
      <c r="T135" s="10">
        <f t="shared" si="18"/>
        <v>312.5</v>
      </c>
      <c r="U135" s="10">
        <f t="shared" si="19"/>
        <v>350.00000000000006</v>
      </c>
      <c r="V135" s="11"/>
      <c r="W135" s="11">
        <v>2015</v>
      </c>
      <c r="X135" s="4"/>
    </row>
    <row r="136" spans="1:24" ht="76.5" customHeight="1" outlineLevel="1" x14ac:dyDescent="0.2">
      <c r="A136" s="1" t="s">
        <v>4257</v>
      </c>
      <c r="B136" s="24" t="s">
        <v>5277</v>
      </c>
      <c r="C136" s="8" t="s">
        <v>3296</v>
      </c>
      <c r="D136" s="8" t="s">
        <v>5201</v>
      </c>
      <c r="E136" s="8" t="s">
        <v>5202</v>
      </c>
      <c r="F136" s="8" t="s">
        <v>5203</v>
      </c>
      <c r="G136" s="4" t="s">
        <v>3190</v>
      </c>
      <c r="H136" s="22">
        <v>0</v>
      </c>
      <c r="I136" s="18">
        <v>710000000</v>
      </c>
      <c r="J136" s="4" t="s">
        <v>1931</v>
      </c>
      <c r="K136" s="4" t="s">
        <v>5297</v>
      </c>
      <c r="L136" s="7" t="s">
        <v>1940</v>
      </c>
      <c r="M136" s="8" t="s">
        <v>3195</v>
      </c>
      <c r="N136" s="8" t="s">
        <v>1890</v>
      </c>
      <c r="O136" s="8" t="s">
        <v>1935</v>
      </c>
      <c r="P136" s="4">
        <v>616</v>
      </c>
      <c r="Q136" s="4" t="s">
        <v>5204</v>
      </c>
      <c r="R136" s="98">
        <v>7</v>
      </c>
      <c r="S136" s="10">
        <v>178.57</v>
      </c>
      <c r="T136" s="10">
        <f t="shared" si="18"/>
        <v>1249.99</v>
      </c>
      <c r="U136" s="10">
        <f t="shared" si="19"/>
        <v>1399.9888000000001</v>
      </c>
      <c r="V136" s="11"/>
      <c r="W136" s="11">
        <v>2015</v>
      </c>
      <c r="X136" s="4"/>
    </row>
    <row r="137" spans="1:24" ht="76.5" customHeight="1" outlineLevel="1" x14ac:dyDescent="0.2">
      <c r="A137" s="1" t="s">
        <v>4258</v>
      </c>
      <c r="B137" s="24" t="s">
        <v>5277</v>
      </c>
      <c r="C137" s="18" t="s">
        <v>3304</v>
      </c>
      <c r="D137" s="4" t="s">
        <v>5197</v>
      </c>
      <c r="E137" s="4" t="s">
        <v>5333</v>
      </c>
      <c r="F137" s="7" t="s">
        <v>5198</v>
      </c>
      <c r="G137" s="4" t="s">
        <v>3190</v>
      </c>
      <c r="H137" s="22">
        <v>0</v>
      </c>
      <c r="I137" s="18">
        <v>710000000</v>
      </c>
      <c r="J137" s="4" t="s">
        <v>1931</v>
      </c>
      <c r="K137" s="4" t="s">
        <v>5297</v>
      </c>
      <c r="L137" s="7" t="s">
        <v>1940</v>
      </c>
      <c r="M137" s="8" t="s">
        <v>3195</v>
      </c>
      <c r="N137" s="8" t="s">
        <v>1890</v>
      </c>
      <c r="O137" s="8" t="s">
        <v>1935</v>
      </c>
      <c r="P137" s="8">
        <v>796</v>
      </c>
      <c r="Q137" s="8" t="s">
        <v>3196</v>
      </c>
      <c r="R137" s="26">
        <f>18+1</f>
        <v>19</v>
      </c>
      <c r="S137" s="10">
        <v>1364.29</v>
      </c>
      <c r="T137" s="10">
        <f t="shared" si="18"/>
        <v>25921.51</v>
      </c>
      <c r="U137" s="10">
        <f t="shared" si="19"/>
        <v>29032.091200000003</v>
      </c>
      <c r="V137" s="11"/>
      <c r="W137" s="11">
        <v>2015</v>
      </c>
      <c r="X137" s="4"/>
    </row>
    <row r="138" spans="1:24" ht="76.5" customHeight="1" outlineLevel="1" x14ac:dyDescent="0.2">
      <c r="A138" s="1" t="s">
        <v>4259</v>
      </c>
      <c r="B138" s="24" t="s">
        <v>5277</v>
      </c>
      <c r="C138" s="81" t="s">
        <v>3290</v>
      </c>
      <c r="D138" s="81" t="s">
        <v>5189</v>
      </c>
      <c r="E138" s="81" t="s">
        <v>5190</v>
      </c>
      <c r="F138" s="4"/>
      <c r="G138" s="4" t="s">
        <v>3190</v>
      </c>
      <c r="H138" s="22">
        <v>0</v>
      </c>
      <c r="I138" s="18">
        <v>710000000</v>
      </c>
      <c r="J138" s="4" t="s">
        <v>1931</v>
      </c>
      <c r="K138" s="4" t="s">
        <v>5297</v>
      </c>
      <c r="L138" s="7" t="s">
        <v>1940</v>
      </c>
      <c r="M138" s="8" t="s">
        <v>3195</v>
      </c>
      <c r="N138" s="8" t="s">
        <v>1890</v>
      </c>
      <c r="O138" s="8" t="s">
        <v>1935</v>
      </c>
      <c r="P138" s="8">
        <v>796</v>
      </c>
      <c r="Q138" s="8" t="s">
        <v>3196</v>
      </c>
      <c r="R138" s="26">
        <f>10+20+20+3</f>
        <v>53</v>
      </c>
      <c r="S138" s="10">
        <v>109.82</v>
      </c>
      <c r="T138" s="10">
        <f t="shared" si="18"/>
        <v>5820.46</v>
      </c>
      <c r="U138" s="10">
        <f t="shared" si="19"/>
        <v>6518.9152000000004</v>
      </c>
      <c r="V138" s="11"/>
      <c r="W138" s="11">
        <v>2015</v>
      </c>
      <c r="X138" s="8"/>
    </row>
    <row r="139" spans="1:24" ht="76.5" customHeight="1" outlineLevel="1" x14ac:dyDescent="0.2">
      <c r="A139" s="1" t="s">
        <v>4260</v>
      </c>
      <c r="B139" s="24" t="s">
        <v>5277</v>
      </c>
      <c r="C139" s="191" t="s">
        <v>3276</v>
      </c>
      <c r="D139" s="123" t="s">
        <v>5174</v>
      </c>
      <c r="E139" s="123" t="s">
        <v>5175</v>
      </c>
      <c r="F139" s="4"/>
      <c r="G139" s="4" t="s">
        <v>3190</v>
      </c>
      <c r="H139" s="22">
        <v>0</v>
      </c>
      <c r="I139" s="18">
        <v>710000000</v>
      </c>
      <c r="J139" s="4" t="s">
        <v>1931</v>
      </c>
      <c r="K139" s="4" t="s">
        <v>5297</v>
      </c>
      <c r="L139" s="7" t="s">
        <v>1940</v>
      </c>
      <c r="M139" s="8" t="s">
        <v>3195</v>
      </c>
      <c r="N139" s="8" t="s">
        <v>1890</v>
      </c>
      <c r="O139" s="8" t="s">
        <v>1935</v>
      </c>
      <c r="P139" s="8">
        <v>796</v>
      </c>
      <c r="Q139" s="8" t="s">
        <v>3196</v>
      </c>
      <c r="R139" s="26">
        <f>10+20+8+2</f>
        <v>40</v>
      </c>
      <c r="S139" s="10">
        <v>349.11</v>
      </c>
      <c r="T139" s="10">
        <f t="shared" si="18"/>
        <v>13964.400000000001</v>
      </c>
      <c r="U139" s="10">
        <f t="shared" si="19"/>
        <v>15640.128000000002</v>
      </c>
      <c r="V139" s="11"/>
      <c r="W139" s="11">
        <v>2015</v>
      </c>
      <c r="X139" s="4"/>
    </row>
    <row r="140" spans="1:24" ht="76.5" customHeight="1" outlineLevel="1" x14ac:dyDescent="0.2">
      <c r="A140" s="1" t="s">
        <v>4261</v>
      </c>
      <c r="B140" s="24" t="s">
        <v>5277</v>
      </c>
      <c r="C140" s="4" t="s">
        <v>1451</v>
      </c>
      <c r="D140" s="4" t="s">
        <v>3301</v>
      </c>
      <c r="E140" s="4" t="s">
        <v>1452</v>
      </c>
      <c r="F140" s="4"/>
      <c r="G140" s="4" t="s">
        <v>3190</v>
      </c>
      <c r="H140" s="22">
        <v>0</v>
      </c>
      <c r="I140" s="18">
        <v>710000000</v>
      </c>
      <c r="J140" s="4" t="s">
        <v>1931</v>
      </c>
      <c r="K140" s="4" t="s">
        <v>5297</v>
      </c>
      <c r="L140" s="7" t="s">
        <v>1940</v>
      </c>
      <c r="M140" s="8" t="s">
        <v>3195</v>
      </c>
      <c r="N140" s="8" t="s">
        <v>1890</v>
      </c>
      <c r="O140" s="8" t="s">
        <v>1935</v>
      </c>
      <c r="P140" s="8">
        <v>796</v>
      </c>
      <c r="Q140" s="8" t="s">
        <v>3196</v>
      </c>
      <c r="R140" s="26">
        <v>30</v>
      </c>
      <c r="S140" s="10">
        <v>825</v>
      </c>
      <c r="T140" s="10">
        <v>0</v>
      </c>
      <c r="U140" s="10">
        <f t="shared" si="19"/>
        <v>0</v>
      </c>
      <c r="V140" s="11"/>
      <c r="W140" s="11">
        <v>2015</v>
      </c>
      <c r="X140" s="4" t="s">
        <v>7518</v>
      </c>
    </row>
    <row r="141" spans="1:24" ht="76.5" customHeight="1" outlineLevel="1" x14ac:dyDescent="0.2">
      <c r="A141" s="1" t="s">
        <v>8897</v>
      </c>
      <c r="B141" s="24" t="s">
        <v>5277</v>
      </c>
      <c r="C141" s="4" t="s">
        <v>1451</v>
      </c>
      <c r="D141" s="4" t="s">
        <v>3301</v>
      </c>
      <c r="E141" s="4" t="s">
        <v>1452</v>
      </c>
      <c r="F141" s="4"/>
      <c r="G141" s="4" t="s">
        <v>3190</v>
      </c>
      <c r="H141" s="22">
        <v>0</v>
      </c>
      <c r="I141" s="18">
        <v>710000000</v>
      </c>
      <c r="J141" s="4" t="s">
        <v>1931</v>
      </c>
      <c r="K141" s="4" t="s">
        <v>8898</v>
      </c>
      <c r="L141" s="7" t="s">
        <v>1940</v>
      </c>
      <c r="M141" s="8" t="s">
        <v>3195</v>
      </c>
      <c r="N141" s="8" t="s">
        <v>1890</v>
      </c>
      <c r="O141" s="8" t="s">
        <v>1935</v>
      </c>
      <c r="P141" s="8">
        <v>796</v>
      </c>
      <c r="Q141" s="8" t="s">
        <v>3196</v>
      </c>
      <c r="R141" s="26">
        <f>30+25</f>
        <v>55</v>
      </c>
      <c r="S141" s="10">
        <v>825</v>
      </c>
      <c r="T141" s="10">
        <v>0</v>
      </c>
      <c r="U141" s="10">
        <f t="shared" ref="U141" si="20">T141*1.12</f>
        <v>0</v>
      </c>
      <c r="V141" s="11"/>
      <c r="W141" s="11">
        <v>2015</v>
      </c>
      <c r="X141" s="4" t="s">
        <v>7518</v>
      </c>
    </row>
    <row r="142" spans="1:24" ht="76.5" customHeight="1" outlineLevel="1" x14ac:dyDescent="0.2">
      <c r="A142" s="1" t="s">
        <v>9740</v>
      </c>
      <c r="B142" s="24" t="s">
        <v>5277</v>
      </c>
      <c r="C142" s="4" t="s">
        <v>1451</v>
      </c>
      <c r="D142" s="4" t="s">
        <v>3301</v>
      </c>
      <c r="E142" s="4" t="s">
        <v>1452</v>
      </c>
      <c r="F142" s="4"/>
      <c r="G142" s="4" t="s">
        <v>3190</v>
      </c>
      <c r="H142" s="22">
        <v>0</v>
      </c>
      <c r="I142" s="18">
        <v>710000000</v>
      </c>
      <c r="J142" s="4" t="s">
        <v>1931</v>
      </c>
      <c r="K142" s="4" t="s">
        <v>9741</v>
      </c>
      <c r="L142" s="7" t="s">
        <v>1940</v>
      </c>
      <c r="M142" s="8" t="s">
        <v>3195</v>
      </c>
      <c r="N142" s="8" t="s">
        <v>1890</v>
      </c>
      <c r="O142" s="8" t="s">
        <v>1935</v>
      </c>
      <c r="P142" s="8">
        <v>796</v>
      </c>
      <c r="Q142" s="8" t="s">
        <v>3196</v>
      </c>
      <c r="R142" s="26">
        <f>30+25+10</f>
        <v>65</v>
      </c>
      <c r="S142" s="10">
        <v>825</v>
      </c>
      <c r="T142" s="10">
        <f t="shared" ref="T142" si="21">S142*R142</f>
        <v>53625</v>
      </c>
      <c r="U142" s="10">
        <f t="shared" ref="U142" si="22">T142*1.12</f>
        <v>60060.000000000007</v>
      </c>
      <c r="V142" s="11"/>
      <c r="W142" s="11">
        <v>2015</v>
      </c>
      <c r="X142" s="4"/>
    </row>
    <row r="143" spans="1:24" ht="76.5" customHeight="1" outlineLevel="1" x14ac:dyDescent="0.2">
      <c r="A143" s="1" t="s">
        <v>4262</v>
      </c>
      <c r="B143" s="24" t="s">
        <v>5277</v>
      </c>
      <c r="C143" s="7" t="s">
        <v>3272</v>
      </c>
      <c r="D143" s="7" t="s">
        <v>3004</v>
      </c>
      <c r="E143" s="7" t="s">
        <v>5164</v>
      </c>
      <c r="F143" s="8" t="s">
        <v>5165</v>
      </c>
      <c r="G143" s="4" t="s">
        <v>3190</v>
      </c>
      <c r="H143" s="22">
        <v>0</v>
      </c>
      <c r="I143" s="18">
        <v>710000000</v>
      </c>
      <c r="J143" s="4" t="s">
        <v>1931</v>
      </c>
      <c r="K143" s="4" t="s">
        <v>5297</v>
      </c>
      <c r="L143" s="7" t="s">
        <v>1940</v>
      </c>
      <c r="M143" s="8" t="s">
        <v>3195</v>
      </c>
      <c r="N143" s="8" t="s">
        <v>1890</v>
      </c>
      <c r="O143" s="8" t="s">
        <v>1935</v>
      </c>
      <c r="P143" s="8">
        <v>796</v>
      </c>
      <c r="Q143" s="8" t="s">
        <v>3196</v>
      </c>
      <c r="R143" s="26">
        <f>2+60+25+30+10+5</f>
        <v>132</v>
      </c>
      <c r="S143" s="10">
        <v>430.36</v>
      </c>
      <c r="T143" s="10">
        <f t="shared" si="18"/>
        <v>56807.520000000004</v>
      </c>
      <c r="U143" s="10">
        <f t="shared" si="19"/>
        <v>63624.42240000001</v>
      </c>
      <c r="V143" s="11"/>
      <c r="W143" s="11">
        <v>2015</v>
      </c>
      <c r="X143" s="4"/>
    </row>
    <row r="144" spans="1:24" ht="76.5" customHeight="1" outlineLevel="1" x14ac:dyDescent="0.2">
      <c r="A144" s="1" t="s">
        <v>4263</v>
      </c>
      <c r="B144" s="24" t="s">
        <v>5277</v>
      </c>
      <c r="C144" s="7" t="s">
        <v>3003</v>
      </c>
      <c r="D144" s="7" t="s">
        <v>3004</v>
      </c>
      <c r="E144" s="7" t="s">
        <v>5166</v>
      </c>
      <c r="F144" s="8" t="s">
        <v>5167</v>
      </c>
      <c r="G144" s="4" t="s">
        <v>3190</v>
      </c>
      <c r="H144" s="22">
        <v>0</v>
      </c>
      <c r="I144" s="18">
        <v>710000000</v>
      </c>
      <c r="J144" s="4" t="s">
        <v>1931</v>
      </c>
      <c r="K144" s="4" t="s">
        <v>5297</v>
      </c>
      <c r="L144" s="7" t="s">
        <v>1940</v>
      </c>
      <c r="M144" s="8" t="s">
        <v>3195</v>
      </c>
      <c r="N144" s="8" t="s">
        <v>1890</v>
      </c>
      <c r="O144" s="8" t="s">
        <v>1935</v>
      </c>
      <c r="P144" s="8">
        <v>796</v>
      </c>
      <c r="Q144" s="8" t="s">
        <v>3196</v>
      </c>
      <c r="R144" s="26">
        <f>7+40+25+20+10+5</f>
        <v>107</v>
      </c>
      <c r="S144" s="10">
        <v>116.96</v>
      </c>
      <c r="T144" s="10">
        <f t="shared" si="18"/>
        <v>12514.72</v>
      </c>
      <c r="U144" s="10">
        <f t="shared" si="19"/>
        <v>14016.4864</v>
      </c>
      <c r="V144" s="11"/>
      <c r="W144" s="11">
        <v>2015</v>
      </c>
      <c r="X144" s="4"/>
    </row>
    <row r="145" spans="1:24" ht="76.5" customHeight="1" outlineLevel="1" x14ac:dyDescent="0.2">
      <c r="A145" s="1" t="s">
        <v>4264</v>
      </c>
      <c r="B145" s="24" t="s">
        <v>5277</v>
      </c>
      <c r="C145" s="7" t="s">
        <v>3036</v>
      </c>
      <c r="D145" s="7" t="s">
        <v>3037</v>
      </c>
      <c r="E145" s="7" t="s">
        <v>3038</v>
      </c>
      <c r="F145" s="4"/>
      <c r="G145" s="4" t="s">
        <v>3190</v>
      </c>
      <c r="H145" s="22">
        <v>0</v>
      </c>
      <c r="I145" s="18">
        <v>710000000</v>
      </c>
      <c r="J145" s="4" t="s">
        <v>1931</v>
      </c>
      <c r="K145" s="4" t="s">
        <v>5297</v>
      </c>
      <c r="L145" s="7" t="s">
        <v>1940</v>
      </c>
      <c r="M145" s="8" t="s">
        <v>3195</v>
      </c>
      <c r="N145" s="8" t="s">
        <v>1890</v>
      </c>
      <c r="O145" s="8" t="s">
        <v>1935</v>
      </c>
      <c r="P145" s="4">
        <v>778</v>
      </c>
      <c r="Q145" s="4" t="s">
        <v>5152</v>
      </c>
      <c r="R145" s="26">
        <f>14+220+30+55</f>
        <v>319</v>
      </c>
      <c r="S145" s="10">
        <v>58.04</v>
      </c>
      <c r="T145" s="10">
        <f t="shared" si="18"/>
        <v>18514.759999999998</v>
      </c>
      <c r="U145" s="10">
        <f t="shared" si="19"/>
        <v>20736.531200000001</v>
      </c>
      <c r="V145" s="11"/>
      <c r="W145" s="11">
        <v>2015</v>
      </c>
      <c r="X145" s="4"/>
    </row>
    <row r="146" spans="1:24" ht="76.5" customHeight="1" outlineLevel="1" x14ac:dyDescent="0.2">
      <c r="A146" s="1" t="s">
        <v>4265</v>
      </c>
      <c r="B146" s="24" t="s">
        <v>5277</v>
      </c>
      <c r="C146" s="97" t="s">
        <v>3266</v>
      </c>
      <c r="D146" s="7" t="s">
        <v>3267</v>
      </c>
      <c r="E146" s="7" t="s">
        <v>5153</v>
      </c>
      <c r="F146" s="7" t="s">
        <v>1455</v>
      </c>
      <c r="G146" s="4" t="s">
        <v>3190</v>
      </c>
      <c r="H146" s="22">
        <v>0</v>
      </c>
      <c r="I146" s="18">
        <v>710000000</v>
      </c>
      <c r="J146" s="4" t="s">
        <v>1931</v>
      </c>
      <c r="K146" s="4" t="s">
        <v>5297</v>
      </c>
      <c r="L146" s="7" t="s">
        <v>1940</v>
      </c>
      <c r="M146" s="8" t="s">
        <v>3195</v>
      </c>
      <c r="N146" s="8" t="s">
        <v>1890</v>
      </c>
      <c r="O146" s="8" t="s">
        <v>1935</v>
      </c>
      <c r="P146" s="8">
        <v>796</v>
      </c>
      <c r="Q146" s="8" t="s">
        <v>3196</v>
      </c>
      <c r="R146" s="98">
        <f>45+10+20+2</f>
        <v>77</v>
      </c>
      <c r="S146" s="10">
        <v>534.82000000000005</v>
      </c>
      <c r="T146" s="10">
        <f t="shared" si="18"/>
        <v>41181.140000000007</v>
      </c>
      <c r="U146" s="10">
        <f t="shared" si="19"/>
        <v>46122.876800000013</v>
      </c>
      <c r="V146" s="11"/>
      <c r="W146" s="11">
        <v>2015</v>
      </c>
      <c r="X146" s="4"/>
    </row>
    <row r="147" spans="1:24" ht="76.5" customHeight="1" outlineLevel="1" x14ac:dyDescent="0.2">
      <c r="A147" s="1" t="s">
        <v>4266</v>
      </c>
      <c r="B147" s="24" t="s">
        <v>5277</v>
      </c>
      <c r="C147" s="97" t="s">
        <v>3266</v>
      </c>
      <c r="D147" s="7" t="s">
        <v>3267</v>
      </c>
      <c r="E147" s="7" t="s">
        <v>5153</v>
      </c>
      <c r="F147" s="7" t="s">
        <v>1456</v>
      </c>
      <c r="G147" s="4" t="s">
        <v>3190</v>
      </c>
      <c r="H147" s="22">
        <v>0</v>
      </c>
      <c r="I147" s="18">
        <v>710000000</v>
      </c>
      <c r="J147" s="4" t="s">
        <v>1931</v>
      </c>
      <c r="K147" s="4" t="s">
        <v>5297</v>
      </c>
      <c r="L147" s="7" t="s">
        <v>1940</v>
      </c>
      <c r="M147" s="8" t="s">
        <v>3195</v>
      </c>
      <c r="N147" s="8" t="s">
        <v>1890</v>
      </c>
      <c r="O147" s="8" t="s">
        <v>1935</v>
      </c>
      <c r="P147" s="8">
        <v>796</v>
      </c>
      <c r="Q147" s="8" t="s">
        <v>3196</v>
      </c>
      <c r="R147" s="98">
        <f>20+10</f>
        <v>30</v>
      </c>
      <c r="S147" s="10">
        <v>235.71</v>
      </c>
      <c r="T147" s="10">
        <f t="shared" si="18"/>
        <v>7071.3</v>
      </c>
      <c r="U147" s="10">
        <f t="shared" si="19"/>
        <v>7919.8560000000007</v>
      </c>
      <c r="V147" s="11"/>
      <c r="W147" s="11">
        <v>2015</v>
      </c>
      <c r="X147" s="4"/>
    </row>
    <row r="148" spans="1:24" ht="76.5" customHeight="1" outlineLevel="1" x14ac:dyDescent="0.2">
      <c r="A148" s="1" t="s">
        <v>4267</v>
      </c>
      <c r="B148" s="24" t="s">
        <v>5277</v>
      </c>
      <c r="C148" s="190" t="s">
        <v>3275</v>
      </c>
      <c r="D148" s="190" t="s">
        <v>5172</v>
      </c>
      <c r="E148" s="190" t="s">
        <v>5173</v>
      </c>
      <c r="F148" s="4"/>
      <c r="G148" s="4" t="s">
        <v>3190</v>
      </c>
      <c r="H148" s="22">
        <v>0</v>
      </c>
      <c r="I148" s="18">
        <v>710000000</v>
      </c>
      <c r="J148" s="4" t="s">
        <v>1931</v>
      </c>
      <c r="K148" s="4" t="s">
        <v>5297</v>
      </c>
      <c r="L148" s="7" t="s">
        <v>1940</v>
      </c>
      <c r="M148" s="8" t="s">
        <v>3195</v>
      </c>
      <c r="N148" s="8" t="s">
        <v>1890</v>
      </c>
      <c r="O148" s="8" t="s">
        <v>1935</v>
      </c>
      <c r="P148" s="8">
        <v>796</v>
      </c>
      <c r="Q148" s="8" t="s">
        <v>3196</v>
      </c>
      <c r="R148" s="26">
        <f>50+20+10+2</f>
        <v>82</v>
      </c>
      <c r="S148" s="10">
        <v>71.430000000000007</v>
      </c>
      <c r="T148" s="10">
        <f t="shared" si="18"/>
        <v>5857.26</v>
      </c>
      <c r="U148" s="10">
        <f t="shared" si="19"/>
        <v>6560.1312000000007</v>
      </c>
      <c r="V148" s="11"/>
      <c r="W148" s="11">
        <v>2015</v>
      </c>
      <c r="X148" s="8"/>
    </row>
    <row r="149" spans="1:24" ht="76.5" customHeight="1" outlineLevel="1" x14ac:dyDescent="0.2">
      <c r="A149" s="1" t="s">
        <v>4268</v>
      </c>
      <c r="B149" s="24" t="s">
        <v>5277</v>
      </c>
      <c r="C149" s="8" t="s">
        <v>3277</v>
      </c>
      <c r="D149" s="8" t="s">
        <v>5176</v>
      </c>
      <c r="E149" s="8" t="s">
        <v>5177</v>
      </c>
      <c r="F149" s="8"/>
      <c r="G149" s="4" t="s">
        <v>3190</v>
      </c>
      <c r="H149" s="22">
        <v>0</v>
      </c>
      <c r="I149" s="18">
        <v>710000000</v>
      </c>
      <c r="J149" s="4" t="s">
        <v>1931</v>
      </c>
      <c r="K149" s="4" t="s">
        <v>5297</v>
      </c>
      <c r="L149" s="7" t="s">
        <v>1940</v>
      </c>
      <c r="M149" s="8" t="s">
        <v>3195</v>
      </c>
      <c r="N149" s="8" t="s">
        <v>1890</v>
      </c>
      <c r="O149" s="8" t="s">
        <v>1935</v>
      </c>
      <c r="P149" s="8">
        <v>796</v>
      </c>
      <c r="Q149" s="8" t="s">
        <v>3196</v>
      </c>
      <c r="R149" s="98">
        <f>15+5+5+1</f>
        <v>26</v>
      </c>
      <c r="S149" s="10">
        <v>2633.04</v>
      </c>
      <c r="T149" s="10">
        <f t="shared" si="18"/>
        <v>68459.039999999994</v>
      </c>
      <c r="U149" s="10">
        <f t="shared" si="19"/>
        <v>76674.124800000005</v>
      </c>
      <c r="V149" s="11"/>
      <c r="W149" s="11">
        <v>2015</v>
      </c>
      <c r="X149" s="4"/>
    </row>
    <row r="150" spans="1:24" ht="76.5" customHeight="1" outlineLevel="1" x14ac:dyDescent="0.2">
      <c r="A150" s="1" t="s">
        <v>4269</v>
      </c>
      <c r="B150" s="24" t="s">
        <v>5277</v>
      </c>
      <c r="C150" s="16" t="s">
        <v>3298</v>
      </c>
      <c r="D150" s="123" t="s">
        <v>5208</v>
      </c>
      <c r="E150" s="18" t="s">
        <v>3299</v>
      </c>
      <c r="F150" s="4"/>
      <c r="G150" s="4" t="s">
        <v>3190</v>
      </c>
      <c r="H150" s="22">
        <v>0</v>
      </c>
      <c r="I150" s="18">
        <v>710000000</v>
      </c>
      <c r="J150" s="4" t="s">
        <v>1931</v>
      </c>
      <c r="K150" s="4" t="s">
        <v>5297</v>
      </c>
      <c r="L150" s="7" t="s">
        <v>1940</v>
      </c>
      <c r="M150" s="8" t="s">
        <v>3195</v>
      </c>
      <c r="N150" s="8" t="s">
        <v>1890</v>
      </c>
      <c r="O150" s="8" t="s">
        <v>1935</v>
      </c>
      <c r="P150" s="8">
        <v>796</v>
      </c>
      <c r="Q150" s="8" t="s">
        <v>3196</v>
      </c>
      <c r="R150" s="19">
        <v>20</v>
      </c>
      <c r="S150" s="10">
        <v>107.14</v>
      </c>
      <c r="T150" s="10">
        <f t="shared" ref="T150:T184" si="23">S150*R150</f>
        <v>2142.8000000000002</v>
      </c>
      <c r="U150" s="10">
        <f t="shared" si="0"/>
        <v>2399.9360000000006</v>
      </c>
      <c r="V150" s="11"/>
      <c r="W150" s="11">
        <v>2015</v>
      </c>
      <c r="X150" s="4"/>
    </row>
    <row r="151" spans="1:24" ht="76.5" customHeight="1" outlineLevel="1" x14ac:dyDescent="0.2">
      <c r="A151" s="1" t="s">
        <v>4270</v>
      </c>
      <c r="B151" s="24" t="s">
        <v>5277</v>
      </c>
      <c r="C151" s="192" t="s">
        <v>3285</v>
      </c>
      <c r="D151" s="192" t="s">
        <v>5180</v>
      </c>
      <c r="E151" s="190" t="s">
        <v>5181</v>
      </c>
      <c r="F151" s="4"/>
      <c r="G151" s="4" t="s">
        <v>3190</v>
      </c>
      <c r="H151" s="22">
        <v>0</v>
      </c>
      <c r="I151" s="18">
        <v>710000000</v>
      </c>
      <c r="J151" s="4" t="s">
        <v>1931</v>
      </c>
      <c r="K151" s="4" t="s">
        <v>5297</v>
      </c>
      <c r="L151" s="7" t="s">
        <v>1940</v>
      </c>
      <c r="M151" s="8" t="s">
        <v>3195</v>
      </c>
      <c r="N151" s="8" t="s">
        <v>1890</v>
      </c>
      <c r="O151" s="8" t="s">
        <v>1935</v>
      </c>
      <c r="P151" s="4">
        <v>5111</v>
      </c>
      <c r="Q151" s="4" t="s">
        <v>5298</v>
      </c>
      <c r="R151" s="26">
        <f>5+90+20+20+5</f>
        <v>140</v>
      </c>
      <c r="S151" s="10">
        <v>418.75</v>
      </c>
      <c r="T151" s="10">
        <f t="shared" si="23"/>
        <v>58625</v>
      </c>
      <c r="U151" s="10">
        <f t="shared" si="0"/>
        <v>65660</v>
      </c>
      <c r="V151" s="11"/>
      <c r="W151" s="11">
        <v>2015</v>
      </c>
      <c r="X151" s="4"/>
    </row>
    <row r="152" spans="1:24" ht="76.5" customHeight="1" outlineLevel="1" x14ac:dyDescent="0.2">
      <c r="A152" s="1" t="s">
        <v>4271</v>
      </c>
      <c r="B152" s="24" t="s">
        <v>5277</v>
      </c>
      <c r="C152" s="16" t="s">
        <v>3261</v>
      </c>
      <c r="D152" s="123" t="s">
        <v>5303</v>
      </c>
      <c r="E152" s="18" t="s">
        <v>5304</v>
      </c>
      <c r="F152" s="4" t="s">
        <v>1418</v>
      </c>
      <c r="G152" s="4" t="s">
        <v>3190</v>
      </c>
      <c r="H152" s="22">
        <v>0</v>
      </c>
      <c r="I152" s="18">
        <v>710000000</v>
      </c>
      <c r="J152" s="4" t="s">
        <v>1931</v>
      </c>
      <c r="K152" s="4" t="s">
        <v>5297</v>
      </c>
      <c r="L152" s="7" t="s">
        <v>1940</v>
      </c>
      <c r="M152" s="8" t="s">
        <v>3195</v>
      </c>
      <c r="N152" s="8" t="s">
        <v>1890</v>
      </c>
      <c r="O152" s="8" t="s">
        <v>1935</v>
      </c>
      <c r="P152" s="8">
        <v>796</v>
      </c>
      <c r="Q152" s="8" t="s">
        <v>3196</v>
      </c>
      <c r="R152" s="26">
        <f>14+76+15+25+1</f>
        <v>131</v>
      </c>
      <c r="S152" s="10">
        <v>1947.32</v>
      </c>
      <c r="T152" s="10">
        <v>0</v>
      </c>
      <c r="U152" s="10">
        <f t="shared" si="0"/>
        <v>0</v>
      </c>
      <c r="V152" s="11"/>
      <c r="W152" s="11">
        <v>2015</v>
      </c>
      <c r="X152" s="4" t="s">
        <v>7518</v>
      </c>
    </row>
    <row r="153" spans="1:24" ht="76.5" customHeight="1" outlineLevel="1" x14ac:dyDescent="0.2">
      <c r="A153" s="1" t="s">
        <v>9150</v>
      </c>
      <c r="B153" s="24" t="s">
        <v>5277</v>
      </c>
      <c r="C153" s="16" t="s">
        <v>3261</v>
      </c>
      <c r="D153" s="123" t="s">
        <v>5303</v>
      </c>
      <c r="E153" s="18" t="s">
        <v>5304</v>
      </c>
      <c r="F153" s="4" t="s">
        <v>1418</v>
      </c>
      <c r="G153" s="4" t="s">
        <v>3190</v>
      </c>
      <c r="H153" s="22">
        <v>0</v>
      </c>
      <c r="I153" s="18">
        <v>710000000</v>
      </c>
      <c r="J153" s="4" t="s">
        <v>1931</v>
      </c>
      <c r="K153" s="4" t="s">
        <v>9078</v>
      </c>
      <c r="L153" s="7" t="s">
        <v>1940</v>
      </c>
      <c r="M153" s="8" t="s">
        <v>3195</v>
      </c>
      <c r="N153" s="8" t="s">
        <v>1890</v>
      </c>
      <c r="O153" s="8" t="s">
        <v>1935</v>
      </c>
      <c r="P153" s="8">
        <v>796</v>
      </c>
      <c r="Q153" s="8" t="s">
        <v>3196</v>
      </c>
      <c r="R153" s="26">
        <f>14+76+15+25+1+11</f>
        <v>142</v>
      </c>
      <c r="S153" s="10">
        <v>1947.32</v>
      </c>
      <c r="T153" s="10">
        <f t="shared" ref="T153" si="24">S153*R153</f>
        <v>276519.44</v>
      </c>
      <c r="U153" s="10">
        <f t="shared" ref="U153" si="25">T153*1.12</f>
        <v>309701.77280000004</v>
      </c>
      <c r="V153" s="11"/>
      <c r="W153" s="11">
        <v>2015</v>
      </c>
      <c r="X153" s="4"/>
    </row>
    <row r="154" spans="1:24" ht="76.5" customHeight="1" outlineLevel="1" x14ac:dyDescent="0.2">
      <c r="A154" s="1" t="s">
        <v>4272</v>
      </c>
      <c r="B154" s="24" t="s">
        <v>5277</v>
      </c>
      <c r="C154" s="7" t="s">
        <v>3263</v>
      </c>
      <c r="D154" s="7" t="s">
        <v>5308</v>
      </c>
      <c r="E154" s="7" t="s">
        <v>5309</v>
      </c>
      <c r="F154" s="7"/>
      <c r="G154" s="4" t="s">
        <v>3190</v>
      </c>
      <c r="H154" s="22">
        <v>0</v>
      </c>
      <c r="I154" s="18">
        <v>710000000</v>
      </c>
      <c r="J154" s="4" t="s">
        <v>1931</v>
      </c>
      <c r="K154" s="4" t="s">
        <v>5297</v>
      </c>
      <c r="L154" s="7" t="s">
        <v>1940</v>
      </c>
      <c r="M154" s="8" t="s">
        <v>3195</v>
      </c>
      <c r="N154" s="8" t="s">
        <v>1890</v>
      </c>
      <c r="O154" s="8" t="s">
        <v>1935</v>
      </c>
      <c r="P154" s="8">
        <v>796</v>
      </c>
      <c r="Q154" s="8" t="s">
        <v>3196</v>
      </c>
      <c r="R154" s="26">
        <f>40+30</f>
        <v>70</v>
      </c>
      <c r="S154" s="10">
        <v>613.39</v>
      </c>
      <c r="T154" s="10">
        <v>0</v>
      </c>
      <c r="U154" s="10">
        <f t="shared" si="0"/>
        <v>0</v>
      </c>
      <c r="V154" s="11"/>
      <c r="W154" s="11">
        <v>2015</v>
      </c>
      <c r="X154" s="4" t="s">
        <v>7518</v>
      </c>
    </row>
    <row r="155" spans="1:24" ht="76.5" customHeight="1" outlineLevel="1" x14ac:dyDescent="0.2">
      <c r="A155" s="1" t="s">
        <v>9149</v>
      </c>
      <c r="B155" s="24" t="s">
        <v>5277</v>
      </c>
      <c r="C155" s="7" t="s">
        <v>3263</v>
      </c>
      <c r="D155" s="7" t="s">
        <v>5308</v>
      </c>
      <c r="E155" s="7" t="s">
        <v>5309</v>
      </c>
      <c r="F155" s="7"/>
      <c r="G155" s="4" t="s">
        <v>3190</v>
      </c>
      <c r="H155" s="22">
        <v>0</v>
      </c>
      <c r="I155" s="18">
        <v>710000000</v>
      </c>
      <c r="J155" s="4" t="s">
        <v>1931</v>
      </c>
      <c r="K155" s="4" t="s">
        <v>9078</v>
      </c>
      <c r="L155" s="7" t="s">
        <v>1940</v>
      </c>
      <c r="M155" s="8" t="s">
        <v>3195</v>
      </c>
      <c r="N155" s="8" t="s">
        <v>1890</v>
      </c>
      <c r="O155" s="8" t="s">
        <v>1935</v>
      </c>
      <c r="P155" s="8">
        <v>796</v>
      </c>
      <c r="Q155" s="8" t="s">
        <v>3196</v>
      </c>
      <c r="R155" s="26">
        <f>40+30+12</f>
        <v>82</v>
      </c>
      <c r="S155" s="10">
        <v>613.39</v>
      </c>
      <c r="T155" s="10">
        <f t="shared" ref="T155" si="26">S155*R155</f>
        <v>50297.979999999996</v>
      </c>
      <c r="U155" s="10">
        <f t="shared" ref="U155" si="27">T155*1.12</f>
        <v>56333.7376</v>
      </c>
      <c r="V155" s="11"/>
      <c r="W155" s="11">
        <v>2015</v>
      </c>
      <c r="X155" s="4"/>
    </row>
    <row r="156" spans="1:24" ht="76.5" customHeight="1" outlineLevel="1" x14ac:dyDescent="0.2">
      <c r="A156" s="1" t="s">
        <v>4273</v>
      </c>
      <c r="B156" s="24" t="s">
        <v>5277</v>
      </c>
      <c r="C156" s="8" t="s">
        <v>1419</v>
      </c>
      <c r="D156" s="8" t="s">
        <v>5212</v>
      </c>
      <c r="E156" s="8" t="s">
        <v>1420</v>
      </c>
      <c r="F156" s="8"/>
      <c r="G156" s="4" t="s">
        <v>3190</v>
      </c>
      <c r="H156" s="22">
        <v>0</v>
      </c>
      <c r="I156" s="18">
        <v>710000000</v>
      </c>
      <c r="J156" s="4" t="s">
        <v>1931</v>
      </c>
      <c r="K156" s="4" t="s">
        <v>5297</v>
      </c>
      <c r="L156" s="7" t="s">
        <v>1940</v>
      </c>
      <c r="M156" s="8" t="s">
        <v>3195</v>
      </c>
      <c r="N156" s="8" t="s">
        <v>1890</v>
      </c>
      <c r="O156" s="8" t="s">
        <v>1935</v>
      </c>
      <c r="P156" s="8">
        <v>625</v>
      </c>
      <c r="Q156" s="8" t="s">
        <v>5192</v>
      </c>
      <c r="R156" s="98">
        <v>1200</v>
      </c>
      <c r="S156" s="10">
        <v>40.18</v>
      </c>
      <c r="T156" s="10">
        <f t="shared" ref="T156:T179" si="28">S156*R156</f>
        <v>48216</v>
      </c>
      <c r="U156" s="10">
        <f t="shared" ref="U156:U180" si="29">T156*1.12</f>
        <v>54001.920000000006</v>
      </c>
      <c r="V156" s="11"/>
      <c r="W156" s="11">
        <v>2015</v>
      </c>
      <c r="X156" s="4"/>
    </row>
    <row r="157" spans="1:24" ht="76.5" customHeight="1" outlineLevel="1" x14ac:dyDescent="0.2">
      <c r="A157" s="1" t="s">
        <v>4274</v>
      </c>
      <c r="B157" s="24" t="s">
        <v>5277</v>
      </c>
      <c r="C157" s="8" t="s">
        <v>3055</v>
      </c>
      <c r="D157" s="8" t="s">
        <v>3056</v>
      </c>
      <c r="E157" s="8" t="s">
        <v>5178</v>
      </c>
      <c r="F157" s="4" t="s">
        <v>5305</v>
      </c>
      <c r="G157" s="4" t="s">
        <v>3190</v>
      </c>
      <c r="H157" s="22">
        <v>0</v>
      </c>
      <c r="I157" s="18">
        <v>710000000</v>
      </c>
      <c r="J157" s="4" t="s">
        <v>1931</v>
      </c>
      <c r="K157" s="4" t="s">
        <v>5297</v>
      </c>
      <c r="L157" s="7" t="s">
        <v>1940</v>
      </c>
      <c r="M157" s="8" t="s">
        <v>3195</v>
      </c>
      <c r="N157" s="8" t="s">
        <v>1890</v>
      </c>
      <c r="O157" s="8" t="s">
        <v>1935</v>
      </c>
      <c r="P157" s="8">
        <v>796</v>
      </c>
      <c r="Q157" s="8" t="s">
        <v>3196</v>
      </c>
      <c r="R157" s="98">
        <f>210+25+10</f>
        <v>245</v>
      </c>
      <c r="S157" s="10">
        <v>18.75</v>
      </c>
      <c r="T157" s="10">
        <f t="shared" si="28"/>
        <v>4593.75</v>
      </c>
      <c r="U157" s="10">
        <f t="shared" si="29"/>
        <v>5145.0000000000009</v>
      </c>
      <c r="V157" s="11"/>
      <c r="W157" s="11">
        <v>2015</v>
      </c>
      <c r="X157" s="4"/>
    </row>
    <row r="158" spans="1:24" ht="76.5" customHeight="1" outlineLevel="1" x14ac:dyDescent="0.2">
      <c r="A158" s="1" t="s">
        <v>4275</v>
      </c>
      <c r="B158" s="24" t="s">
        <v>5277</v>
      </c>
      <c r="C158" s="16" t="s">
        <v>3278</v>
      </c>
      <c r="D158" s="18" t="s">
        <v>5179</v>
      </c>
      <c r="E158" s="18" t="s">
        <v>3279</v>
      </c>
      <c r="F158" s="4"/>
      <c r="G158" s="4" t="s">
        <v>3190</v>
      </c>
      <c r="H158" s="22">
        <v>0</v>
      </c>
      <c r="I158" s="18">
        <v>710000000</v>
      </c>
      <c r="J158" s="4" t="s">
        <v>1931</v>
      </c>
      <c r="K158" s="4" t="s">
        <v>5297</v>
      </c>
      <c r="L158" s="7" t="s">
        <v>1940</v>
      </c>
      <c r="M158" s="8" t="s">
        <v>3195</v>
      </c>
      <c r="N158" s="8" t="s">
        <v>1890</v>
      </c>
      <c r="O158" s="8" t="s">
        <v>1935</v>
      </c>
      <c r="P158" s="8">
        <v>796</v>
      </c>
      <c r="Q158" s="8" t="s">
        <v>3196</v>
      </c>
      <c r="R158" s="26">
        <v>300</v>
      </c>
      <c r="S158" s="10">
        <v>24.11</v>
      </c>
      <c r="T158" s="10">
        <f t="shared" si="28"/>
        <v>7233</v>
      </c>
      <c r="U158" s="10">
        <f t="shared" si="29"/>
        <v>8100.9600000000009</v>
      </c>
      <c r="V158" s="11"/>
      <c r="W158" s="11">
        <v>2015</v>
      </c>
      <c r="X158" s="4"/>
    </row>
    <row r="159" spans="1:24" ht="76.5" customHeight="1" outlineLevel="1" x14ac:dyDescent="0.2">
      <c r="A159" s="1" t="s">
        <v>4276</v>
      </c>
      <c r="B159" s="24" t="s">
        <v>5277</v>
      </c>
      <c r="C159" s="192" t="s">
        <v>3280</v>
      </c>
      <c r="D159" s="192" t="s">
        <v>5179</v>
      </c>
      <c r="E159" s="192" t="s">
        <v>3281</v>
      </c>
      <c r="F159" s="4"/>
      <c r="G159" s="4" t="s">
        <v>3190</v>
      </c>
      <c r="H159" s="22">
        <v>0</v>
      </c>
      <c r="I159" s="18">
        <v>710000000</v>
      </c>
      <c r="J159" s="4" t="s">
        <v>1931</v>
      </c>
      <c r="K159" s="4" t="s">
        <v>5297</v>
      </c>
      <c r="L159" s="7" t="s">
        <v>1940</v>
      </c>
      <c r="M159" s="8" t="s">
        <v>3195</v>
      </c>
      <c r="N159" s="8" t="s">
        <v>1890</v>
      </c>
      <c r="O159" s="8" t="s">
        <v>1935</v>
      </c>
      <c r="P159" s="8">
        <v>796</v>
      </c>
      <c r="Q159" s="8" t="s">
        <v>3196</v>
      </c>
      <c r="R159" s="26">
        <f>180+25</f>
        <v>205</v>
      </c>
      <c r="S159" s="10">
        <v>16.07</v>
      </c>
      <c r="T159" s="10">
        <f t="shared" si="28"/>
        <v>3294.35</v>
      </c>
      <c r="U159" s="10">
        <f t="shared" si="29"/>
        <v>3689.672</v>
      </c>
      <c r="V159" s="11"/>
      <c r="W159" s="11">
        <v>2015</v>
      </c>
      <c r="X159" s="4"/>
    </row>
    <row r="160" spans="1:24" ht="76.5" customHeight="1" outlineLevel="1" x14ac:dyDescent="0.2">
      <c r="A160" s="1" t="s">
        <v>4277</v>
      </c>
      <c r="B160" s="24" t="s">
        <v>5277</v>
      </c>
      <c r="C160" s="18" t="s">
        <v>3282</v>
      </c>
      <c r="D160" s="18" t="s">
        <v>5179</v>
      </c>
      <c r="E160" s="18" t="s">
        <v>3283</v>
      </c>
      <c r="F160" s="4"/>
      <c r="G160" s="4" t="s">
        <v>3190</v>
      </c>
      <c r="H160" s="22">
        <v>0</v>
      </c>
      <c r="I160" s="18">
        <v>710000000</v>
      </c>
      <c r="J160" s="4" t="s">
        <v>1931</v>
      </c>
      <c r="K160" s="4" t="s">
        <v>5297</v>
      </c>
      <c r="L160" s="7" t="s">
        <v>1940</v>
      </c>
      <c r="M160" s="8" t="s">
        <v>3195</v>
      </c>
      <c r="N160" s="8" t="s">
        <v>1890</v>
      </c>
      <c r="O160" s="8" t="s">
        <v>1935</v>
      </c>
      <c r="P160" s="8">
        <v>796</v>
      </c>
      <c r="Q160" s="8" t="s">
        <v>3196</v>
      </c>
      <c r="R160" s="26">
        <v>200</v>
      </c>
      <c r="S160" s="10">
        <v>22.32</v>
      </c>
      <c r="T160" s="10">
        <f t="shared" si="28"/>
        <v>4464</v>
      </c>
      <c r="U160" s="10">
        <f t="shared" si="29"/>
        <v>4999.68</v>
      </c>
      <c r="V160" s="11"/>
      <c r="W160" s="11">
        <v>2015</v>
      </c>
      <c r="X160" s="4"/>
    </row>
    <row r="161" spans="1:24" ht="76.5" customHeight="1" outlineLevel="1" x14ac:dyDescent="0.2">
      <c r="A161" s="1" t="s">
        <v>4278</v>
      </c>
      <c r="B161" s="96" t="s">
        <v>5277</v>
      </c>
      <c r="C161" s="18" t="s">
        <v>3282</v>
      </c>
      <c r="D161" s="18" t="s">
        <v>5179</v>
      </c>
      <c r="E161" s="18" t="s">
        <v>3283</v>
      </c>
      <c r="F161" s="4" t="s">
        <v>5305</v>
      </c>
      <c r="G161" s="4" t="s">
        <v>3190</v>
      </c>
      <c r="H161" s="22">
        <v>0</v>
      </c>
      <c r="I161" s="18">
        <v>710000000</v>
      </c>
      <c r="J161" s="4" t="s">
        <v>1931</v>
      </c>
      <c r="K161" s="4" t="s">
        <v>5297</v>
      </c>
      <c r="L161" s="7" t="s">
        <v>1940</v>
      </c>
      <c r="M161" s="8" t="s">
        <v>3195</v>
      </c>
      <c r="N161" s="8" t="s">
        <v>1890</v>
      </c>
      <c r="O161" s="8" t="s">
        <v>1935</v>
      </c>
      <c r="P161" s="8">
        <v>796</v>
      </c>
      <c r="Q161" s="8" t="s">
        <v>3196</v>
      </c>
      <c r="R161" s="26">
        <f>220+12</f>
        <v>232</v>
      </c>
      <c r="S161" s="10">
        <v>24.11</v>
      </c>
      <c r="T161" s="10">
        <f t="shared" si="28"/>
        <v>5593.5199999999995</v>
      </c>
      <c r="U161" s="10">
        <f t="shared" si="29"/>
        <v>6264.7424000000001</v>
      </c>
      <c r="V161" s="11"/>
      <c r="W161" s="11">
        <v>2015</v>
      </c>
      <c r="X161" s="4"/>
    </row>
    <row r="162" spans="1:24" ht="76.5" customHeight="1" outlineLevel="1" x14ac:dyDescent="0.2">
      <c r="A162" s="1" t="s">
        <v>4279</v>
      </c>
      <c r="B162" s="24" t="s">
        <v>5277</v>
      </c>
      <c r="C162" s="8" t="s">
        <v>3295</v>
      </c>
      <c r="D162" s="8" t="s">
        <v>5199</v>
      </c>
      <c r="E162" s="8" t="s">
        <v>5200</v>
      </c>
      <c r="F162" s="8"/>
      <c r="G162" s="4" t="s">
        <v>3190</v>
      </c>
      <c r="H162" s="22">
        <v>0</v>
      </c>
      <c r="I162" s="18">
        <v>710000000</v>
      </c>
      <c r="J162" s="4" t="s">
        <v>1931</v>
      </c>
      <c r="K162" s="4" t="s">
        <v>5297</v>
      </c>
      <c r="L162" s="7" t="s">
        <v>1940</v>
      </c>
      <c r="M162" s="8" t="s">
        <v>3195</v>
      </c>
      <c r="N162" s="8" t="s">
        <v>1890</v>
      </c>
      <c r="O162" s="8" t="s">
        <v>1935</v>
      </c>
      <c r="P162" s="8">
        <v>796</v>
      </c>
      <c r="Q162" s="8" t="s">
        <v>3196</v>
      </c>
      <c r="R162" s="98">
        <v>80</v>
      </c>
      <c r="S162" s="10">
        <v>22.32</v>
      </c>
      <c r="T162" s="10">
        <f t="shared" si="28"/>
        <v>1785.6</v>
      </c>
      <c r="U162" s="10">
        <f t="shared" si="29"/>
        <v>1999.8720000000001</v>
      </c>
      <c r="V162" s="11"/>
      <c r="W162" s="11">
        <v>2015</v>
      </c>
      <c r="X162" s="4"/>
    </row>
    <row r="163" spans="1:24" ht="76.5" customHeight="1" outlineLevel="1" x14ac:dyDescent="0.2">
      <c r="A163" s="1" t="s">
        <v>4280</v>
      </c>
      <c r="B163" s="24" t="s">
        <v>5277</v>
      </c>
      <c r="C163" s="8" t="s">
        <v>1437</v>
      </c>
      <c r="D163" s="8" t="s">
        <v>5199</v>
      </c>
      <c r="E163" s="8" t="s">
        <v>1438</v>
      </c>
      <c r="F163" s="8"/>
      <c r="G163" s="4" t="s">
        <v>3190</v>
      </c>
      <c r="H163" s="22">
        <v>0</v>
      </c>
      <c r="I163" s="18">
        <v>710000000</v>
      </c>
      <c r="J163" s="4" t="s">
        <v>1931</v>
      </c>
      <c r="K163" s="4" t="s">
        <v>5297</v>
      </c>
      <c r="L163" s="7" t="s">
        <v>1940</v>
      </c>
      <c r="M163" s="8" t="s">
        <v>3195</v>
      </c>
      <c r="N163" s="8" t="s">
        <v>1890</v>
      </c>
      <c r="O163" s="8" t="s">
        <v>1935</v>
      </c>
      <c r="P163" s="8">
        <v>796</v>
      </c>
      <c r="Q163" s="8" t="s">
        <v>3196</v>
      </c>
      <c r="R163" s="98">
        <v>70</v>
      </c>
      <c r="S163" s="10">
        <v>12.5</v>
      </c>
      <c r="T163" s="10">
        <f t="shared" si="28"/>
        <v>875</v>
      </c>
      <c r="U163" s="10">
        <f t="shared" si="29"/>
        <v>980.00000000000011</v>
      </c>
      <c r="V163" s="11"/>
      <c r="W163" s="11">
        <v>2015</v>
      </c>
      <c r="X163" s="4"/>
    </row>
    <row r="164" spans="1:24" ht="76.5" customHeight="1" outlineLevel="1" x14ac:dyDescent="0.2">
      <c r="A164" s="1" t="s">
        <v>4281</v>
      </c>
      <c r="B164" s="24" t="s">
        <v>5277</v>
      </c>
      <c r="C164" s="8" t="s">
        <v>3258</v>
      </c>
      <c r="D164" s="8" t="s">
        <v>3054</v>
      </c>
      <c r="E164" s="8" t="s">
        <v>5300</v>
      </c>
      <c r="F164" s="1"/>
      <c r="G164" s="4" t="s">
        <v>3190</v>
      </c>
      <c r="H164" s="22">
        <v>0</v>
      </c>
      <c r="I164" s="18">
        <v>710000000</v>
      </c>
      <c r="J164" s="4" t="s">
        <v>1931</v>
      </c>
      <c r="K164" s="4" t="s">
        <v>5297</v>
      </c>
      <c r="L164" s="7" t="s">
        <v>1940</v>
      </c>
      <c r="M164" s="8" t="s">
        <v>3195</v>
      </c>
      <c r="N164" s="8" t="s">
        <v>1890</v>
      </c>
      <c r="O164" s="8" t="s">
        <v>1935</v>
      </c>
      <c r="P164" s="8">
        <v>796</v>
      </c>
      <c r="Q164" s="8" t="s">
        <v>3196</v>
      </c>
      <c r="R164" s="98">
        <f>5+280+9</f>
        <v>294</v>
      </c>
      <c r="S164" s="10">
        <v>430.36</v>
      </c>
      <c r="T164" s="10">
        <f t="shared" si="28"/>
        <v>126525.84000000001</v>
      </c>
      <c r="U164" s="10">
        <f t="shared" si="29"/>
        <v>141708.94080000004</v>
      </c>
      <c r="V164" s="11"/>
      <c r="W164" s="11">
        <v>2015</v>
      </c>
      <c r="X164" s="4"/>
    </row>
    <row r="165" spans="1:24" ht="76.5" customHeight="1" outlineLevel="1" x14ac:dyDescent="0.2">
      <c r="A165" s="1" t="s">
        <v>4282</v>
      </c>
      <c r="B165" s="24" t="s">
        <v>5277</v>
      </c>
      <c r="C165" s="8" t="s">
        <v>3259</v>
      </c>
      <c r="D165" s="8" t="s">
        <v>3054</v>
      </c>
      <c r="E165" s="8" t="s">
        <v>5301</v>
      </c>
      <c r="F165" s="1"/>
      <c r="G165" s="4" t="s">
        <v>3190</v>
      </c>
      <c r="H165" s="22">
        <v>0</v>
      </c>
      <c r="I165" s="18">
        <v>710000000</v>
      </c>
      <c r="J165" s="4" t="s">
        <v>1931</v>
      </c>
      <c r="K165" s="4" t="s">
        <v>5297</v>
      </c>
      <c r="L165" s="7" t="s">
        <v>1940</v>
      </c>
      <c r="M165" s="8" t="s">
        <v>3195</v>
      </c>
      <c r="N165" s="8" t="s">
        <v>1890</v>
      </c>
      <c r="O165" s="8" t="s">
        <v>1935</v>
      </c>
      <c r="P165" s="8">
        <v>796</v>
      </c>
      <c r="Q165" s="8" t="s">
        <v>3196</v>
      </c>
      <c r="R165" s="98">
        <f>5+580+20</f>
        <v>605</v>
      </c>
      <c r="S165" s="10">
        <v>808.93</v>
      </c>
      <c r="T165" s="10">
        <f t="shared" si="28"/>
        <v>489402.64999999997</v>
      </c>
      <c r="U165" s="10">
        <f t="shared" si="29"/>
        <v>548130.96799999999</v>
      </c>
      <c r="V165" s="11"/>
      <c r="W165" s="11">
        <v>2015</v>
      </c>
      <c r="X165" s="4"/>
    </row>
    <row r="166" spans="1:24" ht="76.5" customHeight="1" outlineLevel="1" x14ac:dyDescent="0.2">
      <c r="A166" s="1" t="s">
        <v>4283</v>
      </c>
      <c r="B166" s="24" t="s">
        <v>5277</v>
      </c>
      <c r="C166" s="8" t="s">
        <v>3284</v>
      </c>
      <c r="D166" s="8" t="s">
        <v>3054</v>
      </c>
      <c r="E166" s="8" t="s">
        <v>1439</v>
      </c>
      <c r="F166" s="1"/>
      <c r="G166" s="4" t="s">
        <v>3190</v>
      </c>
      <c r="H166" s="22">
        <v>0</v>
      </c>
      <c r="I166" s="18">
        <v>710000000</v>
      </c>
      <c r="J166" s="4" t="s">
        <v>1931</v>
      </c>
      <c r="K166" s="4" t="s">
        <v>5297</v>
      </c>
      <c r="L166" s="7" t="s">
        <v>1940</v>
      </c>
      <c r="M166" s="8" t="s">
        <v>3195</v>
      </c>
      <c r="N166" s="8" t="s">
        <v>1890</v>
      </c>
      <c r="O166" s="8" t="s">
        <v>1935</v>
      </c>
      <c r="P166" s="8">
        <v>796</v>
      </c>
      <c r="Q166" s="8" t="s">
        <v>3196</v>
      </c>
      <c r="R166" s="98">
        <v>5</v>
      </c>
      <c r="S166" s="10">
        <v>405.36</v>
      </c>
      <c r="T166" s="10">
        <f t="shared" si="28"/>
        <v>2026.8000000000002</v>
      </c>
      <c r="U166" s="10">
        <f t="shared" si="29"/>
        <v>2270.0160000000005</v>
      </c>
      <c r="V166" s="11"/>
      <c r="W166" s="11">
        <v>2015</v>
      </c>
      <c r="X166" s="4"/>
    </row>
    <row r="167" spans="1:24" ht="76.5" customHeight="1" outlineLevel="1" x14ac:dyDescent="0.2">
      <c r="A167" s="1" t="s">
        <v>4284</v>
      </c>
      <c r="B167" s="24" t="s">
        <v>5277</v>
      </c>
      <c r="C167" s="8" t="s">
        <v>3260</v>
      </c>
      <c r="D167" s="8" t="s">
        <v>3054</v>
      </c>
      <c r="E167" s="8" t="s">
        <v>5302</v>
      </c>
      <c r="F167" s="1"/>
      <c r="G167" s="4" t="s">
        <v>3190</v>
      </c>
      <c r="H167" s="22">
        <v>0</v>
      </c>
      <c r="I167" s="18">
        <v>710000000</v>
      </c>
      <c r="J167" s="4" t="s">
        <v>1931</v>
      </c>
      <c r="K167" s="4" t="s">
        <v>5297</v>
      </c>
      <c r="L167" s="7" t="s">
        <v>1940</v>
      </c>
      <c r="M167" s="8" t="s">
        <v>3195</v>
      </c>
      <c r="N167" s="8" t="s">
        <v>1890</v>
      </c>
      <c r="O167" s="8" t="s">
        <v>1935</v>
      </c>
      <c r="P167" s="8">
        <v>796</v>
      </c>
      <c r="Q167" s="8" t="s">
        <v>3196</v>
      </c>
      <c r="R167" s="98">
        <f>20+20</f>
        <v>40</v>
      </c>
      <c r="S167" s="10">
        <v>533.04</v>
      </c>
      <c r="T167" s="10">
        <f t="shared" si="28"/>
        <v>21321.599999999999</v>
      </c>
      <c r="U167" s="10">
        <f t="shared" si="29"/>
        <v>23880.191999999999</v>
      </c>
      <c r="V167" s="11"/>
      <c r="W167" s="11">
        <v>2015</v>
      </c>
      <c r="X167" s="4"/>
    </row>
    <row r="168" spans="1:24" ht="76.5" customHeight="1" outlineLevel="1" x14ac:dyDescent="0.2">
      <c r="A168" s="1" t="s">
        <v>4285</v>
      </c>
      <c r="B168" s="24" t="s">
        <v>5277</v>
      </c>
      <c r="C168" s="8" t="s">
        <v>3306</v>
      </c>
      <c r="D168" s="8" t="s">
        <v>3054</v>
      </c>
      <c r="E168" s="8" t="s">
        <v>5338</v>
      </c>
      <c r="F168" s="1"/>
      <c r="G168" s="4" t="s">
        <v>3190</v>
      </c>
      <c r="H168" s="22">
        <v>0</v>
      </c>
      <c r="I168" s="18">
        <v>710000000</v>
      </c>
      <c r="J168" s="4" t="s">
        <v>1931</v>
      </c>
      <c r="K168" s="4" t="s">
        <v>5297</v>
      </c>
      <c r="L168" s="7" t="s">
        <v>1940</v>
      </c>
      <c r="M168" s="8" t="s">
        <v>3195</v>
      </c>
      <c r="N168" s="8" t="s">
        <v>1890</v>
      </c>
      <c r="O168" s="8" t="s">
        <v>1935</v>
      </c>
      <c r="P168" s="8">
        <v>796</v>
      </c>
      <c r="Q168" s="8" t="s">
        <v>3196</v>
      </c>
      <c r="R168" s="98">
        <f>160+20</f>
        <v>180</v>
      </c>
      <c r="S168" s="10">
        <v>560.71</v>
      </c>
      <c r="T168" s="10">
        <f t="shared" si="28"/>
        <v>100927.8</v>
      </c>
      <c r="U168" s="10">
        <f t="shared" si="29"/>
        <v>113039.13600000001</v>
      </c>
      <c r="V168" s="11"/>
      <c r="W168" s="11">
        <v>2015</v>
      </c>
      <c r="X168" s="4"/>
    </row>
    <row r="169" spans="1:24" ht="76.5" customHeight="1" outlineLevel="1" x14ac:dyDescent="0.2">
      <c r="A169" s="1" t="s">
        <v>4286</v>
      </c>
      <c r="B169" s="24" t="s">
        <v>5277</v>
      </c>
      <c r="C169" s="8" t="s">
        <v>1440</v>
      </c>
      <c r="D169" s="8" t="s">
        <v>1441</v>
      </c>
      <c r="E169" s="8" t="s">
        <v>1442</v>
      </c>
      <c r="F169" s="8"/>
      <c r="G169" s="4" t="s">
        <v>3190</v>
      </c>
      <c r="H169" s="22">
        <v>0</v>
      </c>
      <c r="I169" s="18">
        <v>710000000</v>
      </c>
      <c r="J169" s="4" t="s">
        <v>1931</v>
      </c>
      <c r="K169" s="4" t="s">
        <v>5297</v>
      </c>
      <c r="L169" s="7" t="s">
        <v>1940</v>
      </c>
      <c r="M169" s="8" t="s">
        <v>3195</v>
      </c>
      <c r="N169" s="8" t="s">
        <v>1890</v>
      </c>
      <c r="O169" s="8" t="s">
        <v>1935</v>
      </c>
      <c r="P169" s="8">
        <v>796</v>
      </c>
      <c r="Q169" s="8" t="s">
        <v>3196</v>
      </c>
      <c r="R169" s="98">
        <v>10</v>
      </c>
      <c r="S169" s="10">
        <v>352.68</v>
      </c>
      <c r="T169" s="10">
        <f t="shared" si="28"/>
        <v>3526.8</v>
      </c>
      <c r="U169" s="10">
        <f t="shared" si="29"/>
        <v>3950.0160000000005</v>
      </c>
      <c r="V169" s="11"/>
      <c r="W169" s="11">
        <v>2015</v>
      </c>
      <c r="X169" s="4"/>
    </row>
    <row r="170" spans="1:24" ht="76.5" customHeight="1" outlineLevel="1" x14ac:dyDescent="0.2">
      <c r="A170" s="1" t="s">
        <v>4287</v>
      </c>
      <c r="B170" s="24" t="s">
        <v>5277</v>
      </c>
      <c r="C170" s="81" t="s">
        <v>1443</v>
      </c>
      <c r="D170" s="81" t="s">
        <v>1444</v>
      </c>
      <c r="E170" s="81" t="s">
        <v>1445</v>
      </c>
      <c r="F170" s="4"/>
      <c r="G170" s="4" t="s">
        <v>3190</v>
      </c>
      <c r="H170" s="22">
        <v>0</v>
      </c>
      <c r="I170" s="18">
        <v>710000000</v>
      </c>
      <c r="J170" s="4" t="s">
        <v>1931</v>
      </c>
      <c r="K170" s="4" t="s">
        <v>5297</v>
      </c>
      <c r="L170" s="7" t="s">
        <v>1940</v>
      </c>
      <c r="M170" s="8" t="s">
        <v>3195</v>
      </c>
      <c r="N170" s="8" t="s">
        <v>1890</v>
      </c>
      <c r="O170" s="8" t="s">
        <v>1935</v>
      </c>
      <c r="P170" s="8">
        <v>796</v>
      </c>
      <c r="Q170" s="8" t="s">
        <v>3196</v>
      </c>
      <c r="R170" s="26">
        <f>20+7</f>
        <v>27</v>
      </c>
      <c r="S170" s="10">
        <v>116.07</v>
      </c>
      <c r="T170" s="10">
        <f t="shared" si="28"/>
        <v>3133.89</v>
      </c>
      <c r="U170" s="10">
        <f t="shared" si="29"/>
        <v>3509.9568000000004</v>
      </c>
      <c r="V170" s="11"/>
      <c r="W170" s="11">
        <v>2015</v>
      </c>
      <c r="X170" s="4"/>
    </row>
    <row r="171" spans="1:24" ht="76.5" customHeight="1" outlineLevel="1" x14ac:dyDescent="0.2">
      <c r="A171" s="1" t="s">
        <v>4288</v>
      </c>
      <c r="B171" s="24" t="s">
        <v>5277</v>
      </c>
      <c r="C171" s="192" t="s">
        <v>3268</v>
      </c>
      <c r="D171" s="192" t="s">
        <v>5154</v>
      </c>
      <c r="E171" s="192" t="s">
        <v>5155</v>
      </c>
      <c r="F171" s="192" t="s">
        <v>5156</v>
      </c>
      <c r="G171" s="4" t="s">
        <v>3190</v>
      </c>
      <c r="H171" s="22">
        <v>0</v>
      </c>
      <c r="I171" s="18">
        <v>710000000</v>
      </c>
      <c r="J171" s="4" t="s">
        <v>1931</v>
      </c>
      <c r="K171" s="4" t="s">
        <v>5297</v>
      </c>
      <c r="L171" s="7" t="s">
        <v>1940</v>
      </c>
      <c r="M171" s="8" t="s">
        <v>3195</v>
      </c>
      <c r="N171" s="8" t="s">
        <v>1890</v>
      </c>
      <c r="O171" s="8" t="s">
        <v>1935</v>
      </c>
      <c r="P171" s="8">
        <v>796</v>
      </c>
      <c r="Q171" s="8" t="s">
        <v>3196</v>
      </c>
      <c r="R171" s="26">
        <f>150+10</f>
        <v>160</v>
      </c>
      <c r="S171" s="10">
        <v>27.68</v>
      </c>
      <c r="T171" s="10">
        <f t="shared" si="28"/>
        <v>4428.8</v>
      </c>
      <c r="U171" s="10">
        <f t="shared" si="29"/>
        <v>4960.2560000000003</v>
      </c>
      <c r="V171" s="11"/>
      <c r="W171" s="11">
        <v>2015</v>
      </c>
      <c r="X171" s="4"/>
    </row>
    <row r="172" spans="1:24" ht="76.5" customHeight="1" outlineLevel="1" x14ac:dyDescent="0.2">
      <c r="A172" s="1" t="s">
        <v>4289</v>
      </c>
      <c r="B172" s="24" t="s">
        <v>5277</v>
      </c>
      <c r="C172" s="192" t="s">
        <v>3268</v>
      </c>
      <c r="D172" s="192" t="s">
        <v>5154</v>
      </c>
      <c r="E172" s="192" t="s">
        <v>5155</v>
      </c>
      <c r="F172" s="192" t="s">
        <v>5157</v>
      </c>
      <c r="G172" s="4" t="s">
        <v>3190</v>
      </c>
      <c r="H172" s="22">
        <v>0</v>
      </c>
      <c r="I172" s="18">
        <v>710000000</v>
      </c>
      <c r="J172" s="4" t="s">
        <v>1931</v>
      </c>
      <c r="K172" s="4" t="s">
        <v>5297</v>
      </c>
      <c r="L172" s="7" t="s">
        <v>1940</v>
      </c>
      <c r="M172" s="8" t="s">
        <v>3195</v>
      </c>
      <c r="N172" s="8" t="s">
        <v>1890</v>
      </c>
      <c r="O172" s="8" t="s">
        <v>1935</v>
      </c>
      <c r="P172" s="8">
        <v>796</v>
      </c>
      <c r="Q172" s="8" t="s">
        <v>3196</v>
      </c>
      <c r="R172" s="26">
        <f>180+10</f>
        <v>190</v>
      </c>
      <c r="S172" s="10">
        <v>44.64</v>
      </c>
      <c r="T172" s="10">
        <f t="shared" si="28"/>
        <v>8481.6</v>
      </c>
      <c r="U172" s="10">
        <f t="shared" si="29"/>
        <v>9499.3920000000016</v>
      </c>
      <c r="V172" s="1"/>
      <c r="W172" s="11">
        <v>2015</v>
      </c>
      <c r="X172" s="8"/>
    </row>
    <row r="173" spans="1:24" ht="76.5" customHeight="1" outlineLevel="1" x14ac:dyDescent="0.2">
      <c r="A173" s="1" t="s">
        <v>4290</v>
      </c>
      <c r="B173" s="24" t="s">
        <v>5277</v>
      </c>
      <c r="C173" s="16" t="s">
        <v>3031</v>
      </c>
      <c r="D173" s="18" t="s">
        <v>5159</v>
      </c>
      <c r="E173" s="18" t="s">
        <v>5160</v>
      </c>
      <c r="F173" s="4" t="s">
        <v>5161</v>
      </c>
      <c r="G173" s="4" t="s">
        <v>3190</v>
      </c>
      <c r="H173" s="22">
        <v>0</v>
      </c>
      <c r="I173" s="18">
        <v>710000000</v>
      </c>
      <c r="J173" s="4" t="s">
        <v>1931</v>
      </c>
      <c r="K173" s="4" t="s">
        <v>5297</v>
      </c>
      <c r="L173" s="7" t="s">
        <v>1940</v>
      </c>
      <c r="M173" s="8" t="s">
        <v>3195</v>
      </c>
      <c r="N173" s="8" t="s">
        <v>1890</v>
      </c>
      <c r="O173" s="8" t="s">
        <v>1935</v>
      </c>
      <c r="P173" s="4">
        <v>5111</v>
      </c>
      <c r="Q173" s="4" t="s">
        <v>5298</v>
      </c>
      <c r="R173" s="26">
        <f>10+200+100+30+5</f>
        <v>345</v>
      </c>
      <c r="S173" s="10">
        <v>369.64</v>
      </c>
      <c r="T173" s="10">
        <v>0</v>
      </c>
      <c r="U173" s="10">
        <f t="shared" si="29"/>
        <v>0</v>
      </c>
      <c r="V173" s="11"/>
      <c r="W173" s="11">
        <v>2015</v>
      </c>
      <c r="X173" s="8" t="s">
        <v>7518</v>
      </c>
    </row>
    <row r="174" spans="1:24" ht="76.5" customHeight="1" outlineLevel="1" x14ac:dyDescent="0.2">
      <c r="A174" s="1" t="s">
        <v>9147</v>
      </c>
      <c r="B174" s="24" t="s">
        <v>5277</v>
      </c>
      <c r="C174" s="16" t="s">
        <v>3031</v>
      </c>
      <c r="D174" s="18" t="s">
        <v>5159</v>
      </c>
      <c r="E174" s="18" t="s">
        <v>5160</v>
      </c>
      <c r="F174" s="4" t="s">
        <v>5161</v>
      </c>
      <c r="G174" s="4" t="s">
        <v>3190</v>
      </c>
      <c r="H174" s="22">
        <v>0</v>
      </c>
      <c r="I174" s="18">
        <v>710000000</v>
      </c>
      <c r="J174" s="4" t="s">
        <v>1931</v>
      </c>
      <c r="K174" s="4" t="s">
        <v>9078</v>
      </c>
      <c r="L174" s="7" t="s">
        <v>1940</v>
      </c>
      <c r="M174" s="8" t="s">
        <v>3195</v>
      </c>
      <c r="N174" s="8" t="s">
        <v>1890</v>
      </c>
      <c r="O174" s="8" t="s">
        <v>1935</v>
      </c>
      <c r="P174" s="4">
        <v>5111</v>
      </c>
      <c r="Q174" s="4" t="s">
        <v>5298</v>
      </c>
      <c r="R174" s="26">
        <f>10+200+100+30+5+12</f>
        <v>357</v>
      </c>
      <c r="S174" s="10">
        <v>369.64</v>
      </c>
      <c r="T174" s="10">
        <f t="shared" ref="T174" si="30">S174*R174</f>
        <v>131961.47999999998</v>
      </c>
      <c r="U174" s="10">
        <f t="shared" ref="U174" si="31">T174*1.12</f>
        <v>147796.85759999999</v>
      </c>
      <c r="V174" s="11"/>
      <c r="W174" s="11">
        <v>2015</v>
      </c>
      <c r="X174" s="8"/>
    </row>
    <row r="175" spans="1:24" ht="76.5" customHeight="1" outlineLevel="1" x14ac:dyDescent="0.2">
      <c r="A175" s="1" t="s">
        <v>4291</v>
      </c>
      <c r="B175" s="24" t="s">
        <v>5277</v>
      </c>
      <c r="C175" s="18" t="s">
        <v>3305</v>
      </c>
      <c r="D175" s="18" t="s">
        <v>5149</v>
      </c>
      <c r="E175" s="18" t="s">
        <v>5335</v>
      </c>
      <c r="F175" s="4" t="s">
        <v>1460</v>
      </c>
      <c r="G175" s="4" t="s">
        <v>3190</v>
      </c>
      <c r="H175" s="22">
        <v>0</v>
      </c>
      <c r="I175" s="18">
        <v>710000000</v>
      </c>
      <c r="J175" s="4" t="s">
        <v>1931</v>
      </c>
      <c r="K175" s="4" t="s">
        <v>5297</v>
      </c>
      <c r="L175" s="7" t="s">
        <v>1940</v>
      </c>
      <c r="M175" s="8" t="s">
        <v>3195</v>
      </c>
      <c r="N175" s="8" t="s">
        <v>1890</v>
      </c>
      <c r="O175" s="8" t="s">
        <v>1935</v>
      </c>
      <c r="P175" s="8">
        <v>796</v>
      </c>
      <c r="Q175" s="8" t="s">
        <v>3196</v>
      </c>
      <c r="R175" s="26">
        <f>40+30</f>
        <v>70</v>
      </c>
      <c r="S175" s="10">
        <v>94.64</v>
      </c>
      <c r="T175" s="10">
        <f t="shared" si="28"/>
        <v>6624.8</v>
      </c>
      <c r="U175" s="10">
        <f t="shared" si="29"/>
        <v>7419.7760000000007</v>
      </c>
      <c r="V175" s="11"/>
      <c r="W175" s="11">
        <v>2015</v>
      </c>
      <c r="X175" s="4"/>
    </row>
    <row r="176" spans="1:24" ht="76.5" customHeight="1" outlineLevel="1" x14ac:dyDescent="0.2">
      <c r="A176" s="1" t="s">
        <v>4292</v>
      </c>
      <c r="B176" s="24" t="s">
        <v>5277</v>
      </c>
      <c r="C176" s="18" t="s">
        <v>3626</v>
      </c>
      <c r="D176" s="18" t="s">
        <v>5149</v>
      </c>
      <c r="E176" s="18" t="s">
        <v>5346</v>
      </c>
      <c r="F176" s="4" t="s">
        <v>1461</v>
      </c>
      <c r="G176" s="4" t="s">
        <v>3190</v>
      </c>
      <c r="H176" s="22">
        <v>0</v>
      </c>
      <c r="I176" s="18">
        <v>710000000</v>
      </c>
      <c r="J176" s="4" t="s">
        <v>1931</v>
      </c>
      <c r="K176" s="4" t="s">
        <v>5297</v>
      </c>
      <c r="L176" s="7" t="s">
        <v>1940</v>
      </c>
      <c r="M176" s="8" t="s">
        <v>3195</v>
      </c>
      <c r="N176" s="8" t="s">
        <v>1890</v>
      </c>
      <c r="O176" s="8" t="s">
        <v>1935</v>
      </c>
      <c r="P176" s="8">
        <v>796</v>
      </c>
      <c r="Q176" s="8" t="s">
        <v>3196</v>
      </c>
      <c r="R176" s="26">
        <f>2+50+5</f>
        <v>57</v>
      </c>
      <c r="S176" s="10">
        <v>258.93</v>
      </c>
      <c r="T176" s="10">
        <f t="shared" si="28"/>
        <v>14759.01</v>
      </c>
      <c r="U176" s="10">
        <f t="shared" si="29"/>
        <v>16530.091200000003</v>
      </c>
      <c r="V176" s="11"/>
      <c r="W176" s="11">
        <v>2015</v>
      </c>
      <c r="X176" s="4"/>
    </row>
    <row r="177" spans="1:24" ht="76.5" customHeight="1" outlineLevel="1" x14ac:dyDescent="0.2">
      <c r="A177" s="1" t="s">
        <v>4293</v>
      </c>
      <c r="B177" s="24" t="s">
        <v>5277</v>
      </c>
      <c r="C177" s="81" t="s">
        <v>3293</v>
      </c>
      <c r="D177" s="81" t="s">
        <v>5194</v>
      </c>
      <c r="E177" s="81" t="s">
        <v>5195</v>
      </c>
      <c r="F177" s="4" t="s">
        <v>1462</v>
      </c>
      <c r="G177" s="4" t="s">
        <v>3190</v>
      </c>
      <c r="H177" s="22">
        <v>0</v>
      </c>
      <c r="I177" s="18">
        <v>710000000</v>
      </c>
      <c r="J177" s="4" t="s">
        <v>1931</v>
      </c>
      <c r="K177" s="4" t="s">
        <v>5297</v>
      </c>
      <c r="L177" s="7" t="s">
        <v>1940</v>
      </c>
      <c r="M177" s="8" t="s">
        <v>3195</v>
      </c>
      <c r="N177" s="8" t="s">
        <v>1890</v>
      </c>
      <c r="O177" s="8" t="s">
        <v>1935</v>
      </c>
      <c r="P177" s="8">
        <v>796</v>
      </c>
      <c r="Q177" s="8" t="s">
        <v>3196</v>
      </c>
      <c r="R177" s="26">
        <f>25</f>
        <v>25</v>
      </c>
      <c r="S177" s="10">
        <v>22</v>
      </c>
      <c r="T177" s="10">
        <f t="shared" si="28"/>
        <v>550</v>
      </c>
      <c r="U177" s="10">
        <f t="shared" si="29"/>
        <v>616.00000000000011</v>
      </c>
      <c r="V177" s="11"/>
      <c r="W177" s="11">
        <v>2015</v>
      </c>
      <c r="X177" s="8"/>
    </row>
    <row r="178" spans="1:24" ht="76.5" customHeight="1" outlineLevel="1" x14ac:dyDescent="0.2">
      <c r="A178" s="1" t="s">
        <v>4294</v>
      </c>
      <c r="B178" s="24" t="s">
        <v>5277</v>
      </c>
      <c r="C178" s="18" t="s">
        <v>3286</v>
      </c>
      <c r="D178" s="18" t="s">
        <v>5182</v>
      </c>
      <c r="E178" s="18" t="s">
        <v>5183</v>
      </c>
      <c r="F178" s="8"/>
      <c r="G178" s="4" t="s">
        <v>3190</v>
      </c>
      <c r="H178" s="22">
        <v>0</v>
      </c>
      <c r="I178" s="18">
        <v>710000000</v>
      </c>
      <c r="J178" s="4" t="s">
        <v>1931</v>
      </c>
      <c r="K178" s="4" t="s">
        <v>5297</v>
      </c>
      <c r="L178" s="7" t="s">
        <v>1940</v>
      </c>
      <c r="M178" s="8" t="s">
        <v>3195</v>
      </c>
      <c r="N178" s="8" t="s">
        <v>1890</v>
      </c>
      <c r="O178" s="8" t="s">
        <v>1935</v>
      </c>
      <c r="P178" s="8">
        <v>796</v>
      </c>
      <c r="Q178" s="8" t="s">
        <v>3196</v>
      </c>
      <c r="R178" s="98">
        <f>35+20</f>
        <v>55</v>
      </c>
      <c r="S178" s="10">
        <v>565.17999999999995</v>
      </c>
      <c r="T178" s="10">
        <f t="shared" si="28"/>
        <v>31084.899999999998</v>
      </c>
      <c r="U178" s="10">
        <f t="shared" si="29"/>
        <v>34815.088000000003</v>
      </c>
      <c r="V178" s="11"/>
      <c r="W178" s="11">
        <v>2015</v>
      </c>
      <c r="X178" s="4"/>
    </row>
    <row r="179" spans="1:24" ht="76.5" customHeight="1" outlineLevel="1" x14ac:dyDescent="0.2">
      <c r="A179" s="1" t="s">
        <v>4295</v>
      </c>
      <c r="B179" s="24" t="s">
        <v>5277</v>
      </c>
      <c r="C179" s="8" t="s">
        <v>3287</v>
      </c>
      <c r="D179" s="8" t="s">
        <v>5182</v>
      </c>
      <c r="E179" s="8" t="s">
        <v>5184</v>
      </c>
      <c r="F179" s="8"/>
      <c r="G179" s="4" t="s">
        <v>3190</v>
      </c>
      <c r="H179" s="22">
        <v>0</v>
      </c>
      <c r="I179" s="18">
        <v>710000000</v>
      </c>
      <c r="J179" s="4" t="s">
        <v>1931</v>
      </c>
      <c r="K179" s="4" t="s">
        <v>5297</v>
      </c>
      <c r="L179" s="7" t="s">
        <v>1940</v>
      </c>
      <c r="M179" s="8" t="s">
        <v>3195</v>
      </c>
      <c r="N179" s="8" t="s">
        <v>1890</v>
      </c>
      <c r="O179" s="8" t="s">
        <v>1935</v>
      </c>
      <c r="P179" s="8">
        <v>796</v>
      </c>
      <c r="Q179" s="8" t="s">
        <v>3196</v>
      </c>
      <c r="R179" s="98">
        <f>50+20</f>
        <v>70</v>
      </c>
      <c r="S179" s="10">
        <v>1231.25</v>
      </c>
      <c r="T179" s="10">
        <f t="shared" si="28"/>
        <v>86187.5</v>
      </c>
      <c r="U179" s="10">
        <f t="shared" si="29"/>
        <v>96530.000000000015</v>
      </c>
      <c r="V179" s="11"/>
      <c r="W179" s="11">
        <v>2015</v>
      </c>
      <c r="X179" s="4"/>
    </row>
    <row r="180" spans="1:24" ht="76.5" customHeight="1" outlineLevel="1" x14ac:dyDescent="0.2">
      <c r="A180" s="1" t="s">
        <v>4296</v>
      </c>
      <c r="B180" s="24" t="s">
        <v>5277</v>
      </c>
      <c r="C180" s="7" t="s">
        <v>3262</v>
      </c>
      <c r="D180" s="7" t="s">
        <v>5306</v>
      </c>
      <c r="E180" s="7" t="s">
        <v>5307</v>
      </c>
      <c r="F180" s="4" t="s">
        <v>1463</v>
      </c>
      <c r="G180" s="4" t="s">
        <v>3190</v>
      </c>
      <c r="H180" s="22">
        <v>0</v>
      </c>
      <c r="I180" s="18">
        <v>710000000</v>
      </c>
      <c r="J180" s="4" t="s">
        <v>1931</v>
      </c>
      <c r="K180" s="4" t="s">
        <v>5297</v>
      </c>
      <c r="L180" s="7" t="s">
        <v>1940</v>
      </c>
      <c r="M180" s="8" t="s">
        <v>3195</v>
      </c>
      <c r="N180" s="8" t="s">
        <v>1890</v>
      </c>
      <c r="O180" s="8" t="s">
        <v>1935</v>
      </c>
      <c r="P180" s="8">
        <v>796</v>
      </c>
      <c r="Q180" s="8" t="s">
        <v>3196</v>
      </c>
      <c r="R180" s="26">
        <f>400+6000+1000+2500+25</f>
        <v>9925</v>
      </c>
      <c r="S180" s="10">
        <v>14.29</v>
      </c>
      <c r="T180" s="10">
        <v>0</v>
      </c>
      <c r="U180" s="10">
        <f t="shared" si="29"/>
        <v>0</v>
      </c>
      <c r="V180" s="11"/>
      <c r="W180" s="11">
        <v>2015</v>
      </c>
      <c r="X180" s="8" t="s">
        <v>7518</v>
      </c>
    </row>
    <row r="181" spans="1:24" ht="76.5" customHeight="1" outlineLevel="1" x14ac:dyDescent="0.2">
      <c r="A181" s="1" t="s">
        <v>9148</v>
      </c>
      <c r="B181" s="24" t="s">
        <v>5277</v>
      </c>
      <c r="C181" s="7" t="s">
        <v>3262</v>
      </c>
      <c r="D181" s="7" t="s">
        <v>5306</v>
      </c>
      <c r="E181" s="7" t="s">
        <v>5307</v>
      </c>
      <c r="F181" s="4" t="s">
        <v>1463</v>
      </c>
      <c r="G181" s="4" t="s">
        <v>3190</v>
      </c>
      <c r="H181" s="22">
        <v>0</v>
      </c>
      <c r="I181" s="18">
        <v>710000000</v>
      </c>
      <c r="J181" s="4" t="s">
        <v>1931</v>
      </c>
      <c r="K181" s="4" t="s">
        <v>9078</v>
      </c>
      <c r="L181" s="7" t="s">
        <v>1940</v>
      </c>
      <c r="M181" s="8" t="s">
        <v>3195</v>
      </c>
      <c r="N181" s="8" t="s">
        <v>1890</v>
      </c>
      <c r="O181" s="8" t="s">
        <v>1935</v>
      </c>
      <c r="P181" s="8">
        <v>796</v>
      </c>
      <c r="Q181" s="8" t="s">
        <v>3196</v>
      </c>
      <c r="R181" s="26">
        <f>400+6000+1000+2500+25+3000</f>
        <v>12925</v>
      </c>
      <c r="S181" s="10">
        <v>14.29</v>
      </c>
      <c r="T181" s="10">
        <f t="shared" ref="T181" si="32">S181*R181</f>
        <v>184698.25</v>
      </c>
      <c r="U181" s="10">
        <f t="shared" ref="U181" si="33">T181*1.12</f>
        <v>206862.04</v>
      </c>
      <c r="V181" s="11"/>
      <c r="W181" s="11">
        <v>2015</v>
      </c>
      <c r="X181" s="8"/>
    </row>
    <row r="182" spans="1:24" ht="76.5" customHeight="1" outlineLevel="1" x14ac:dyDescent="0.2">
      <c r="A182" s="1" t="s">
        <v>4297</v>
      </c>
      <c r="B182" s="24" t="s">
        <v>5277</v>
      </c>
      <c r="C182" s="190" t="s">
        <v>1555</v>
      </c>
      <c r="D182" s="190" t="s">
        <v>1556</v>
      </c>
      <c r="E182" s="190" t="s">
        <v>1557</v>
      </c>
      <c r="F182" s="4"/>
      <c r="G182" s="4" t="s">
        <v>3190</v>
      </c>
      <c r="H182" s="22">
        <v>0</v>
      </c>
      <c r="I182" s="18">
        <v>710000000</v>
      </c>
      <c r="J182" s="4" t="s">
        <v>1931</v>
      </c>
      <c r="K182" s="4" t="s">
        <v>5297</v>
      </c>
      <c r="L182" s="7" t="s">
        <v>1940</v>
      </c>
      <c r="M182" s="8" t="s">
        <v>3195</v>
      </c>
      <c r="N182" s="8" t="s">
        <v>1890</v>
      </c>
      <c r="O182" s="8" t="s">
        <v>1935</v>
      </c>
      <c r="P182" s="8">
        <v>796</v>
      </c>
      <c r="Q182" s="8" t="s">
        <v>3196</v>
      </c>
      <c r="R182" s="26">
        <f>20+200+70+120+12+6</f>
        <v>428</v>
      </c>
      <c r="S182" s="10">
        <v>57.14</v>
      </c>
      <c r="T182" s="10">
        <f t="shared" si="23"/>
        <v>24455.920000000002</v>
      </c>
      <c r="U182" s="10">
        <f t="shared" si="0"/>
        <v>27390.630400000005</v>
      </c>
      <c r="V182" s="11"/>
      <c r="W182" s="11">
        <v>2015</v>
      </c>
      <c r="X182" s="4"/>
    </row>
    <row r="183" spans="1:24" ht="76.5" customHeight="1" outlineLevel="1" x14ac:dyDescent="0.2">
      <c r="A183" s="1" t="s">
        <v>4298</v>
      </c>
      <c r="B183" s="24" t="s">
        <v>5277</v>
      </c>
      <c r="C183" s="8" t="s">
        <v>3297</v>
      </c>
      <c r="D183" s="8" t="s">
        <v>5205</v>
      </c>
      <c r="E183" s="8" t="s">
        <v>5206</v>
      </c>
      <c r="F183" s="8" t="s">
        <v>5207</v>
      </c>
      <c r="G183" s="4" t="s">
        <v>3190</v>
      </c>
      <c r="H183" s="22">
        <v>0</v>
      </c>
      <c r="I183" s="18">
        <v>710000000</v>
      </c>
      <c r="J183" s="4" t="s">
        <v>1931</v>
      </c>
      <c r="K183" s="4" t="s">
        <v>5297</v>
      </c>
      <c r="L183" s="7" t="s">
        <v>1940</v>
      </c>
      <c r="M183" s="8" t="s">
        <v>3195</v>
      </c>
      <c r="N183" s="8" t="s">
        <v>1890</v>
      </c>
      <c r="O183" s="8" t="s">
        <v>1935</v>
      </c>
      <c r="P183" s="8">
        <v>796</v>
      </c>
      <c r="Q183" s="8" t="s">
        <v>3196</v>
      </c>
      <c r="R183" s="98">
        <v>20</v>
      </c>
      <c r="S183" s="10">
        <v>245.54</v>
      </c>
      <c r="T183" s="10">
        <f t="shared" si="23"/>
        <v>4910.8</v>
      </c>
      <c r="U183" s="10">
        <f t="shared" si="0"/>
        <v>5500.0960000000005</v>
      </c>
      <c r="V183" s="11"/>
      <c r="W183" s="11">
        <v>2015</v>
      </c>
      <c r="X183" s="4"/>
    </row>
    <row r="184" spans="1:24" ht="76.5" customHeight="1" outlineLevel="1" x14ac:dyDescent="0.2">
      <c r="A184" s="1" t="s">
        <v>4299</v>
      </c>
      <c r="B184" s="24" t="s">
        <v>5277</v>
      </c>
      <c r="C184" s="18" t="s">
        <v>1435</v>
      </c>
      <c r="D184" s="18" t="s">
        <v>3294</v>
      </c>
      <c r="E184" s="4" t="s">
        <v>1436</v>
      </c>
      <c r="F184" s="4" t="s">
        <v>5146</v>
      </c>
      <c r="G184" s="4" t="s">
        <v>3190</v>
      </c>
      <c r="H184" s="22">
        <v>0</v>
      </c>
      <c r="I184" s="18">
        <v>710000000</v>
      </c>
      <c r="J184" s="4" t="s">
        <v>1931</v>
      </c>
      <c r="K184" s="4" t="s">
        <v>5297</v>
      </c>
      <c r="L184" s="7" t="s">
        <v>1940</v>
      </c>
      <c r="M184" s="8" t="s">
        <v>3195</v>
      </c>
      <c r="N184" s="8" t="s">
        <v>1890</v>
      </c>
      <c r="O184" s="8" t="s">
        <v>1935</v>
      </c>
      <c r="P184" s="8">
        <v>704</v>
      </c>
      <c r="Q184" s="8" t="s">
        <v>5196</v>
      </c>
      <c r="R184" s="26">
        <f>110+13+40+15+5</f>
        <v>183</v>
      </c>
      <c r="S184" s="10">
        <v>236.61</v>
      </c>
      <c r="T184" s="10">
        <f t="shared" si="23"/>
        <v>43299.630000000005</v>
      </c>
      <c r="U184" s="10">
        <f t="shared" si="0"/>
        <v>48495.585600000013</v>
      </c>
      <c r="V184" s="11"/>
      <c r="W184" s="11">
        <v>2015</v>
      </c>
      <c r="X184" s="4"/>
    </row>
    <row r="185" spans="1:24" ht="76.5" customHeight="1" outlineLevel="1" x14ac:dyDescent="0.2">
      <c r="A185" s="1" t="s">
        <v>4300</v>
      </c>
      <c r="B185" s="24" t="s">
        <v>5277</v>
      </c>
      <c r="C185" s="81" t="s">
        <v>3292</v>
      </c>
      <c r="D185" s="81" t="s">
        <v>5193</v>
      </c>
      <c r="E185" s="81" t="s">
        <v>5193</v>
      </c>
      <c r="F185" s="4"/>
      <c r="G185" s="4" t="s">
        <v>3190</v>
      </c>
      <c r="H185" s="22">
        <v>0</v>
      </c>
      <c r="I185" s="18">
        <v>710000000</v>
      </c>
      <c r="J185" s="4" t="s">
        <v>1931</v>
      </c>
      <c r="K185" s="4" t="s">
        <v>5297</v>
      </c>
      <c r="L185" s="7" t="s">
        <v>1940</v>
      </c>
      <c r="M185" s="8" t="s">
        <v>3195</v>
      </c>
      <c r="N185" s="8" t="s">
        <v>1890</v>
      </c>
      <c r="O185" s="8" t="s">
        <v>1935</v>
      </c>
      <c r="P185" s="8">
        <v>796</v>
      </c>
      <c r="Q185" s="8" t="s">
        <v>3196</v>
      </c>
      <c r="R185" s="26">
        <v>15</v>
      </c>
      <c r="S185" s="10">
        <v>96.43</v>
      </c>
      <c r="T185" s="10">
        <f t="shared" ref="T185:T192" si="34">S185*R185</f>
        <v>1446.45</v>
      </c>
      <c r="U185" s="10">
        <f t="shared" ref="U185:U192" si="35">T185*1.12</f>
        <v>1620.0240000000001</v>
      </c>
      <c r="V185" s="11"/>
      <c r="W185" s="11">
        <v>2015</v>
      </c>
      <c r="X185" s="4"/>
    </row>
    <row r="186" spans="1:24" ht="76.5" customHeight="1" outlineLevel="1" x14ac:dyDescent="0.2">
      <c r="A186" s="1" t="s">
        <v>4301</v>
      </c>
      <c r="B186" s="24" t="s">
        <v>5277</v>
      </c>
      <c r="C186" s="7" t="s">
        <v>3030</v>
      </c>
      <c r="D186" s="18" t="s">
        <v>5310</v>
      </c>
      <c r="E186" s="18" t="s">
        <v>5311</v>
      </c>
      <c r="F186" s="4" t="s">
        <v>5312</v>
      </c>
      <c r="G186" s="4" t="s">
        <v>3190</v>
      </c>
      <c r="H186" s="22">
        <v>0</v>
      </c>
      <c r="I186" s="18">
        <v>710000000</v>
      </c>
      <c r="J186" s="4" t="s">
        <v>1931</v>
      </c>
      <c r="K186" s="4" t="s">
        <v>5297</v>
      </c>
      <c r="L186" s="7" t="s">
        <v>1940</v>
      </c>
      <c r="M186" s="8" t="s">
        <v>3195</v>
      </c>
      <c r="N186" s="8" t="s">
        <v>1890</v>
      </c>
      <c r="O186" s="8" t="s">
        <v>1935</v>
      </c>
      <c r="P186" s="8">
        <v>796</v>
      </c>
      <c r="Q186" s="8" t="s">
        <v>3196</v>
      </c>
      <c r="R186" s="26">
        <f>35+415+250+250+12+12</f>
        <v>974</v>
      </c>
      <c r="S186" s="10">
        <v>62.5</v>
      </c>
      <c r="T186" s="10">
        <f t="shared" si="34"/>
        <v>60875</v>
      </c>
      <c r="U186" s="10">
        <f t="shared" si="35"/>
        <v>68180</v>
      </c>
      <c r="V186" s="11"/>
      <c r="W186" s="11">
        <v>2015</v>
      </c>
      <c r="X186" s="4"/>
    </row>
    <row r="187" spans="1:24" ht="76.5" customHeight="1" outlineLevel="1" x14ac:dyDescent="0.2">
      <c r="A187" s="1" t="s">
        <v>4302</v>
      </c>
      <c r="B187" s="24" t="s">
        <v>5277</v>
      </c>
      <c r="C187" s="7" t="s">
        <v>3030</v>
      </c>
      <c r="D187" s="18" t="s">
        <v>5310</v>
      </c>
      <c r="E187" s="18" t="s">
        <v>5311</v>
      </c>
      <c r="F187" s="4" t="s">
        <v>5315</v>
      </c>
      <c r="G187" s="4" t="s">
        <v>3190</v>
      </c>
      <c r="H187" s="22">
        <v>0</v>
      </c>
      <c r="I187" s="18">
        <v>710000000</v>
      </c>
      <c r="J187" s="4" t="s">
        <v>1931</v>
      </c>
      <c r="K187" s="4" t="s">
        <v>5297</v>
      </c>
      <c r="L187" s="7" t="s">
        <v>1940</v>
      </c>
      <c r="M187" s="8" t="s">
        <v>3195</v>
      </c>
      <c r="N187" s="8" t="s">
        <v>1890</v>
      </c>
      <c r="O187" s="8" t="s">
        <v>1935</v>
      </c>
      <c r="P187" s="8">
        <v>796</v>
      </c>
      <c r="Q187" s="8" t="s">
        <v>3196</v>
      </c>
      <c r="R187" s="26">
        <v>10</v>
      </c>
      <c r="S187" s="10">
        <v>62.5</v>
      </c>
      <c r="T187" s="10">
        <f t="shared" si="34"/>
        <v>625</v>
      </c>
      <c r="U187" s="10">
        <f t="shared" si="35"/>
        <v>700.00000000000011</v>
      </c>
      <c r="V187" s="11"/>
      <c r="W187" s="11">
        <v>2015</v>
      </c>
      <c r="X187" s="4"/>
    </row>
    <row r="188" spans="1:24" ht="76.5" customHeight="1" outlineLevel="1" x14ac:dyDescent="0.2">
      <c r="A188" s="1" t="s">
        <v>4303</v>
      </c>
      <c r="B188" s="24" t="s">
        <v>5277</v>
      </c>
      <c r="C188" s="7" t="s">
        <v>3030</v>
      </c>
      <c r="D188" s="18" t="s">
        <v>5310</v>
      </c>
      <c r="E188" s="18" t="s">
        <v>5311</v>
      </c>
      <c r="F188" s="4" t="s">
        <v>5316</v>
      </c>
      <c r="G188" s="4" t="s">
        <v>3190</v>
      </c>
      <c r="H188" s="22">
        <v>0</v>
      </c>
      <c r="I188" s="18">
        <v>710000000</v>
      </c>
      <c r="J188" s="4" t="s">
        <v>1931</v>
      </c>
      <c r="K188" s="4" t="s">
        <v>5297</v>
      </c>
      <c r="L188" s="7" t="s">
        <v>1940</v>
      </c>
      <c r="M188" s="8" t="s">
        <v>3195</v>
      </c>
      <c r="N188" s="8" t="s">
        <v>1890</v>
      </c>
      <c r="O188" s="8" t="s">
        <v>1935</v>
      </c>
      <c r="P188" s="8">
        <v>796</v>
      </c>
      <c r="Q188" s="8" t="s">
        <v>3196</v>
      </c>
      <c r="R188" s="26">
        <v>10</v>
      </c>
      <c r="S188" s="10">
        <v>62.5</v>
      </c>
      <c r="T188" s="10">
        <f t="shared" si="34"/>
        <v>625</v>
      </c>
      <c r="U188" s="10">
        <f t="shared" si="35"/>
        <v>700.00000000000011</v>
      </c>
      <c r="V188" s="11"/>
      <c r="W188" s="11">
        <v>2015</v>
      </c>
      <c r="X188" s="4"/>
    </row>
    <row r="189" spans="1:24" ht="76.5" customHeight="1" outlineLevel="1" x14ac:dyDescent="0.2">
      <c r="A189" s="1" t="s">
        <v>4304</v>
      </c>
      <c r="B189" s="24" t="s">
        <v>5277</v>
      </c>
      <c r="C189" s="7" t="s">
        <v>3264</v>
      </c>
      <c r="D189" s="7" t="s">
        <v>5310</v>
      </c>
      <c r="E189" s="81" t="s">
        <v>5313</v>
      </c>
      <c r="F189" s="4" t="s">
        <v>5314</v>
      </c>
      <c r="G189" s="4" t="s">
        <v>3190</v>
      </c>
      <c r="H189" s="22">
        <v>0</v>
      </c>
      <c r="I189" s="18">
        <v>710000000</v>
      </c>
      <c r="J189" s="4" t="s">
        <v>1931</v>
      </c>
      <c r="K189" s="4" t="s">
        <v>5297</v>
      </c>
      <c r="L189" s="7" t="s">
        <v>1940</v>
      </c>
      <c r="M189" s="8" t="s">
        <v>3195</v>
      </c>
      <c r="N189" s="8" t="s">
        <v>1890</v>
      </c>
      <c r="O189" s="8" t="s">
        <v>1935</v>
      </c>
      <c r="P189" s="8">
        <v>796</v>
      </c>
      <c r="Q189" s="8" t="s">
        <v>3196</v>
      </c>
      <c r="R189" s="26">
        <f>20+50+50</f>
        <v>120</v>
      </c>
      <c r="S189" s="10">
        <v>66.069999999999993</v>
      </c>
      <c r="T189" s="10">
        <f t="shared" si="34"/>
        <v>7928.4</v>
      </c>
      <c r="U189" s="10">
        <f t="shared" si="35"/>
        <v>8879.8080000000009</v>
      </c>
      <c r="V189" s="11"/>
      <c r="W189" s="11">
        <v>2015</v>
      </c>
      <c r="X189" s="8"/>
    </row>
    <row r="190" spans="1:24" ht="76.5" customHeight="1" outlineLevel="1" x14ac:dyDescent="0.2">
      <c r="A190" s="1" t="s">
        <v>4305</v>
      </c>
      <c r="B190" s="193" t="s">
        <v>5277</v>
      </c>
      <c r="C190" s="8" t="s">
        <v>1457</v>
      </c>
      <c r="D190" s="8" t="s">
        <v>1458</v>
      </c>
      <c r="E190" s="8" t="s">
        <v>1459</v>
      </c>
      <c r="F190" s="8"/>
      <c r="G190" s="4" t="s">
        <v>3190</v>
      </c>
      <c r="H190" s="22">
        <v>0</v>
      </c>
      <c r="I190" s="18">
        <v>710000000</v>
      </c>
      <c r="J190" s="4" t="s">
        <v>1931</v>
      </c>
      <c r="K190" s="4" t="s">
        <v>5297</v>
      </c>
      <c r="L190" s="7" t="s">
        <v>1940</v>
      </c>
      <c r="M190" s="8" t="s">
        <v>3195</v>
      </c>
      <c r="N190" s="8" t="s">
        <v>1890</v>
      </c>
      <c r="O190" s="8" t="s">
        <v>1935</v>
      </c>
      <c r="P190" s="8">
        <v>839</v>
      </c>
      <c r="Q190" s="8" t="s">
        <v>5413</v>
      </c>
      <c r="R190" s="98">
        <v>20</v>
      </c>
      <c r="S190" s="10">
        <v>26.79</v>
      </c>
      <c r="T190" s="10">
        <f t="shared" si="34"/>
        <v>535.79999999999995</v>
      </c>
      <c r="U190" s="10">
        <f t="shared" si="35"/>
        <v>600.096</v>
      </c>
      <c r="V190" s="11"/>
      <c r="W190" s="11">
        <v>2015</v>
      </c>
      <c r="X190" s="4"/>
    </row>
    <row r="191" spans="1:24" ht="76.5" customHeight="1" outlineLevel="1" x14ac:dyDescent="0.2">
      <c r="A191" s="1" t="s">
        <v>4306</v>
      </c>
      <c r="B191" s="24" t="s">
        <v>5277</v>
      </c>
      <c r="C191" s="7" t="s">
        <v>1464</v>
      </c>
      <c r="D191" s="7" t="s">
        <v>1465</v>
      </c>
      <c r="E191" s="7" t="s">
        <v>1466</v>
      </c>
      <c r="F191" s="4"/>
      <c r="G191" s="4" t="s">
        <v>3190</v>
      </c>
      <c r="H191" s="22">
        <v>0</v>
      </c>
      <c r="I191" s="18">
        <v>710000000</v>
      </c>
      <c r="J191" s="4" t="s">
        <v>1931</v>
      </c>
      <c r="K191" s="4" t="s">
        <v>5297</v>
      </c>
      <c r="L191" s="7" t="s">
        <v>1940</v>
      </c>
      <c r="M191" s="8" t="s">
        <v>3195</v>
      </c>
      <c r="N191" s="8" t="s">
        <v>1890</v>
      </c>
      <c r="O191" s="8" t="s">
        <v>1935</v>
      </c>
      <c r="P191" s="8">
        <v>796</v>
      </c>
      <c r="Q191" s="8" t="s">
        <v>3196</v>
      </c>
      <c r="R191" s="26">
        <v>10</v>
      </c>
      <c r="S191" s="10">
        <v>1416.07</v>
      </c>
      <c r="T191" s="10">
        <f t="shared" si="34"/>
        <v>14160.699999999999</v>
      </c>
      <c r="U191" s="10">
        <f t="shared" si="35"/>
        <v>15859.984</v>
      </c>
      <c r="V191" s="11"/>
      <c r="W191" s="11">
        <v>2015</v>
      </c>
      <c r="X191" s="8"/>
    </row>
    <row r="192" spans="1:24" ht="76.5" customHeight="1" outlineLevel="1" x14ac:dyDescent="0.2">
      <c r="A192" s="1" t="s">
        <v>4307</v>
      </c>
      <c r="B192" s="24" t="s">
        <v>5277</v>
      </c>
      <c r="C192" s="4" t="s">
        <v>3032</v>
      </c>
      <c r="D192" s="4" t="s">
        <v>3033</v>
      </c>
      <c r="E192" s="4" t="s">
        <v>5162</v>
      </c>
      <c r="F192" s="4" t="s">
        <v>5163</v>
      </c>
      <c r="G192" s="4" t="s">
        <v>3190</v>
      </c>
      <c r="H192" s="22">
        <v>0</v>
      </c>
      <c r="I192" s="18">
        <v>710000000</v>
      </c>
      <c r="J192" s="4" t="s">
        <v>1931</v>
      </c>
      <c r="K192" s="4" t="s">
        <v>5297</v>
      </c>
      <c r="L192" s="7" t="s">
        <v>1940</v>
      </c>
      <c r="M192" s="8" t="s">
        <v>3195</v>
      </c>
      <c r="N192" s="8" t="s">
        <v>1890</v>
      </c>
      <c r="O192" s="8" t="s">
        <v>1935</v>
      </c>
      <c r="P192" s="8">
        <v>796</v>
      </c>
      <c r="Q192" s="8" t="s">
        <v>3196</v>
      </c>
      <c r="R192" s="26">
        <f>5+70+15+25+5</f>
        <v>120</v>
      </c>
      <c r="S192" s="10">
        <v>158.93</v>
      </c>
      <c r="T192" s="10">
        <f t="shared" si="34"/>
        <v>19071.600000000002</v>
      </c>
      <c r="U192" s="10">
        <f t="shared" si="35"/>
        <v>21360.192000000003</v>
      </c>
      <c r="V192" s="11"/>
      <c r="W192" s="11">
        <v>2015</v>
      </c>
      <c r="X192" s="8"/>
    </row>
    <row r="193" spans="1:24" ht="102" customHeight="1" outlineLevel="1" x14ac:dyDescent="0.2">
      <c r="A193" s="1" t="s">
        <v>4308</v>
      </c>
      <c r="B193" s="15" t="s">
        <v>5277</v>
      </c>
      <c r="C193" s="16" t="s">
        <v>1446</v>
      </c>
      <c r="D193" s="16" t="s">
        <v>1447</v>
      </c>
      <c r="E193" s="16" t="s">
        <v>1448</v>
      </c>
      <c r="F193" s="16" t="s">
        <v>1449</v>
      </c>
      <c r="G193" s="4" t="s">
        <v>3190</v>
      </c>
      <c r="H193" s="22">
        <v>0.5</v>
      </c>
      <c r="I193" s="18">
        <v>710000000</v>
      </c>
      <c r="J193" s="4" t="s">
        <v>1931</v>
      </c>
      <c r="K193" s="4" t="s">
        <v>5297</v>
      </c>
      <c r="L193" s="7" t="s">
        <v>1708</v>
      </c>
      <c r="M193" s="8" t="s">
        <v>3195</v>
      </c>
      <c r="N193" s="4" t="s">
        <v>1890</v>
      </c>
      <c r="O193" s="8" t="s">
        <v>1935</v>
      </c>
      <c r="P193" s="8">
        <v>796</v>
      </c>
      <c r="Q193" s="8" t="s">
        <v>3196</v>
      </c>
      <c r="R193" s="10">
        <f>1000+100</f>
        <v>1100</v>
      </c>
      <c r="S193" s="19">
        <v>107.15</v>
      </c>
      <c r="T193" s="10">
        <v>0</v>
      </c>
      <c r="U193" s="10">
        <f t="shared" si="0"/>
        <v>0</v>
      </c>
      <c r="V193" s="11" t="s">
        <v>3027</v>
      </c>
      <c r="W193" s="11">
        <v>2015</v>
      </c>
      <c r="X193" s="1" t="s">
        <v>9514</v>
      </c>
    </row>
    <row r="194" spans="1:24" ht="119.25" customHeight="1" outlineLevel="1" x14ac:dyDescent="0.2">
      <c r="A194" s="1" t="s">
        <v>9505</v>
      </c>
      <c r="B194" s="15" t="s">
        <v>5277</v>
      </c>
      <c r="C194" s="16" t="s">
        <v>1446</v>
      </c>
      <c r="D194" s="16" t="s">
        <v>1447</v>
      </c>
      <c r="E194" s="16" t="s">
        <v>1448</v>
      </c>
      <c r="F194" s="16" t="s">
        <v>1449</v>
      </c>
      <c r="G194" s="4" t="s">
        <v>3190</v>
      </c>
      <c r="H194" s="22">
        <v>0.5</v>
      </c>
      <c r="I194" s="18">
        <v>710000000</v>
      </c>
      <c r="J194" s="4" t="s">
        <v>1931</v>
      </c>
      <c r="K194" s="4" t="s">
        <v>9408</v>
      </c>
      <c r="L194" s="7" t="s">
        <v>1708</v>
      </c>
      <c r="M194" s="8" t="s">
        <v>3195</v>
      </c>
      <c r="N194" s="4" t="s">
        <v>1890</v>
      </c>
      <c r="O194" s="8" t="s">
        <v>1935</v>
      </c>
      <c r="P194" s="8">
        <v>796</v>
      </c>
      <c r="Q194" s="8" t="s">
        <v>3196</v>
      </c>
      <c r="R194" s="10">
        <v>1000</v>
      </c>
      <c r="S194" s="19">
        <v>107.15</v>
      </c>
      <c r="T194" s="10">
        <f t="shared" ref="T194" si="36">S194*R194</f>
        <v>107150</v>
      </c>
      <c r="U194" s="10">
        <f t="shared" ref="U194" si="37">T194*1.12</f>
        <v>120008.00000000001</v>
      </c>
      <c r="V194" s="11"/>
      <c r="W194" s="11">
        <v>2015</v>
      </c>
      <c r="X194" s="20"/>
    </row>
    <row r="195" spans="1:24" ht="102" customHeight="1" outlineLevel="1" x14ac:dyDescent="0.2">
      <c r="A195" s="1" t="s">
        <v>4309</v>
      </c>
      <c r="B195" s="15" t="s">
        <v>5277</v>
      </c>
      <c r="C195" s="16" t="s">
        <v>1446</v>
      </c>
      <c r="D195" s="16" t="s">
        <v>1447</v>
      </c>
      <c r="E195" s="16" t="s">
        <v>1448</v>
      </c>
      <c r="F195" s="16" t="s">
        <v>1450</v>
      </c>
      <c r="G195" s="4" t="s">
        <v>3190</v>
      </c>
      <c r="H195" s="22">
        <v>0.5</v>
      </c>
      <c r="I195" s="18">
        <v>710000000</v>
      </c>
      <c r="J195" s="4" t="s">
        <v>1931</v>
      </c>
      <c r="K195" s="4" t="s">
        <v>5297</v>
      </c>
      <c r="L195" s="7" t="s">
        <v>2140</v>
      </c>
      <c r="M195" s="8" t="s">
        <v>3195</v>
      </c>
      <c r="N195" s="4" t="s">
        <v>1890</v>
      </c>
      <c r="O195" s="8" t="s">
        <v>1935</v>
      </c>
      <c r="P195" s="8">
        <v>796</v>
      </c>
      <c r="Q195" s="8" t="s">
        <v>3196</v>
      </c>
      <c r="R195" s="10">
        <v>58</v>
      </c>
      <c r="S195" s="19">
        <v>1030</v>
      </c>
      <c r="T195" s="10">
        <f t="shared" ref="T195:T233" si="38">S195*R195</f>
        <v>59740</v>
      </c>
      <c r="U195" s="10">
        <f t="shared" si="0"/>
        <v>66908.800000000003</v>
      </c>
      <c r="V195" s="11" t="s">
        <v>3027</v>
      </c>
      <c r="W195" s="11">
        <v>2015</v>
      </c>
      <c r="X195" s="20"/>
    </row>
    <row r="196" spans="1:24" ht="76.5" customHeight="1" outlineLevel="1" x14ac:dyDescent="0.2">
      <c r="A196" s="1" t="s">
        <v>4310</v>
      </c>
      <c r="B196" s="24" t="s">
        <v>5277</v>
      </c>
      <c r="C196" s="192" t="s">
        <v>3053</v>
      </c>
      <c r="D196" s="192" t="s">
        <v>5180</v>
      </c>
      <c r="E196" s="18" t="s">
        <v>5339</v>
      </c>
      <c r="F196" s="4" t="s">
        <v>1467</v>
      </c>
      <c r="G196" s="4" t="s">
        <v>3190</v>
      </c>
      <c r="H196" s="22">
        <v>0</v>
      </c>
      <c r="I196" s="18">
        <v>710000000</v>
      </c>
      <c r="J196" s="4" t="s">
        <v>1931</v>
      </c>
      <c r="K196" s="4" t="s">
        <v>5297</v>
      </c>
      <c r="L196" s="7" t="s">
        <v>3040</v>
      </c>
      <c r="M196" s="8" t="s">
        <v>3195</v>
      </c>
      <c r="N196" s="8" t="s">
        <v>1890</v>
      </c>
      <c r="O196" s="8" t="s">
        <v>1935</v>
      </c>
      <c r="P196" s="8">
        <v>796</v>
      </c>
      <c r="Q196" s="8" t="s">
        <v>3196</v>
      </c>
      <c r="R196" s="26">
        <v>4</v>
      </c>
      <c r="S196" s="10">
        <v>93.15</v>
      </c>
      <c r="T196" s="10">
        <f t="shared" si="38"/>
        <v>372.6</v>
      </c>
      <c r="U196" s="10">
        <f t="shared" ref="U196:U238" si="39">T196*1.12</f>
        <v>417.31200000000007</v>
      </c>
      <c r="V196" s="11"/>
      <c r="W196" s="11">
        <v>2015</v>
      </c>
      <c r="X196" s="20"/>
    </row>
    <row r="197" spans="1:24" ht="76.5" customHeight="1" outlineLevel="1" x14ac:dyDescent="0.2">
      <c r="A197" s="1" t="s">
        <v>4311</v>
      </c>
      <c r="B197" s="24" t="s">
        <v>5277</v>
      </c>
      <c r="C197" s="16" t="s">
        <v>3034</v>
      </c>
      <c r="D197" s="16" t="s">
        <v>1421</v>
      </c>
      <c r="E197" s="16" t="s">
        <v>1422</v>
      </c>
      <c r="F197" s="4"/>
      <c r="G197" s="4" t="s">
        <v>3190</v>
      </c>
      <c r="H197" s="22">
        <v>0</v>
      </c>
      <c r="I197" s="18">
        <v>710000000</v>
      </c>
      <c r="J197" s="4" t="s">
        <v>1931</v>
      </c>
      <c r="K197" s="4" t="s">
        <v>5297</v>
      </c>
      <c r="L197" s="7" t="s">
        <v>3040</v>
      </c>
      <c r="M197" s="8" t="s">
        <v>3195</v>
      </c>
      <c r="N197" s="8" t="s">
        <v>1890</v>
      </c>
      <c r="O197" s="8" t="s">
        <v>1935</v>
      </c>
      <c r="P197" s="8">
        <v>796</v>
      </c>
      <c r="Q197" s="8" t="s">
        <v>3196</v>
      </c>
      <c r="R197" s="26">
        <v>3</v>
      </c>
      <c r="S197" s="10">
        <v>219</v>
      </c>
      <c r="T197" s="10">
        <f t="shared" si="38"/>
        <v>657</v>
      </c>
      <c r="U197" s="10">
        <f t="shared" si="39"/>
        <v>735.84</v>
      </c>
      <c r="V197" s="11"/>
      <c r="W197" s="11">
        <v>2015</v>
      </c>
      <c r="X197" s="20"/>
    </row>
    <row r="198" spans="1:24" ht="76.5" customHeight="1" outlineLevel="1" x14ac:dyDescent="0.2">
      <c r="A198" s="1" t="s">
        <v>4312</v>
      </c>
      <c r="B198" s="24" t="s">
        <v>5277</v>
      </c>
      <c r="C198" s="7" t="s">
        <v>3055</v>
      </c>
      <c r="D198" s="7" t="s">
        <v>3056</v>
      </c>
      <c r="E198" s="4" t="s">
        <v>5178</v>
      </c>
      <c r="F198" s="4" t="s">
        <v>5341</v>
      </c>
      <c r="G198" s="4" t="s">
        <v>3190</v>
      </c>
      <c r="H198" s="22">
        <v>0</v>
      </c>
      <c r="I198" s="18">
        <v>710000000</v>
      </c>
      <c r="J198" s="4" t="s">
        <v>1931</v>
      </c>
      <c r="K198" s="4" t="s">
        <v>5297</v>
      </c>
      <c r="L198" s="7" t="s">
        <v>3040</v>
      </c>
      <c r="M198" s="8" t="s">
        <v>3195</v>
      </c>
      <c r="N198" s="8" t="s">
        <v>1890</v>
      </c>
      <c r="O198" s="8" t="s">
        <v>1935</v>
      </c>
      <c r="P198" s="8">
        <v>796</v>
      </c>
      <c r="Q198" s="8" t="s">
        <v>3196</v>
      </c>
      <c r="R198" s="26">
        <v>36</v>
      </c>
      <c r="S198" s="10">
        <v>16.239999999999998</v>
      </c>
      <c r="T198" s="10">
        <f t="shared" si="38"/>
        <v>584.64</v>
      </c>
      <c r="U198" s="10">
        <f t="shared" si="39"/>
        <v>654.79680000000008</v>
      </c>
      <c r="V198" s="11"/>
      <c r="W198" s="11">
        <v>2015</v>
      </c>
      <c r="X198" s="20"/>
    </row>
    <row r="199" spans="1:24" ht="76.5" customHeight="1" outlineLevel="1" x14ac:dyDescent="0.2">
      <c r="A199" s="1" t="s">
        <v>4313</v>
      </c>
      <c r="B199" s="24" t="s">
        <v>5277</v>
      </c>
      <c r="C199" s="16" t="s">
        <v>3035</v>
      </c>
      <c r="D199" s="7" t="s">
        <v>5306</v>
      </c>
      <c r="E199" s="18" t="s">
        <v>5340</v>
      </c>
      <c r="F199" s="4"/>
      <c r="G199" s="4" t="s">
        <v>3190</v>
      </c>
      <c r="H199" s="22">
        <v>0</v>
      </c>
      <c r="I199" s="18">
        <v>710000000</v>
      </c>
      <c r="J199" s="4" t="s">
        <v>1931</v>
      </c>
      <c r="K199" s="4" t="s">
        <v>5297</v>
      </c>
      <c r="L199" s="7" t="s">
        <v>3040</v>
      </c>
      <c r="M199" s="8" t="s">
        <v>3195</v>
      </c>
      <c r="N199" s="8" t="s">
        <v>1890</v>
      </c>
      <c r="O199" s="8" t="s">
        <v>1935</v>
      </c>
      <c r="P199" s="8">
        <v>796</v>
      </c>
      <c r="Q199" s="8" t="s">
        <v>3196</v>
      </c>
      <c r="R199" s="26">
        <v>300</v>
      </c>
      <c r="S199" s="10">
        <v>14</v>
      </c>
      <c r="T199" s="10">
        <f t="shared" si="38"/>
        <v>4200</v>
      </c>
      <c r="U199" s="10">
        <f t="shared" si="39"/>
        <v>4704</v>
      </c>
      <c r="V199" s="11"/>
      <c r="W199" s="11">
        <v>2015</v>
      </c>
      <c r="X199" s="20"/>
    </row>
    <row r="200" spans="1:24" ht="76.5" customHeight="1" outlineLevel="1" x14ac:dyDescent="0.2">
      <c r="A200" s="1" t="s">
        <v>4314</v>
      </c>
      <c r="B200" s="24" t="s">
        <v>5277</v>
      </c>
      <c r="C200" s="16" t="s">
        <v>3032</v>
      </c>
      <c r="D200" s="7" t="s">
        <v>3033</v>
      </c>
      <c r="E200" s="18" t="s">
        <v>5162</v>
      </c>
      <c r="F200" s="4" t="s">
        <v>5163</v>
      </c>
      <c r="G200" s="4" t="s">
        <v>3190</v>
      </c>
      <c r="H200" s="22">
        <v>0</v>
      </c>
      <c r="I200" s="18">
        <v>710000000</v>
      </c>
      <c r="J200" s="4" t="s">
        <v>1931</v>
      </c>
      <c r="K200" s="4" t="s">
        <v>5297</v>
      </c>
      <c r="L200" s="7" t="s">
        <v>3040</v>
      </c>
      <c r="M200" s="8" t="s">
        <v>3195</v>
      </c>
      <c r="N200" s="8" t="s">
        <v>1890</v>
      </c>
      <c r="O200" s="8" t="s">
        <v>1935</v>
      </c>
      <c r="P200" s="8">
        <v>796</v>
      </c>
      <c r="Q200" s="8" t="s">
        <v>3196</v>
      </c>
      <c r="R200" s="26">
        <v>3</v>
      </c>
      <c r="S200" s="10">
        <v>159</v>
      </c>
      <c r="T200" s="10">
        <f t="shared" si="38"/>
        <v>477</v>
      </c>
      <c r="U200" s="10">
        <f t="shared" si="39"/>
        <v>534.24</v>
      </c>
      <c r="V200" s="11"/>
      <c r="W200" s="11">
        <v>2015</v>
      </c>
      <c r="X200" s="20"/>
    </row>
    <row r="201" spans="1:24" ht="76.5" customHeight="1" outlineLevel="1" x14ac:dyDescent="0.2">
      <c r="A201" s="1" t="s">
        <v>4315</v>
      </c>
      <c r="B201" s="24" t="s">
        <v>5277</v>
      </c>
      <c r="C201" s="4" t="s">
        <v>3269</v>
      </c>
      <c r="D201" s="4" t="s">
        <v>3270</v>
      </c>
      <c r="E201" s="18" t="s">
        <v>6440</v>
      </c>
      <c r="F201" s="4"/>
      <c r="G201" s="4" t="s">
        <v>3190</v>
      </c>
      <c r="H201" s="22">
        <v>0</v>
      </c>
      <c r="I201" s="18">
        <v>710000000</v>
      </c>
      <c r="J201" s="4" t="s">
        <v>1931</v>
      </c>
      <c r="K201" s="4" t="s">
        <v>5297</v>
      </c>
      <c r="L201" s="7" t="s">
        <v>5668</v>
      </c>
      <c r="M201" s="8" t="s">
        <v>3195</v>
      </c>
      <c r="N201" s="8" t="s">
        <v>1890</v>
      </c>
      <c r="O201" s="8" t="s">
        <v>1935</v>
      </c>
      <c r="P201" s="8">
        <v>796</v>
      </c>
      <c r="Q201" s="8" t="s">
        <v>3196</v>
      </c>
      <c r="R201" s="26">
        <v>2</v>
      </c>
      <c r="S201" s="10">
        <v>136.19999999999999</v>
      </c>
      <c r="T201" s="10">
        <f t="shared" si="38"/>
        <v>272.39999999999998</v>
      </c>
      <c r="U201" s="10">
        <f t="shared" si="39"/>
        <v>305.08800000000002</v>
      </c>
      <c r="V201" s="11"/>
      <c r="W201" s="11">
        <v>2015</v>
      </c>
      <c r="X201" s="20"/>
    </row>
    <row r="202" spans="1:24" ht="76.5" customHeight="1" outlineLevel="1" x14ac:dyDescent="0.2">
      <c r="A202" s="1" t="s">
        <v>4316</v>
      </c>
      <c r="B202" s="24" t="s">
        <v>5277</v>
      </c>
      <c r="C202" s="4" t="s">
        <v>1468</v>
      </c>
      <c r="D202" s="4" t="s">
        <v>1469</v>
      </c>
      <c r="E202" s="4" t="s">
        <v>1470</v>
      </c>
      <c r="F202" s="4" t="s">
        <v>1471</v>
      </c>
      <c r="G202" s="4" t="s">
        <v>3190</v>
      </c>
      <c r="H202" s="22">
        <v>0</v>
      </c>
      <c r="I202" s="18">
        <v>710000000</v>
      </c>
      <c r="J202" s="4" t="s">
        <v>1931</v>
      </c>
      <c r="K202" s="4" t="s">
        <v>5297</v>
      </c>
      <c r="L202" s="7" t="s">
        <v>5668</v>
      </c>
      <c r="M202" s="8" t="s">
        <v>3195</v>
      </c>
      <c r="N202" s="8" t="s">
        <v>1890</v>
      </c>
      <c r="O202" s="8" t="s">
        <v>1935</v>
      </c>
      <c r="P202" s="8">
        <v>796</v>
      </c>
      <c r="Q202" s="8" t="s">
        <v>3196</v>
      </c>
      <c r="R202" s="26">
        <v>120</v>
      </c>
      <c r="S202" s="10">
        <v>36.31</v>
      </c>
      <c r="T202" s="10">
        <f t="shared" si="38"/>
        <v>4357.2000000000007</v>
      </c>
      <c r="U202" s="10">
        <f t="shared" si="39"/>
        <v>4880.0640000000012</v>
      </c>
      <c r="V202" s="11"/>
      <c r="W202" s="11">
        <v>2015</v>
      </c>
      <c r="X202" s="20"/>
    </row>
    <row r="203" spans="1:24" ht="76.5" customHeight="1" outlineLevel="1" x14ac:dyDescent="0.2">
      <c r="A203" s="1" t="s">
        <v>4317</v>
      </c>
      <c r="B203" s="24" t="s">
        <v>5277</v>
      </c>
      <c r="C203" s="4" t="s">
        <v>1472</v>
      </c>
      <c r="D203" s="4" t="s">
        <v>5180</v>
      </c>
      <c r="E203" s="4" t="s">
        <v>1473</v>
      </c>
      <c r="F203" s="4"/>
      <c r="G203" s="4" t="s">
        <v>3190</v>
      </c>
      <c r="H203" s="22">
        <v>0</v>
      </c>
      <c r="I203" s="18">
        <v>710000000</v>
      </c>
      <c r="J203" s="4" t="s">
        <v>1931</v>
      </c>
      <c r="K203" s="4" t="s">
        <v>5297</v>
      </c>
      <c r="L203" s="7" t="s">
        <v>5668</v>
      </c>
      <c r="M203" s="8" t="s">
        <v>3195</v>
      </c>
      <c r="N203" s="8" t="s">
        <v>1890</v>
      </c>
      <c r="O203" s="8" t="s">
        <v>1935</v>
      </c>
      <c r="P203" s="4">
        <v>5111</v>
      </c>
      <c r="Q203" s="4" t="s">
        <v>5298</v>
      </c>
      <c r="R203" s="26">
        <v>15</v>
      </c>
      <c r="S203" s="10">
        <v>219.82</v>
      </c>
      <c r="T203" s="10">
        <f t="shared" si="38"/>
        <v>3297.2999999999997</v>
      </c>
      <c r="U203" s="10">
        <f t="shared" si="39"/>
        <v>3692.9760000000001</v>
      </c>
      <c r="V203" s="11"/>
      <c r="W203" s="11">
        <v>2015</v>
      </c>
      <c r="X203" s="20"/>
    </row>
    <row r="204" spans="1:24" ht="76.5" customHeight="1" outlineLevel="1" x14ac:dyDescent="0.2">
      <c r="A204" s="1" t="s">
        <v>4318</v>
      </c>
      <c r="B204" s="24" t="s">
        <v>5277</v>
      </c>
      <c r="C204" s="4" t="s">
        <v>1474</v>
      </c>
      <c r="D204" s="4" t="s">
        <v>5180</v>
      </c>
      <c r="E204" s="4" t="s">
        <v>1475</v>
      </c>
      <c r="F204" s="4" t="s">
        <v>5334</v>
      </c>
      <c r="G204" s="4" t="s">
        <v>3190</v>
      </c>
      <c r="H204" s="22">
        <v>0</v>
      </c>
      <c r="I204" s="18">
        <v>710000000</v>
      </c>
      <c r="J204" s="4" t="s">
        <v>1931</v>
      </c>
      <c r="K204" s="4" t="s">
        <v>5297</v>
      </c>
      <c r="L204" s="7" t="s">
        <v>5668</v>
      </c>
      <c r="M204" s="8" t="s">
        <v>3195</v>
      </c>
      <c r="N204" s="8" t="s">
        <v>1890</v>
      </c>
      <c r="O204" s="8" t="s">
        <v>1935</v>
      </c>
      <c r="P204" s="4">
        <v>5111</v>
      </c>
      <c r="Q204" s="4" t="s">
        <v>5298</v>
      </c>
      <c r="R204" s="26">
        <v>12</v>
      </c>
      <c r="S204" s="10">
        <v>70.78</v>
      </c>
      <c r="T204" s="10">
        <f t="shared" si="38"/>
        <v>849.36</v>
      </c>
      <c r="U204" s="10">
        <f t="shared" si="39"/>
        <v>951.28320000000008</v>
      </c>
      <c r="V204" s="11"/>
      <c r="W204" s="11">
        <v>2015</v>
      </c>
      <c r="X204" s="20"/>
    </row>
    <row r="205" spans="1:24" ht="76.5" customHeight="1" outlineLevel="1" x14ac:dyDescent="0.2">
      <c r="A205" s="1" t="s">
        <v>4319</v>
      </c>
      <c r="B205" s="24" t="s">
        <v>5277</v>
      </c>
      <c r="C205" s="4" t="s">
        <v>3273</v>
      </c>
      <c r="D205" s="4" t="s">
        <v>5168</v>
      </c>
      <c r="E205" s="4" t="s">
        <v>5169</v>
      </c>
      <c r="F205" s="4" t="s">
        <v>1476</v>
      </c>
      <c r="G205" s="4" t="s">
        <v>3190</v>
      </c>
      <c r="H205" s="22">
        <v>0</v>
      </c>
      <c r="I205" s="18">
        <v>710000000</v>
      </c>
      <c r="J205" s="4" t="s">
        <v>1931</v>
      </c>
      <c r="K205" s="4" t="s">
        <v>5297</v>
      </c>
      <c r="L205" s="7" t="s">
        <v>5668</v>
      </c>
      <c r="M205" s="8" t="s">
        <v>3195</v>
      </c>
      <c r="N205" s="8" t="s">
        <v>1890</v>
      </c>
      <c r="O205" s="8" t="s">
        <v>1935</v>
      </c>
      <c r="P205" s="8">
        <v>796</v>
      </c>
      <c r="Q205" s="8" t="s">
        <v>3196</v>
      </c>
      <c r="R205" s="26">
        <v>2</v>
      </c>
      <c r="S205" s="10">
        <v>519.72</v>
      </c>
      <c r="T205" s="10">
        <f t="shared" si="38"/>
        <v>1039.44</v>
      </c>
      <c r="U205" s="10">
        <f t="shared" si="39"/>
        <v>1164.1728000000003</v>
      </c>
      <c r="V205" s="11"/>
      <c r="W205" s="11">
        <v>2015</v>
      </c>
      <c r="X205" s="20"/>
    </row>
    <row r="206" spans="1:24" ht="76.5" customHeight="1" outlineLevel="1" x14ac:dyDescent="0.2">
      <c r="A206" s="1" t="s">
        <v>4320</v>
      </c>
      <c r="B206" s="24" t="s">
        <v>5277</v>
      </c>
      <c r="C206" s="4" t="s">
        <v>3261</v>
      </c>
      <c r="D206" s="4" t="s">
        <v>5303</v>
      </c>
      <c r="E206" s="4" t="s">
        <v>5304</v>
      </c>
      <c r="F206" s="4" t="s">
        <v>1477</v>
      </c>
      <c r="G206" s="4" t="s">
        <v>3190</v>
      </c>
      <c r="H206" s="22">
        <v>0</v>
      </c>
      <c r="I206" s="18">
        <v>710000000</v>
      </c>
      <c r="J206" s="4" t="s">
        <v>1931</v>
      </c>
      <c r="K206" s="4" t="s">
        <v>5297</v>
      </c>
      <c r="L206" s="7" t="s">
        <v>5668</v>
      </c>
      <c r="M206" s="8" t="s">
        <v>3195</v>
      </c>
      <c r="N206" s="8" t="s">
        <v>1890</v>
      </c>
      <c r="O206" s="8" t="s">
        <v>1935</v>
      </c>
      <c r="P206" s="8">
        <v>796</v>
      </c>
      <c r="Q206" s="8" t="s">
        <v>3196</v>
      </c>
      <c r="R206" s="26">
        <v>2</v>
      </c>
      <c r="S206" s="10">
        <v>2084.81</v>
      </c>
      <c r="T206" s="10">
        <f t="shared" si="38"/>
        <v>4169.62</v>
      </c>
      <c r="U206" s="10">
        <f t="shared" si="39"/>
        <v>4669.9744000000001</v>
      </c>
      <c r="V206" s="11"/>
      <c r="W206" s="11">
        <v>2015</v>
      </c>
      <c r="X206" s="20"/>
    </row>
    <row r="207" spans="1:24" ht="76.5" customHeight="1" outlineLevel="1" x14ac:dyDescent="0.2">
      <c r="A207" s="1" t="s">
        <v>4321</v>
      </c>
      <c r="B207" s="24" t="s">
        <v>5277</v>
      </c>
      <c r="C207" s="4" t="s">
        <v>1478</v>
      </c>
      <c r="D207" s="4" t="s">
        <v>5185</v>
      </c>
      <c r="E207" s="4" t="s">
        <v>1479</v>
      </c>
      <c r="F207" s="4"/>
      <c r="G207" s="4" t="s">
        <v>3190</v>
      </c>
      <c r="H207" s="22">
        <v>0</v>
      </c>
      <c r="I207" s="18">
        <v>710000000</v>
      </c>
      <c r="J207" s="4" t="s">
        <v>1931</v>
      </c>
      <c r="K207" s="4" t="s">
        <v>5297</v>
      </c>
      <c r="L207" s="7" t="s">
        <v>5668</v>
      </c>
      <c r="M207" s="8" t="s">
        <v>3195</v>
      </c>
      <c r="N207" s="8" t="s">
        <v>1890</v>
      </c>
      <c r="O207" s="8" t="s">
        <v>1935</v>
      </c>
      <c r="P207" s="8">
        <v>796</v>
      </c>
      <c r="Q207" s="8" t="s">
        <v>3196</v>
      </c>
      <c r="R207" s="26">
        <v>150</v>
      </c>
      <c r="S207" s="10">
        <v>4.46</v>
      </c>
      <c r="T207" s="10">
        <f t="shared" si="38"/>
        <v>669</v>
      </c>
      <c r="U207" s="10">
        <f t="shared" si="39"/>
        <v>749.28000000000009</v>
      </c>
      <c r="V207" s="11"/>
      <c r="W207" s="11">
        <v>2015</v>
      </c>
      <c r="X207" s="20"/>
    </row>
    <row r="208" spans="1:24" ht="76.5" customHeight="1" outlineLevel="1" x14ac:dyDescent="0.2">
      <c r="A208" s="1" t="s">
        <v>4322</v>
      </c>
      <c r="B208" s="24" t="s">
        <v>5277</v>
      </c>
      <c r="C208" s="4" t="s">
        <v>1480</v>
      </c>
      <c r="D208" s="4" t="s">
        <v>5185</v>
      </c>
      <c r="E208" s="4" t="s">
        <v>5188</v>
      </c>
      <c r="F208" s="4"/>
      <c r="G208" s="4" t="s">
        <v>3190</v>
      </c>
      <c r="H208" s="22">
        <v>0</v>
      </c>
      <c r="I208" s="18">
        <v>710000000</v>
      </c>
      <c r="J208" s="4" t="s">
        <v>1931</v>
      </c>
      <c r="K208" s="4" t="s">
        <v>5297</v>
      </c>
      <c r="L208" s="7" t="s">
        <v>5668</v>
      </c>
      <c r="M208" s="8" t="s">
        <v>3195</v>
      </c>
      <c r="N208" s="8" t="s">
        <v>1890</v>
      </c>
      <c r="O208" s="8" t="s">
        <v>1935</v>
      </c>
      <c r="P208" s="8">
        <v>796</v>
      </c>
      <c r="Q208" s="8" t="s">
        <v>3196</v>
      </c>
      <c r="R208" s="26">
        <v>50</v>
      </c>
      <c r="S208" s="10">
        <v>7.9</v>
      </c>
      <c r="T208" s="10">
        <f t="shared" si="38"/>
        <v>395</v>
      </c>
      <c r="U208" s="10">
        <f t="shared" si="39"/>
        <v>442.40000000000003</v>
      </c>
      <c r="V208" s="11"/>
      <c r="W208" s="11">
        <v>2015</v>
      </c>
      <c r="X208" s="20"/>
    </row>
    <row r="209" spans="1:24" ht="76.5" customHeight="1" outlineLevel="1" x14ac:dyDescent="0.2">
      <c r="A209" s="1" t="s">
        <v>4323</v>
      </c>
      <c r="B209" s="24" t="s">
        <v>5277</v>
      </c>
      <c r="C209" s="4" t="s">
        <v>1481</v>
      </c>
      <c r="D209" s="4" t="s">
        <v>5185</v>
      </c>
      <c r="E209" s="4" t="s">
        <v>5332</v>
      </c>
      <c r="F209" s="4"/>
      <c r="G209" s="4" t="s">
        <v>3190</v>
      </c>
      <c r="H209" s="22">
        <v>0</v>
      </c>
      <c r="I209" s="18">
        <v>710000000</v>
      </c>
      <c r="J209" s="4" t="s">
        <v>1931</v>
      </c>
      <c r="K209" s="4" t="s">
        <v>5297</v>
      </c>
      <c r="L209" s="7" t="s">
        <v>5668</v>
      </c>
      <c r="M209" s="8" t="s">
        <v>3195</v>
      </c>
      <c r="N209" s="8" t="s">
        <v>1890</v>
      </c>
      <c r="O209" s="8" t="s">
        <v>1935</v>
      </c>
      <c r="P209" s="8">
        <v>796</v>
      </c>
      <c r="Q209" s="8" t="s">
        <v>3196</v>
      </c>
      <c r="R209" s="26">
        <v>50</v>
      </c>
      <c r="S209" s="10">
        <v>11.93</v>
      </c>
      <c r="T209" s="10">
        <f t="shared" si="38"/>
        <v>596.5</v>
      </c>
      <c r="U209" s="10">
        <f t="shared" si="39"/>
        <v>668.08</v>
      </c>
      <c r="V209" s="11"/>
      <c r="W209" s="11">
        <v>2015</v>
      </c>
      <c r="X209" s="20"/>
    </row>
    <row r="210" spans="1:24" ht="76.5" customHeight="1" outlineLevel="1" x14ac:dyDescent="0.2">
      <c r="A210" s="1" t="s">
        <v>4324</v>
      </c>
      <c r="B210" s="24" t="s">
        <v>5277</v>
      </c>
      <c r="C210" s="4" t="s">
        <v>3302</v>
      </c>
      <c r="D210" s="4" t="s">
        <v>5209</v>
      </c>
      <c r="E210" s="4" t="s">
        <v>5211</v>
      </c>
      <c r="F210" s="4" t="s">
        <v>1482</v>
      </c>
      <c r="G210" s="4" t="s">
        <v>3190</v>
      </c>
      <c r="H210" s="22">
        <v>0</v>
      </c>
      <c r="I210" s="18">
        <v>710000000</v>
      </c>
      <c r="J210" s="4" t="s">
        <v>1931</v>
      </c>
      <c r="K210" s="4" t="s">
        <v>5297</v>
      </c>
      <c r="L210" s="7" t="s">
        <v>5668</v>
      </c>
      <c r="M210" s="8" t="s">
        <v>3195</v>
      </c>
      <c r="N210" s="8" t="s">
        <v>1890</v>
      </c>
      <c r="O210" s="8" t="s">
        <v>1935</v>
      </c>
      <c r="P210" s="8">
        <v>796</v>
      </c>
      <c r="Q210" s="8" t="s">
        <v>3196</v>
      </c>
      <c r="R210" s="26">
        <v>2</v>
      </c>
      <c r="S210" s="10">
        <v>522.65</v>
      </c>
      <c r="T210" s="10">
        <f t="shared" si="38"/>
        <v>1045.3</v>
      </c>
      <c r="U210" s="10">
        <f t="shared" si="39"/>
        <v>1170.7360000000001</v>
      </c>
      <c r="V210" s="11"/>
      <c r="W210" s="11">
        <v>2015</v>
      </c>
      <c r="X210" s="20"/>
    </row>
    <row r="211" spans="1:24" ht="76.5" customHeight="1" outlineLevel="1" x14ac:dyDescent="0.2">
      <c r="A211" s="1" t="s">
        <v>4325</v>
      </c>
      <c r="B211" s="24" t="s">
        <v>5277</v>
      </c>
      <c r="C211" s="4" t="s">
        <v>3277</v>
      </c>
      <c r="D211" s="4" t="s">
        <v>5176</v>
      </c>
      <c r="E211" s="4" t="s">
        <v>5177</v>
      </c>
      <c r="F211" s="4"/>
      <c r="G211" s="4" t="s">
        <v>3190</v>
      </c>
      <c r="H211" s="22">
        <v>0</v>
      </c>
      <c r="I211" s="18">
        <v>710000000</v>
      </c>
      <c r="J211" s="4" t="s">
        <v>1931</v>
      </c>
      <c r="K211" s="4" t="s">
        <v>5297</v>
      </c>
      <c r="L211" s="7" t="s">
        <v>5668</v>
      </c>
      <c r="M211" s="8" t="s">
        <v>3195</v>
      </c>
      <c r="N211" s="8" t="s">
        <v>1890</v>
      </c>
      <c r="O211" s="8" t="s">
        <v>1935</v>
      </c>
      <c r="P211" s="8">
        <v>796</v>
      </c>
      <c r="Q211" s="8" t="s">
        <v>3196</v>
      </c>
      <c r="R211" s="26">
        <v>2</v>
      </c>
      <c r="S211" s="10">
        <v>3176.26</v>
      </c>
      <c r="T211" s="10">
        <f t="shared" si="38"/>
        <v>6352.52</v>
      </c>
      <c r="U211" s="10">
        <f t="shared" si="39"/>
        <v>7114.8224000000009</v>
      </c>
      <c r="V211" s="11"/>
      <c r="W211" s="11">
        <v>2015</v>
      </c>
      <c r="X211" s="20"/>
    </row>
    <row r="212" spans="1:24" ht="76.5" customHeight="1" outlineLevel="1" x14ac:dyDescent="0.2">
      <c r="A212" s="1" t="s">
        <v>4326</v>
      </c>
      <c r="B212" s="24" t="s">
        <v>5277</v>
      </c>
      <c r="C212" s="190" t="s">
        <v>1555</v>
      </c>
      <c r="D212" s="190" t="s">
        <v>1556</v>
      </c>
      <c r="E212" s="190" t="s">
        <v>1557</v>
      </c>
      <c r="F212" s="4" t="s">
        <v>1483</v>
      </c>
      <c r="G212" s="4" t="s">
        <v>3190</v>
      </c>
      <c r="H212" s="22">
        <v>0</v>
      </c>
      <c r="I212" s="18">
        <v>710000000</v>
      </c>
      <c r="J212" s="4" t="s">
        <v>1931</v>
      </c>
      <c r="K212" s="4" t="s">
        <v>5297</v>
      </c>
      <c r="L212" s="7" t="s">
        <v>5668</v>
      </c>
      <c r="M212" s="8" t="s">
        <v>3195</v>
      </c>
      <c r="N212" s="8" t="s">
        <v>1890</v>
      </c>
      <c r="O212" s="8" t="s">
        <v>1935</v>
      </c>
      <c r="P212" s="8">
        <v>796</v>
      </c>
      <c r="Q212" s="8" t="s">
        <v>3196</v>
      </c>
      <c r="R212" s="26">
        <v>4</v>
      </c>
      <c r="S212" s="10">
        <v>20.66</v>
      </c>
      <c r="T212" s="10">
        <f t="shared" si="38"/>
        <v>82.64</v>
      </c>
      <c r="U212" s="10">
        <f t="shared" si="39"/>
        <v>92.55680000000001</v>
      </c>
      <c r="V212" s="11"/>
      <c r="W212" s="11">
        <v>2015</v>
      </c>
      <c r="X212" s="20"/>
    </row>
    <row r="213" spans="1:24" ht="76.5" customHeight="1" outlineLevel="1" x14ac:dyDescent="0.2">
      <c r="A213" s="1" t="s">
        <v>4327</v>
      </c>
      <c r="B213" s="24" t="s">
        <v>5277</v>
      </c>
      <c r="C213" s="4" t="s">
        <v>1484</v>
      </c>
      <c r="D213" s="4" t="s">
        <v>1421</v>
      </c>
      <c r="E213" s="4" t="s">
        <v>1485</v>
      </c>
      <c r="F213" s="4"/>
      <c r="G213" s="4" t="s">
        <v>3190</v>
      </c>
      <c r="H213" s="22">
        <v>0</v>
      </c>
      <c r="I213" s="18">
        <v>710000000</v>
      </c>
      <c r="J213" s="4" t="s">
        <v>1931</v>
      </c>
      <c r="K213" s="4" t="s">
        <v>5297</v>
      </c>
      <c r="L213" s="7" t="s">
        <v>5668</v>
      </c>
      <c r="M213" s="8" t="s">
        <v>3195</v>
      </c>
      <c r="N213" s="8" t="s">
        <v>1890</v>
      </c>
      <c r="O213" s="8" t="s">
        <v>1935</v>
      </c>
      <c r="P213" s="8">
        <v>796</v>
      </c>
      <c r="Q213" s="8" t="s">
        <v>3196</v>
      </c>
      <c r="R213" s="26">
        <v>10</v>
      </c>
      <c r="S213" s="10">
        <v>48.09</v>
      </c>
      <c r="T213" s="10">
        <f t="shared" si="38"/>
        <v>480.90000000000003</v>
      </c>
      <c r="U213" s="10">
        <f t="shared" si="39"/>
        <v>538.60800000000006</v>
      </c>
      <c r="V213" s="11"/>
      <c r="W213" s="11">
        <v>2015</v>
      </c>
      <c r="X213" s="20"/>
    </row>
    <row r="214" spans="1:24" ht="76.5" customHeight="1" outlineLevel="1" x14ac:dyDescent="0.2">
      <c r="A214" s="1" t="s">
        <v>4328</v>
      </c>
      <c r="B214" s="24" t="s">
        <v>5277</v>
      </c>
      <c r="C214" s="4" t="s">
        <v>1486</v>
      </c>
      <c r="D214" s="4" t="s">
        <v>1487</v>
      </c>
      <c r="E214" s="4" t="s">
        <v>1488</v>
      </c>
      <c r="F214" s="4" t="s">
        <v>1489</v>
      </c>
      <c r="G214" s="4" t="s">
        <v>3190</v>
      </c>
      <c r="H214" s="22">
        <v>0</v>
      </c>
      <c r="I214" s="18">
        <v>710000000</v>
      </c>
      <c r="J214" s="4" t="s">
        <v>1931</v>
      </c>
      <c r="K214" s="4" t="s">
        <v>5297</v>
      </c>
      <c r="L214" s="7" t="s">
        <v>5668</v>
      </c>
      <c r="M214" s="8" t="s">
        <v>3195</v>
      </c>
      <c r="N214" s="8" t="s">
        <v>1890</v>
      </c>
      <c r="O214" s="8" t="s">
        <v>1935</v>
      </c>
      <c r="P214" s="8">
        <v>796</v>
      </c>
      <c r="Q214" s="8" t="s">
        <v>3196</v>
      </c>
      <c r="R214" s="26">
        <v>12</v>
      </c>
      <c r="S214" s="10">
        <v>356.31</v>
      </c>
      <c r="T214" s="10">
        <f t="shared" si="38"/>
        <v>4275.72</v>
      </c>
      <c r="U214" s="10">
        <f t="shared" si="39"/>
        <v>4788.8064000000004</v>
      </c>
      <c r="V214" s="11"/>
      <c r="W214" s="11">
        <v>2015</v>
      </c>
      <c r="X214" s="20"/>
    </row>
    <row r="215" spans="1:24" ht="76.5" customHeight="1" outlineLevel="1" x14ac:dyDescent="0.2">
      <c r="A215" s="1" t="s">
        <v>4329</v>
      </c>
      <c r="B215" s="24" t="s">
        <v>5277</v>
      </c>
      <c r="C215" s="4" t="s">
        <v>1486</v>
      </c>
      <c r="D215" s="4" t="s">
        <v>1487</v>
      </c>
      <c r="E215" s="4" t="s">
        <v>1488</v>
      </c>
      <c r="F215" s="4" t="s">
        <v>1490</v>
      </c>
      <c r="G215" s="4" t="s">
        <v>3190</v>
      </c>
      <c r="H215" s="22">
        <v>0</v>
      </c>
      <c r="I215" s="18">
        <v>710000000</v>
      </c>
      <c r="J215" s="4" t="s">
        <v>1931</v>
      </c>
      <c r="K215" s="4" t="s">
        <v>5297</v>
      </c>
      <c r="L215" s="7" t="s">
        <v>5668</v>
      </c>
      <c r="M215" s="8" t="s">
        <v>3195</v>
      </c>
      <c r="N215" s="8" t="s">
        <v>1890</v>
      </c>
      <c r="O215" s="8" t="s">
        <v>1935</v>
      </c>
      <c r="P215" s="8">
        <v>796</v>
      </c>
      <c r="Q215" s="8" t="s">
        <v>3196</v>
      </c>
      <c r="R215" s="26">
        <v>2</v>
      </c>
      <c r="S215" s="10">
        <v>356.31</v>
      </c>
      <c r="T215" s="10">
        <f t="shared" si="38"/>
        <v>712.62</v>
      </c>
      <c r="U215" s="10">
        <f t="shared" si="39"/>
        <v>798.13440000000003</v>
      </c>
      <c r="V215" s="11"/>
      <c r="W215" s="11">
        <v>2015</v>
      </c>
      <c r="X215" s="20"/>
    </row>
    <row r="216" spans="1:24" ht="76.5" customHeight="1" outlineLevel="1" x14ac:dyDescent="0.2">
      <c r="A216" s="1" t="s">
        <v>4330</v>
      </c>
      <c r="B216" s="24" t="s">
        <v>5277</v>
      </c>
      <c r="C216" s="4" t="s">
        <v>3128</v>
      </c>
      <c r="D216" s="4" t="s">
        <v>5637</v>
      </c>
      <c r="E216" s="4" t="s">
        <v>5638</v>
      </c>
      <c r="F216" s="4" t="s">
        <v>1491</v>
      </c>
      <c r="G216" s="4" t="s">
        <v>3190</v>
      </c>
      <c r="H216" s="22">
        <v>0</v>
      </c>
      <c r="I216" s="18">
        <v>710000000</v>
      </c>
      <c r="J216" s="4" t="s">
        <v>1931</v>
      </c>
      <c r="K216" s="4" t="s">
        <v>5297</v>
      </c>
      <c r="L216" s="7" t="s">
        <v>5668</v>
      </c>
      <c r="M216" s="8" t="s">
        <v>3195</v>
      </c>
      <c r="N216" s="8" t="s">
        <v>1890</v>
      </c>
      <c r="O216" s="8" t="s">
        <v>1935</v>
      </c>
      <c r="P216" s="8">
        <v>796</v>
      </c>
      <c r="Q216" s="8" t="s">
        <v>3196</v>
      </c>
      <c r="R216" s="26">
        <v>2</v>
      </c>
      <c r="S216" s="10">
        <v>687.64</v>
      </c>
      <c r="T216" s="10">
        <f t="shared" si="38"/>
        <v>1375.28</v>
      </c>
      <c r="U216" s="10">
        <f t="shared" si="39"/>
        <v>1540.3136000000002</v>
      </c>
      <c r="V216" s="11"/>
      <c r="W216" s="11">
        <v>2015</v>
      </c>
      <c r="X216" s="20"/>
    </row>
    <row r="217" spans="1:24" ht="76.5" customHeight="1" outlineLevel="1" x14ac:dyDescent="0.2">
      <c r="A217" s="1" t="s">
        <v>4331</v>
      </c>
      <c r="B217" s="24" t="s">
        <v>5277</v>
      </c>
      <c r="C217" s="4" t="s">
        <v>3274</v>
      </c>
      <c r="D217" s="4" t="s">
        <v>5170</v>
      </c>
      <c r="E217" s="4" t="s">
        <v>5171</v>
      </c>
      <c r="F217" s="4" t="s">
        <v>1492</v>
      </c>
      <c r="G217" s="4" t="s">
        <v>3190</v>
      </c>
      <c r="H217" s="22">
        <v>0</v>
      </c>
      <c r="I217" s="18">
        <v>710000000</v>
      </c>
      <c r="J217" s="4" t="s">
        <v>1931</v>
      </c>
      <c r="K217" s="4" t="s">
        <v>5297</v>
      </c>
      <c r="L217" s="7" t="s">
        <v>5668</v>
      </c>
      <c r="M217" s="8" t="s">
        <v>3195</v>
      </c>
      <c r="N217" s="8" t="s">
        <v>1890</v>
      </c>
      <c r="O217" s="8" t="s">
        <v>1935</v>
      </c>
      <c r="P217" s="8">
        <v>796</v>
      </c>
      <c r="Q217" s="8" t="s">
        <v>3196</v>
      </c>
      <c r="R217" s="26">
        <v>4</v>
      </c>
      <c r="S217" s="10">
        <v>17</v>
      </c>
      <c r="T217" s="10">
        <f t="shared" si="38"/>
        <v>68</v>
      </c>
      <c r="U217" s="10">
        <f t="shared" si="39"/>
        <v>76.160000000000011</v>
      </c>
      <c r="V217" s="11"/>
      <c r="W217" s="11">
        <v>2015</v>
      </c>
      <c r="X217" s="20"/>
    </row>
    <row r="218" spans="1:24" ht="76.5" customHeight="1" outlineLevel="1" x14ac:dyDescent="0.2">
      <c r="A218" s="1" t="s">
        <v>4332</v>
      </c>
      <c r="B218" s="24" t="s">
        <v>5277</v>
      </c>
      <c r="C218" s="4" t="s">
        <v>3271</v>
      </c>
      <c r="D218" s="4" t="s">
        <v>5158</v>
      </c>
      <c r="E218" s="4" t="s">
        <v>1430</v>
      </c>
      <c r="F218" s="4"/>
      <c r="G218" s="4" t="s">
        <v>3190</v>
      </c>
      <c r="H218" s="22">
        <v>0</v>
      </c>
      <c r="I218" s="18">
        <v>710000000</v>
      </c>
      <c r="J218" s="4" t="s">
        <v>1931</v>
      </c>
      <c r="K218" s="4" t="s">
        <v>5297</v>
      </c>
      <c r="L218" s="7" t="s">
        <v>5668</v>
      </c>
      <c r="M218" s="8" t="s">
        <v>3195</v>
      </c>
      <c r="N218" s="8" t="s">
        <v>1890</v>
      </c>
      <c r="O218" s="8" t="s">
        <v>1935</v>
      </c>
      <c r="P218" s="8">
        <v>796</v>
      </c>
      <c r="Q218" s="8" t="s">
        <v>3196</v>
      </c>
      <c r="R218" s="26">
        <v>2</v>
      </c>
      <c r="S218" s="10">
        <v>60</v>
      </c>
      <c r="T218" s="10">
        <f t="shared" si="38"/>
        <v>120</v>
      </c>
      <c r="U218" s="10">
        <f t="shared" si="39"/>
        <v>134.4</v>
      </c>
      <c r="V218" s="11"/>
      <c r="W218" s="11">
        <v>2015</v>
      </c>
      <c r="X218" s="20"/>
    </row>
    <row r="219" spans="1:24" ht="76.5" customHeight="1" outlineLevel="1" x14ac:dyDescent="0.2">
      <c r="A219" s="1" t="s">
        <v>4333</v>
      </c>
      <c r="B219" s="24" t="s">
        <v>5277</v>
      </c>
      <c r="C219" s="4" t="s">
        <v>3286</v>
      </c>
      <c r="D219" s="4" t="s">
        <v>5182</v>
      </c>
      <c r="E219" s="4" t="s">
        <v>5183</v>
      </c>
      <c r="F219" s="4" t="s">
        <v>1493</v>
      </c>
      <c r="G219" s="4" t="s">
        <v>3190</v>
      </c>
      <c r="H219" s="22">
        <v>0</v>
      </c>
      <c r="I219" s="18">
        <v>710000000</v>
      </c>
      <c r="J219" s="4" t="s">
        <v>1931</v>
      </c>
      <c r="K219" s="4" t="s">
        <v>5297</v>
      </c>
      <c r="L219" s="7" t="s">
        <v>5668</v>
      </c>
      <c r="M219" s="8" t="s">
        <v>3195</v>
      </c>
      <c r="N219" s="8" t="s">
        <v>1890</v>
      </c>
      <c r="O219" s="8" t="s">
        <v>1935</v>
      </c>
      <c r="P219" s="8">
        <v>796</v>
      </c>
      <c r="Q219" s="8" t="s">
        <v>3196</v>
      </c>
      <c r="R219" s="26">
        <v>2</v>
      </c>
      <c r="S219" s="26">
        <v>2192.98</v>
      </c>
      <c r="T219" s="10">
        <f t="shared" si="38"/>
        <v>4385.96</v>
      </c>
      <c r="U219" s="10">
        <f t="shared" si="39"/>
        <v>4912.275200000001</v>
      </c>
      <c r="V219" s="11"/>
      <c r="W219" s="11">
        <v>2015</v>
      </c>
      <c r="X219" s="20"/>
    </row>
    <row r="220" spans="1:24" ht="76.5" customHeight="1" outlineLevel="1" x14ac:dyDescent="0.2">
      <c r="A220" s="1" t="s">
        <v>4334</v>
      </c>
      <c r="B220" s="24" t="s">
        <v>5277</v>
      </c>
      <c r="C220" s="4" t="s">
        <v>3287</v>
      </c>
      <c r="D220" s="4" t="s">
        <v>5182</v>
      </c>
      <c r="E220" s="4" t="s">
        <v>5184</v>
      </c>
      <c r="F220" s="4" t="s">
        <v>1494</v>
      </c>
      <c r="G220" s="4" t="s">
        <v>3190</v>
      </c>
      <c r="H220" s="22">
        <v>0</v>
      </c>
      <c r="I220" s="18">
        <v>710000000</v>
      </c>
      <c r="J220" s="4" t="s">
        <v>1931</v>
      </c>
      <c r="K220" s="4" t="s">
        <v>5297</v>
      </c>
      <c r="L220" s="7" t="s">
        <v>5668</v>
      </c>
      <c r="M220" s="8" t="s">
        <v>3195</v>
      </c>
      <c r="N220" s="8" t="s">
        <v>1890</v>
      </c>
      <c r="O220" s="8" t="s">
        <v>1935</v>
      </c>
      <c r="P220" s="8">
        <v>796</v>
      </c>
      <c r="Q220" s="8" t="s">
        <v>3196</v>
      </c>
      <c r="R220" s="26">
        <v>2</v>
      </c>
      <c r="S220" s="26">
        <v>550</v>
      </c>
      <c r="T220" s="10">
        <f t="shared" si="38"/>
        <v>1100</v>
      </c>
      <c r="U220" s="10">
        <f t="shared" si="39"/>
        <v>1232.0000000000002</v>
      </c>
      <c r="V220" s="11"/>
      <c r="W220" s="11">
        <v>2015</v>
      </c>
      <c r="X220" s="20"/>
    </row>
    <row r="221" spans="1:24" ht="76.5" customHeight="1" outlineLevel="1" x14ac:dyDescent="0.2">
      <c r="A221" s="1" t="s">
        <v>4335</v>
      </c>
      <c r="B221" s="24" t="s">
        <v>5277</v>
      </c>
      <c r="C221" s="4" t="s">
        <v>1435</v>
      </c>
      <c r="D221" s="4" t="s">
        <v>3294</v>
      </c>
      <c r="E221" s="4" t="s">
        <v>1436</v>
      </c>
      <c r="F221" s="4" t="s">
        <v>1495</v>
      </c>
      <c r="G221" s="4" t="s">
        <v>3190</v>
      </c>
      <c r="H221" s="22">
        <v>0</v>
      </c>
      <c r="I221" s="18">
        <v>710000000</v>
      </c>
      <c r="J221" s="4" t="s">
        <v>1931</v>
      </c>
      <c r="K221" s="4" t="s">
        <v>5297</v>
      </c>
      <c r="L221" s="7" t="s">
        <v>5668</v>
      </c>
      <c r="M221" s="8" t="s">
        <v>3195</v>
      </c>
      <c r="N221" s="8" t="s">
        <v>1890</v>
      </c>
      <c r="O221" s="8" t="s">
        <v>1935</v>
      </c>
      <c r="P221" s="8">
        <v>704</v>
      </c>
      <c r="Q221" s="8" t="s">
        <v>5196</v>
      </c>
      <c r="R221" s="26">
        <v>2</v>
      </c>
      <c r="S221" s="10">
        <v>222</v>
      </c>
      <c r="T221" s="10">
        <f t="shared" si="38"/>
        <v>444</v>
      </c>
      <c r="U221" s="10">
        <f t="shared" si="39"/>
        <v>497.28000000000003</v>
      </c>
      <c r="V221" s="11"/>
      <c r="W221" s="11">
        <v>2015</v>
      </c>
      <c r="X221" s="20"/>
    </row>
    <row r="222" spans="1:24" ht="76.5" customHeight="1" outlineLevel="1" x14ac:dyDescent="0.2">
      <c r="A222" s="1" t="s">
        <v>4336</v>
      </c>
      <c r="B222" s="24" t="s">
        <v>5277</v>
      </c>
      <c r="C222" s="4" t="s">
        <v>3304</v>
      </c>
      <c r="D222" s="4" t="s">
        <v>5197</v>
      </c>
      <c r="E222" s="4" t="s">
        <v>5333</v>
      </c>
      <c r="F222" s="4" t="s">
        <v>1496</v>
      </c>
      <c r="G222" s="4" t="s">
        <v>3190</v>
      </c>
      <c r="H222" s="22">
        <v>0</v>
      </c>
      <c r="I222" s="18">
        <v>710000000</v>
      </c>
      <c r="J222" s="4" t="s">
        <v>1931</v>
      </c>
      <c r="K222" s="4" t="s">
        <v>5297</v>
      </c>
      <c r="L222" s="7" t="s">
        <v>5668</v>
      </c>
      <c r="M222" s="8" t="s">
        <v>3195</v>
      </c>
      <c r="N222" s="8" t="s">
        <v>1890</v>
      </c>
      <c r="O222" s="8" t="s">
        <v>1935</v>
      </c>
      <c r="P222" s="8">
        <v>796</v>
      </c>
      <c r="Q222" s="8" t="s">
        <v>3196</v>
      </c>
      <c r="R222" s="26">
        <v>1</v>
      </c>
      <c r="S222" s="10">
        <v>1050</v>
      </c>
      <c r="T222" s="10">
        <f t="shared" si="38"/>
        <v>1050</v>
      </c>
      <c r="U222" s="10">
        <f t="shared" si="39"/>
        <v>1176</v>
      </c>
      <c r="V222" s="11"/>
      <c r="W222" s="11">
        <v>2015</v>
      </c>
      <c r="X222" s="20"/>
    </row>
    <row r="223" spans="1:24" ht="76.5" customHeight="1" outlineLevel="1" x14ac:dyDescent="0.2">
      <c r="A223" s="1" t="s">
        <v>4337</v>
      </c>
      <c r="B223" s="24" t="s">
        <v>5277</v>
      </c>
      <c r="C223" s="4" t="s">
        <v>3290</v>
      </c>
      <c r="D223" s="4" t="s">
        <v>5189</v>
      </c>
      <c r="E223" s="4" t="s">
        <v>5190</v>
      </c>
      <c r="F223" s="4" t="s">
        <v>1497</v>
      </c>
      <c r="G223" s="4" t="s">
        <v>3190</v>
      </c>
      <c r="H223" s="22">
        <v>0</v>
      </c>
      <c r="I223" s="18">
        <v>710000000</v>
      </c>
      <c r="J223" s="4" t="s">
        <v>1931</v>
      </c>
      <c r="K223" s="4" t="s">
        <v>5297</v>
      </c>
      <c r="L223" s="7" t="s">
        <v>5668</v>
      </c>
      <c r="M223" s="8" t="s">
        <v>3195</v>
      </c>
      <c r="N223" s="8" t="s">
        <v>1890</v>
      </c>
      <c r="O223" s="8" t="s">
        <v>1935</v>
      </c>
      <c r="P223" s="8">
        <v>796</v>
      </c>
      <c r="Q223" s="8" t="s">
        <v>3196</v>
      </c>
      <c r="R223" s="26">
        <v>2</v>
      </c>
      <c r="S223" s="10">
        <v>227.5</v>
      </c>
      <c r="T223" s="10">
        <f t="shared" si="38"/>
        <v>455</v>
      </c>
      <c r="U223" s="10">
        <f t="shared" si="39"/>
        <v>509.6</v>
      </c>
      <c r="V223" s="11"/>
      <c r="W223" s="11">
        <v>2015</v>
      </c>
      <c r="X223" s="20"/>
    </row>
    <row r="224" spans="1:24" ht="76.5" customHeight="1" outlineLevel="1" x14ac:dyDescent="0.2">
      <c r="A224" s="1" t="s">
        <v>4338</v>
      </c>
      <c r="B224" s="24" t="s">
        <v>5277</v>
      </c>
      <c r="C224" s="4" t="s">
        <v>3276</v>
      </c>
      <c r="D224" s="4" t="s">
        <v>5174</v>
      </c>
      <c r="E224" s="4" t="s">
        <v>5175</v>
      </c>
      <c r="F224" s="4"/>
      <c r="G224" s="4" t="s">
        <v>3190</v>
      </c>
      <c r="H224" s="22">
        <v>0</v>
      </c>
      <c r="I224" s="18">
        <v>710000000</v>
      </c>
      <c r="J224" s="4" t="s">
        <v>1931</v>
      </c>
      <c r="K224" s="4" t="s">
        <v>5297</v>
      </c>
      <c r="L224" s="7" t="s">
        <v>5668</v>
      </c>
      <c r="M224" s="8" t="s">
        <v>3195</v>
      </c>
      <c r="N224" s="8" t="s">
        <v>1890</v>
      </c>
      <c r="O224" s="8" t="s">
        <v>1935</v>
      </c>
      <c r="P224" s="8">
        <v>796</v>
      </c>
      <c r="Q224" s="8" t="s">
        <v>3196</v>
      </c>
      <c r="R224" s="26">
        <v>2</v>
      </c>
      <c r="S224" s="10">
        <v>235.5</v>
      </c>
      <c r="T224" s="10">
        <f t="shared" si="38"/>
        <v>471</v>
      </c>
      <c r="U224" s="10">
        <f t="shared" si="39"/>
        <v>527.5200000000001</v>
      </c>
      <c r="V224" s="11"/>
      <c r="W224" s="11">
        <v>2015</v>
      </c>
      <c r="X224" s="20"/>
    </row>
    <row r="225" spans="1:24" ht="76.5" customHeight="1" outlineLevel="1" x14ac:dyDescent="0.2">
      <c r="A225" s="1" t="s">
        <v>4339</v>
      </c>
      <c r="B225" s="24" t="s">
        <v>5277</v>
      </c>
      <c r="C225" s="4" t="s">
        <v>1498</v>
      </c>
      <c r="D225" s="4" t="s">
        <v>3054</v>
      </c>
      <c r="E225" s="4" t="s">
        <v>1499</v>
      </c>
      <c r="F225" s="4"/>
      <c r="G225" s="4" t="s">
        <v>3190</v>
      </c>
      <c r="H225" s="22">
        <v>0</v>
      </c>
      <c r="I225" s="18">
        <v>710000000</v>
      </c>
      <c r="J225" s="4" t="s">
        <v>1931</v>
      </c>
      <c r="K225" s="4" t="s">
        <v>5297</v>
      </c>
      <c r="L225" s="7" t="s">
        <v>5668</v>
      </c>
      <c r="M225" s="8" t="s">
        <v>3195</v>
      </c>
      <c r="N225" s="8" t="s">
        <v>1890</v>
      </c>
      <c r="O225" s="8" t="s">
        <v>1935</v>
      </c>
      <c r="P225" s="8">
        <v>796</v>
      </c>
      <c r="Q225" s="8" t="s">
        <v>3196</v>
      </c>
      <c r="R225" s="26">
        <v>2</v>
      </c>
      <c r="S225" s="10">
        <v>288.83</v>
      </c>
      <c r="T225" s="10">
        <f t="shared" si="38"/>
        <v>577.66</v>
      </c>
      <c r="U225" s="10">
        <f t="shared" si="39"/>
        <v>646.97919999999999</v>
      </c>
      <c r="V225" s="11"/>
      <c r="W225" s="11">
        <v>2015</v>
      </c>
      <c r="X225" s="20"/>
    </row>
    <row r="226" spans="1:24" ht="76.5" customHeight="1" outlineLevel="1" x14ac:dyDescent="0.2">
      <c r="A226" s="1" t="s">
        <v>4340</v>
      </c>
      <c r="B226" s="24" t="s">
        <v>5277</v>
      </c>
      <c r="C226" s="4" t="s">
        <v>1500</v>
      </c>
      <c r="D226" s="4" t="s">
        <v>3054</v>
      </c>
      <c r="E226" s="4" t="s">
        <v>1501</v>
      </c>
      <c r="F226" s="4"/>
      <c r="G226" s="4" t="s">
        <v>3190</v>
      </c>
      <c r="H226" s="22">
        <v>0</v>
      </c>
      <c r="I226" s="18">
        <v>710000000</v>
      </c>
      <c r="J226" s="4" t="s">
        <v>1931</v>
      </c>
      <c r="K226" s="4" t="s">
        <v>5297</v>
      </c>
      <c r="L226" s="7" t="s">
        <v>5668</v>
      </c>
      <c r="M226" s="8" t="s">
        <v>3195</v>
      </c>
      <c r="N226" s="8" t="s">
        <v>1890</v>
      </c>
      <c r="O226" s="8" t="s">
        <v>1935</v>
      </c>
      <c r="P226" s="8">
        <v>796</v>
      </c>
      <c r="Q226" s="8" t="s">
        <v>3196</v>
      </c>
      <c r="R226" s="26">
        <v>2</v>
      </c>
      <c r="S226" s="10">
        <v>308.95999999999998</v>
      </c>
      <c r="T226" s="10">
        <f t="shared" si="38"/>
        <v>617.91999999999996</v>
      </c>
      <c r="U226" s="10">
        <f t="shared" si="39"/>
        <v>692.07040000000006</v>
      </c>
      <c r="V226" s="11"/>
      <c r="W226" s="11">
        <v>2015</v>
      </c>
      <c r="X226" s="20"/>
    </row>
    <row r="227" spans="1:24" ht="76.5" customHeight="1" outlineLevel="1" x14ac:dyDescent="0.2">
      <c r="A227" s="1" t="s">
        <v>4341</v>
      </c>
      <c r="B227" s="24" t="s">
        <v>5277</v>
      </c>
      <c r="C227" s="4" t="s">
        <v>1502</v>
      </c>
      <c r="D227" s="4" t="s">
        <v>3054</v>
      </c>
      <c r="E227" s="4" t="s">
        <v>1503</v>
      </c>
      <c r="F227" s="4" t="s">
        <v>1504</v>
      </c>
      <c r="G227" s="4" t="s">
        <v>3190</v>
      </c>
      <c r="H227" s="22">
        <v>0</v>
      </c>
      <c r="I227" s="18">
        <v>710000000</v>
      </c>
      <c r="J227" s="4" t="s">
        <v>1931</v>
      </c>
      <c r="K227" s="4" t="s">
        <v>5297</v>
      </c>
      <c r="L227" s="7" t="s">
        <v>5668</v>
      </c>
      <c r="M227" s="8" t="s">
        <v>3195</v>
      </c>
      <c r="N227" s="8" t="s">
        <v>1890</v>
      </c>
      <c r="O227" s="8" t="s">
        <v>1935</v>
      </c>
      <c r="P227" s="8">
        <v>796</v>
      </c>
      <c r="Q227" s="8" t="s">
        <v>3196</v>
      </c>
      <c r="R227" s="26">
        <v>22</v>
      </c>
      <c r="S227" s="10">
        <v>50</v>
      </c>
      <c r="T227" s="10">
        <f t="shared" si="38"/>
        <v>1100</v>
      </c>
      <c r="U227" s="10">
        <f t="shared" si="39"/>
        <v>1232.0000000000002</v>
      </c>
      <c r="V227" s="11"/>
      <c r="W227" s="11">
        <v>2015</v>
      </c>
      <c r="X227" s="20"/>
    </row>
    <row r="228" spans="1:24" ht="76.5" customHeight="1" outlineLevel="1" x14ac:dyDescent="0.2">
      <c r="A228" s="1" t="s">
        <v>4342</v>
      </c>
      <c r="B228" s="24" t="s">
        <v>5277</v>
      </c>
      <c r="C228" s="4" t="s">
        <v>1505</v>
      </c>
      <c r="D228" s="4" t="s">
        <v>3054</v>
      </c>
      <c r="E228" s="4" t="s">
        <v>1506</v>
      </c>
      <c r="F228" s="4"/>
      <c r="G228" s="4" t="s">
        <v>3190</v>
      </c>
      <c r="H228" s="22">
        <v>0</v>
      </c>
      <c r="I228" s="18">
        <v>710000000</v>
      </c>
      <c r="J228" s="4" t="s">
        <v>1931</v>
      </c>
      <c r="K228" s="4" t="s">
        <v>5297</v>
      </c>
      <c r="L228" s="7" t="s">
        <v>5668</v>
      </c>
      <c r="M228" s="8" t="s">
        <v>3195</v>
      </c>
      <c r="N228" s="8" t="s">
        <v>1890</v>
      </c>
      <c r="O228" s="8" t="s">
        <v>1935</v>
      </c>
      <c r="P228" s="8">
        <v>796</v>
      </c>
      <c r="Q228" s="8" t="s">
        <v>3196</v>
      </c>
      <c r="R228" s="26">
        <v>4</v>
      </c>
      <c r="S228" s="10">
        <v>50.87</v>
      </c>
      <c r="T228" s="10">
        <f t="shared" si="38"/>
        <v>203.48</v>
      </c>
      <c r="U228" s="10">
        <f t="shared" si="39"/>
        <v>227.89760000000001</v>
      </c>
      <c r="V228" s="11"/>
      <c r="W228" s="11">
        <v>2015</v>
      </c>
      <c r="X228" s="20"/>
    </row>
    <row r="229" spans="1:24" ht="76.5" customHeight="1" outlineLevel="1" x14ac:dyDescent="0.2">
      <c r="A229" s="1" t="s">
        <v>4343</v>
      </c>
      <c r="B229" s="24" t="s">
        <v>5277</v>
      </c>
      <c r="C229" s="4" t="s">
        <v>3306</v>
      </c>
      <c r="D229" s="4" t="s">
        <v>3054</v>
      </c>
      <c r="E229" s="4" t="s">
        <v>5338</v>
      </c>
      <c r="F229" s="4" t="s">
        <v>1507</v>
      </c>
      <c r="G229" s="4" t="s">
        <v>3190</v>
      </c>
      <c r="H229" s="22">
        <v>0</v>
      </c>
      <c r="I229" s="18">
        <v>710000000</v>
      </c>
      <c r="J229" s="4" t="s">
        <v>1931</v>
      </c>
      <c r="K229" s="4" t="s">
        <v>5297</v>
      </c>
      <c r="L229" s="7" t="s">
        <v>5668</v>
      </c>
      <c r="M229" s="8" t="s">
        <v>3195</v>
      </c>
      <c r="N229" s="8" t="s">
        <v>1890</v>
      </c>
      <c r="O229" s="8" t="s">
        <v>1935</v>
      </c>
      <c r="P229" s="8">
        <v>796</v>
      </c>
      <c r="Q229" s="8" t="s">
        <v>3196</v>
      </c>
      <c r="R229" s="26">
        <v>2</v>
      </c>
      <c r="S229" s="10">
        <v>157.57</v>
      </c>
      <c r="T229" s="10">
        <f t="shared" si="38"/>
        <v>315.14</v>
      </c>
      <c r="U229" s="10">
        <f t="shared" si="39"/>
        <v>352.95680000000004</v>
      </c>
      <c r="V229" s="11"/>
      <c r="W229" s="11">
        <v>2015</v>
      </c>
      <c r="X229" s="20"/>
    </row>
    <row r="230" spans="1:24" ht="76.5" customHeight="1" outlineLevel="1" x14ac:dyDescent="0.2">
      <c r="A230" s="1" t="s">
        <v>4344</v>
      </c>
      <c r="B230" s="24" t="s">
        <v>5277</v>
      </c>
      <c r="C230" s="4" t="s">
        <v>1508</v>
      </c>
      <c r="D230" s="4" t="s">
        <v>3054</v>
      </c>
      <c r="E230" s="4" t="s">
        <v>1509</v>
      </c>
      <c r="F230" s="4" t="s">
        <v>1504</v>
      </c>
      <c r="G230" s="4" t="s">
        <v>3190</v>
      </c>
      <c r="H230" s="22">
        <v>0</v>
      </c>
      <c r="I230" s="18">
        <v>710000000</v>
      </c>
      <c r="J230" s="4" t="s">
        <v>1931</v>
      </c>
      <c r="K230" s="4" t="s">
        <v>5297</v>
      </c>
      <c r="L230" s="7" t="s">
        <v>5668</v>
      </c>
      <c r="M230" s="8" t="s">
        <v>3195</v>
      </c>
      <c r="N230" s="8" t="s">
        <v>1890</v>
      </c>
      <c r="O230" s="8" t="s">
        <v>1935</v>
      </c>
      <c r="P230" s="8">
        <v>796</v>
      </c>
      <c r="Q230" s="8" t="s">
        <v>3196</v>
      </c>
      <c r="R230" s="26">
        <v>2</v>
      </c>
      <c r="S230" s="10">
        <v>193.21</v>
      </c>
      <c r="T230" s="10">
        <f t="shared" si="38"/>
        <v>386.42</v>
      </c>
      <c r="U230" s="10">
        <f t="shared" si="39"/>
        <v>432.79040000000003</v>
      </c>
      <c r="V230" s="11"/>
      <c r="W230" s="11">
        <v>2015</v>
      </c>
      <c r="X230" s="20"/>
    </row>
    <row r="231" spans="1:24" ht="76.5" customHeight="1" outlineLevel="1" x14ac:dyDescent="0.2">
      <c r="A231" s="1" t="s">
        <v>4345</v>
      </c>
      <c r="B231" s="24" t="s">
        <v>5277</v>
      </c>
      <c r="C231" s="4" t="s">
        <v>1510</v>
      </c>
      <c r="D231" s="4" t="s">
        <v>3054</v>
      </c>
      <c r="E231" s="4" t="s">
        <v>1511</v>
      </c>
      <c r="F231" s="4"/>
      <c r="G231" s="4" t="s">
        <v>3190</v>
      </c>
      <c r="H231" s="22">
        <v>0</v>
      </c>
      <c r="I231" s="18">
        <v>710000000</v>
      </c>
      <c r="J231" s="4" t="s">
        <v>1931</v>
      </c>
      <c r="K231" s="4" t="s">
        <v>5297</v>
      </c>
      <c r="L231" s="7" t="s">
        <v>5668</v>
      </c>
      <c r="M231" s="8" t="s">
        <v>3195</v>
      </c>
      <c r="N231" s="8" t="s">
        <v>1890</v>
      </c>
      <c r="O231" s="8" t="s">
        <v>1935</v>
      </c>
      <c r="P231" s="8">
        <v>796</v>
      </c>
      <c r="Q231" s="8" t="s">
        <v>3196</v>
      </c>
      <c r="R231" s="26">
        <v>10</v>
      </c>
      <c r="S231" s="10">
        <v>36.69</v>
      </c>
      <c r="T231" s="10">
        <f t="shared" si="38"/>
        <v>366.9</v>
      </c>
      <c r="U231" s="10">
        <f t="shared" si="39"/>
        <v>410.928</v>
      </c>
      <c r="V231" s="11"/>
      <c r="W231" s="11">
        <v>2015</v>
      </c>
      <c r="X231" s="20"/>
    </row>
    <row r="232" spans="1:24" ht="76.5" customHeight="1" outlineLevel="1" x14ac:dyDescent="0.2">
      <c r="A232" s="1" t="s">
        <v>4346</v>
      </c>
      <c r="B232" s="24" t="s">
        <v>5277</v>
      </c>
      <c r="C232" s="4" t="s">
        <v>1512</v>
      </c>
      <c r="D232" s="4" t="s">
        <v>3054</v>
      </c>
      <c r="E232" s="4" t="s">
        <v>1513</v>
      </c>
      <c r="F232" s="4"/>
      <c r="G232" s="4" t="s">
        <v>3190</v>
      </c>
      <c r="H232" s="22">
        <v>0</v>
      </c>
      <c r="I232" s="18">
        <v>710000000</v>
      </c>
      <c r="J232" s="4" t="s">
        <v>1931</v>
      </c>
      <c r="K232" s="4" t="s">
        <v>5297</v>
      </c>
      <c r="L232" s="7" t="s">
        <v>5668</v>
      </c>
      <c r="M232" s="8" t="s">
        <v>3195</v>
      </c>
      <c r="N232" s="8" t="s">
        <v>1890</v>
      </c>
      <c r="O232" s="8" t="s">
        <v>1935</v>
      </c>
      <c r="P232" s="8">
        <v>796</v>
      </c>
      <c r="Q232" s="8" t="s">
        <v>3196</v>
      </c>
      <c r="R232" s="26">
        <v>2</v>
      </c>
      <c r="S232" s="10">
        <v>105.59</v>
      </c>
      <c r="T232" s="10">
        <f t="shared" si="38"/>
        <v>211.18</v>
      </c>
      <c r="U232" s="10">
        <f t="shared" si="39"/>
        <v>236.52160000000003</v>
      </c>
      <c r="V232" s="11"/>
      <c r="W232" s="11">
        <v>2015</v>
      </c>
      <c r="X232" s="20"/>
    </row>
    <row r="233" spans="1:24" ht="76.5" customHeight="1" outlineLevel="1" x14ac:dyDescent="0.2">
      <c r="A233" s="1" t="s">
        <v>4347</v>
      </c>
      <c r="B233" s="24" t="s">
        <v>5277</v>
      </c>
      <c r="C233" s="4" t="s">
        <v>1514</v>
      </c>
      <c r="D233" s="4" t="s">
        <v>3054</v>
      </c>
      <c r="E233" s="4" t="s">
        <v>1515</v>
      </c>
      <c r="F233" s="4" t="s">
        <v>1516</v>
      </c>
      <c r="G233" s="4" t="s">
        <v>3190</v>
      </c>
      <c r="H233" s="22">
        <v>0</v>
      </c>
      <c r="I233" s="18">
        <v>710000000</v>
      </c>
      <c r="J233" s="4" t="s">
        <v>1931</v>
      </c>
      <c r="K233" s="4" t="s">
        <v>5297</v>
      </c>
      <c r="L233" s="7" t="s">
        <v>5668</v>
      </c>
      <c r="M233" s="8" t="s">
        <v>3195</v>
      </c>
      <c r="N233" s="8" t="s">
        <v>1890</v>
      </c>
      <c r="O233" s="8" t="s">
        <v>1935</v>
      </c>
      <c r="P233" s="8">
        <v>796</v>
      </c>
      <c r="Q233" s="8" t="s">
        <v>3196</v>
      </c>
      <c r="R233" s="26">
        <v>15</v>
      </c>
      <c r="S233" s="10">
        <v>347</v>
      </c>
      <c r="T233" s="10">
        <f t="shared" si="38"/>
        <v>5205</v>
      </c>
      <c r="U233" s="10">
        <f t="shared" si="39"/>
        <v>5829.6</v>
      </c>
      <c r="V233" s="11"/>
      <c r="W233" s="11">
        <v>2015</v>
      </c>
      <c r="X233" s="20"/>
    </row>
    <row r="234" spans="1:24" ht="76.5" customHeight="1" outlineLevel="1" x14ac:dyDescent="0.2">
      <c r="A234" s="1" t="s">
        <v>4348</v>
      </c>
      <c r="B234" s="24" t="s">
        <v>5277</v>
      </c>
      <c r="C234" s="4" t="s">
        <v>1517</v>
      </c>
      <c r="D234" s="4" t="s">
        <v>1518</v>
      </c>
      <c r="E234" s="4" t="s">
        <v>1519</v>
      </c>
      <c r="F234" s="4" t="s">
        <v>1520</v>
      </c>
      <c r="G234" s="4" t="s">
        <v>3190</v>
      </c>
      <c r="H234" s="22">
        <v>0</v>
      </c>
      <c r="I234" s="18">
        <v>710000000</v>
      </c>
      <c r="J234" s="4" t="s">
        <v>1931</v>
      </c>
      <c r="K234" s="4" t="s">
        <v>5297</v>
      </c>
      <c r="L234" s="7" t="s">
        <v>5668</v>
      </c>
      <c r="M234" s="8" t="s">
        <v>3195</v>
      </c>
      <c r="N234" s="8" t="s">
        <v>1890</v>
      </c>
      <c r="O234" s="8" t="s">
        <v>1935</v>
      </c>
      <c r="P234" s="8">
        <v>796</v>
      </c>
      <c r="Q234" s="8" t="s">
        <v>3196</v>
      </c>
      <c r="R234" s="26">
        <v>2</v>
      </c>
      <c r="S234" s="10">
        <v>847.76</v>
      </c>
      <c r="T234" s="10">
        <f t="shared" ref="T234:T277" si="40">S234*R234</f>
        <v>1695.52</v>
      </c>
      <c r="U234" s="10">
        <f t="shared" si="39"/>
        <v>1898.9824000000001</v>
      </c>
      <c r="V234" s="11"/>
      <c r="W234" s="11">
        <v>2015</v>
      </c>
      <c r="X234" s="20"/>
    </row>
    <row r="235" spans="1:24" ht="76.5" customHeight="1" outlineLevel="1" x14ac:dyDescent="0.2">
      <c r="A235" s="1" t="s">
        <v>4349</v>
      </c>
      <c r="B235" s="24" t="s">
        <v>5277</v>
      </c>
      <c r="C235" s="4" t="s">
        <v>3030</v>
      </c>
      <c r="D235" s="4" t="s">
        <v>5310</v>
      </c>
      <c r="E235" s="4" t="s">
        <v>5311</v>
      </c>
      <c r="F235" s="4" t="s">
        <v>1521</v>
      </c>
      <c r="G235" s="4" t="s">
        <v>3190</v>
      </c>
      <c r="H235" s="22">
        <v>0</v>
      </c>
      <c r="I235" s="18">
        <v>710000000</v>
      </c>
      <c r="J235" s="4" t="s">
        <v>1931</v>
      </c>
      <c r="K235" s="4" t="s">
        <v>5297</v>
      </c>
      <c r="L235" s="7" t="s">
        <v>5668</v>
      </c>
      <c r="M235" s="8" t="s">
        <v>3195</v>
      </c>
      <c r="N235" s="8" t="s">
        <v>1890</v>
      </c>
      <c r="O235" s="8" t="s">
        <v>1935</v>
      </c>
      <c r="P235" s="8">
        <v>796</v>
      </c>
      <c r="Q235" s="8" t="s">
        <v>3196</v>
      </c>
      <c r="R235" s="26">
        <v>4</v>
      </c>
      <c r="S235" s="10">
        <v>53</v>
      </c>
      <c r="T235" s="10">
        <f t="shared" si="40"/>
        <v>212</v>
      </c>
      <c r="U235" s="10">
        <f t="shared" si="39"/>
        <v>237.44000000000003</v>
      </c>
      <c r="V235" s="11"/>
      <c r="W235" s="11">
        <v>2015</v>
      </c>
      <c r="X235" s="20"/>
    </row>
    <row r="236" spans="1:24" ht="76.5" customHeight="1" outlineLevel="1" x14ac:dyDescent="0.2">
      <c r="A236" s="1" t="s">
        <v>4350</v>
      </c>
      <c r="B236" s="24" t="s">
        <v>5277</v>
      </c>
      <c r="C236" s="4" t="s">
        <v>3030</v>
      </c>
      <c r="D236" s="4" t="s">
        <v>5310</v>
      </c>
      <c r="E236" s="4" t="s">
        <v>5311</v>
      </c>
      <c r="F236" s="4" t="s">
        <v>1522</v>
      </c>
      <c r="G236" s="4" t="s">
        <v>3190</v>
      </c>
      <c r="H236" s="22">
        <v>0</v>
      </c>
      <c r="I236" s="18">
        <v>710000000</v>
      </c>
      <c r="J236" s="4" t="s">
        <v>1931</v>
      </c>
      <c r="K236" s="4" t="s">
        <v>5297</v>
      </c>
      <c r="L236" s="7" t="s">
        <v>5668</v>
      </c>
      <c r="M236" s="8" t="s">
        <v>3195</v>
      </c>
      <c r="N236" s="8" t="s">
        <v>1890</v>
      </c>
      <c r="O236" s="8" t="s">
        <v>1935</v>
      </c>
      <c r="P236" s="8">
        <v>796</v>
      </c>
      <c r="Q236" s="8" t="s">
        <v>3196</v>
      </c>
      <c r="R236" s="26">
        <v>4</v>
      </c>
      <c r="S236" s="10">
        <v>53</v>
      </c>
      <c r="T236" s="10">
        <f t="shared" si="40"/>
        <v>212</v>
      </c>
      <c r="U236" s="10">
        <f t="shared" si="39"/>
        <v>237.44000000000003</v>
      </c>
      <c r="V236" s="11"/>
      <c r="W236" s="11">
        <v>2015</v>
      </c>
      <c r="X236" s="20"/>
    </row>
    <row r="237" spans="1:24" ht="76.5" customHeight="1" outlineLevel="1" x14ac:dyDescent="0.2">
      <c r="A237" s="1" t="s">
        <v>4351</v>
      </c>
      <c r="B237" s="24" t="s">
        <v>5277</v>
      </c>
      <c r="C237" s="4" t="s">
        <v>3030</v>
      </c>
      <c r="D237" s="4" t="s">
        <v>5310</v>
      </c>
      <c r="E237" s="4" t="s">
        <v>5311</v>
      </c>
      <c r="F237" s="4" t="s">
        <v>1507</v>
      </c>
      <c r="G237" s="4" t="s">
        <v>3190</v>
      </c>
      <c r="H237" s="22">
        <v>0</v>
      </c>
      <c r="I237" s="18">
        <v>710000000</v>
      </c>
      <c r="J237" s="4" t="s">
        <v>1931</v>
      </c>
      <c r="K237" s="4" t="s">
        <v>5297</v>
      </c>
      <c r="L237" s="7" t="s">
        <v>5668</v>
      </c>
      <c r="M237" s="8" t="s">
        <v>3195</v>
      </c>
      <c r="N237" s="8" t="s">
        <v>1890</v>
      </c>
      <c r="O237" s="8" t="s">
        <v>1935</v>
      </c>
      <c r="P237" s="8">
        <v>796</v>
      </c>
      <c r="Q237" s="8" t="s">
        <v>3196</v>
      </c>
      <c r="R237" s="26">
        <v>50</v>
      </c>
      <c r="S237" s="10">
        <v>53</v>
      </c>
      <c r="T237" s="10">
        <f t="shared" si="40"/>
        <v>2650</v>
      </c>
      <c r="U237" s="10">
        <f t="shared" si="39"/>
        <v>2968.0000000000005</v>
      </c>
      <c r="V237" s="11"/>
      <c r="W237" s="11">
        <v>2015</v>
      </c>
      <c r="X237" s="20"/>
    </row>
    <row r="238" spans="1:24" ht="76.5" customHeight="1" outlineLevel="1" x14ac:dyDescent="0.2">
      <c r="A238" s="1" t="s">
        <v>4352</v>
      </c>
      <c r="B238" s="24" t="s">
        <v>5277</v>
      </c>
      <c r="C238" s="4" t="s">
        <v>3008</v>
      </c>
      <c r="D238" s="4" t="s">
        <v>5150</v>
      </c>
      <c r="E238" s="4" t="s">
        <v>5151</v>
      </c>
      <c r="F238" s="4" t="s">
        <v>1523</v>
      </c>
      <c r="G238" s="4" t="s">
        <v>3190</v>
      </c>
      <c r="H238" s="22">
        <v>0</v>
      </c>
      <c r="I238" s="18">
        <v>710000000</v>
      </c>
      <c r="J238" s="4" t="s">
        <v>1931</v>
      </c>
      <c r="K238" s="4" t="s">
        <v>5297</v>
      </c>
      <c r="L238" s="7" t="s">
        <v>5668</v>
      </c>
      <c r="M238" s="8" t="s">
        <v>3195</v>
      </c>
      <c r="N238" s="8" t="s">
        <v>1890</v>
      </c>
      <c r="O238" s="8" t="s">
        <v>1935</v>
      </c>
      <c r="P238" s="8">
        <v>778</v>
      </c>
      <c r="Q238" s="8" t="s">
        <v>5152</v>
      </c>
      <c r="R238" s="26">
        <v>100</v>
      </c>
      <c r="S238" s="10">
        <v>95</v>
      </c>
      <c r="T238" s="10">
        <f t="shared" si="40"/>
        <v>9500</v>
      </c>
      <c r="U238" s="10">
        <f t="shared" si="39"/>
        <v>10640.000000000002</v>
      </c>
      <c r="V238" s="11"/>
      <c r="W238" s="11">
        <v>2015</v>
      </c>
      <c r="X238" s="20"/>
    </row>
    <row r="239" spans="1:24" ht="76.5" customHeight="1" outlineLevel="1" x14ac:dyDescent="0.2">
      <c r="A239" s="1" t="s">
        <v>4353</v>
      </c>
      <c r="B239" s="24" t="s">
        <v>5277</v>
      </c>
      <c r="C239" s="4" t="s">
        <v>3272</v>
      </c>
      <c r="D239" s="4" t="s">
        <v>3004</v>
      </c>
      <c r="E239" s="4" t="s">
        <v>5164</v>
      </c>
      <c r="F239" s="4" t="s">
        <v>1524</v>
      </c>
      <c r="G239" s="4" t="s">
        <v>3190</v>
      </c>
      <c r="H239" s="22">
        <v>0</v>
      </c>
      <c r="I239" s="18">
        <v>710000000</v>
      </c>
      <c r="J239" s="4" t="s">
        <v>1931</v>
      </c>
      <c r="K239" s="4" t="s">
        <v>5297</v>
      </c>
      <c r="L239" s="7" t="s">
        <v>5668</v>
      </c>
      <c r="M239" s="8" t="s">
        <v>3195</v>
      </c>
      <c r="N239" s="8" t="s">
        <v>1890</v>
      </c>
      <c r="O239" s="8" t="s">
        <v>1935</v>
      </c>
      <c r="P239" s="8">
        <v>796</v>
      </c>
      <c r="Q239" s="8" t="s">
        <v>3196</v>
      </c>
      <c r="R239" s="26">
        <v>2</v>
      </c>
      <c r="S239" s="10">
        <v>224</v>
      </c>
      <c r="T239" s="10">
        <f t="shared" si="40"/>
        <v>448</v>
      </c>
      <c r="U239" s="10">
        <f t="shared" ref="U239:U278" si="41">T239*1.12</f>
        <v>501.76000000000005</v>
      </c>
      <c r="V239" s="11"/>
      <c r="W239" s="11">
        <v>2015</v>
      </c>
      <c r="X239" s="20"/>
    </row>
    <row r="240" spans="1:24" ht="76.5" customHeight="1" outlineLevel="1" x14ac:dyDescent="0.2">
      <c r="A240" s="1" t="s">
        <v>4354</v>
      </c>
      <c r="B240" s="24" t="s">
        <v>5277</v>
      </c>
      <c r="C240" s="4" t="s">
        <v>3003</v>
      </c>
      <c r="D240" s="4" t="s">
        <v>3004</v>
      </c>
      <c r="E240" s="4" t="s">
        <v>5166</v>
      </c>
      <c r="F240" s="4" t="s">
        <v>1525</v>
      </c>
      <c r="G240" s="4" t="s">
        <v>3190</v>
      </c>
      <c r="H240" s="22">
        <v>0</v>
      </c>
      <c r="I240" s="18">
        <v>710000000</v>
      </c>
      <c r="J240" s="4" t="s">
        <v>1931</v>
      </c>
      <c r="K240" s="4" t="s">
        <v>5297</v>
      </c>
      <c r="L240" s="7" t="s">
        <v>5668</v>
      </c>
      <c r="M240" s="8" t="s">
        <v>3195</v>
      </c>
      <c r="N240" s="8" t="s">
        <v>1890</v>
      </c>
      <c r="O240" s="8" t="s">
        <v>1935</v>
      </c>
      <c r="P240" s="8">
        <v>796</v>
      </c>
      <c r="Q240" s="8" t="s">
        <v>3196</v>
      </c>
      <c r="R240" s="26">
        <v>2</v>
      </c>
      <c r="S240" s="10">
        <v>54</v>
      </c>
      <c r="T240" s="10">
        <f t="shared" si="40"/>
        <v>108</v>
      </c>
      <c r="U240" s="10">
        <f t="shared" si="41"/>
        <v>120.96000000000001</v>
      </c>
      <c r="V240" s="11"/>
      <c r="W240" s="11">
        <v>2015</v>
      </c>
      <c r="X240" s="20"/>
    </row>
    <row r="241" spans="1:24" ht="76.5" customHeight="1" outlineLevel="1" x14ac:dyDescent="0.2">
      <c r="A241" s="1" t="s">
        <v>4355</v>
      </c>
      <c r="B241" s="24" t="s">
        <v>5277</v>
      </c>
      <c r="C241" s="4" t="s">
        <v>3036</v>
      </c>
      <c r="D241" s="4" t="s">
        <v>3037</v>
      </c>
      <c r="E241" s="4" t="s">
        <v>3038</v>
      </c>
      <c r="F241" s="4" t="s">
        <v>1526</v>
      </c>
      <c r="G241" s="4" t="s">
        <v>3190</v>
      </c>
      <c r="H241" s="22">
        <v>0</v>
      </c>
      <c r="I241" s="18">
        <v>710000000</v>
      </c>
      <c r="J241" s="4" t="s">
        <v>1931</v>
      </c>
      <c r="K241" s="4" t="s">
        <v>5297</v>
      </c>
      <c r="L241" s="7" t="s">
        <v>5668</v>
      </c>
      <c r="M241" s="8" t="s">
        <v>3195</v>
      </c>
      <c r="N241" s="8" t="s">
        <v>1890</v>
      </c>
      <c r="O241" s="8" t="s">
        <v>1935</v>
      </c>
      <c r="P241" s="8">
        <v>778</v>
      </c>
      <c r="Q241" s="8" t="s">
        <v>3327</v>
      </c>
      <c r="R241" s="26">
        <v>20</v>
      </c>
      <c r="S241" s="10">
        <v>39.43</v>
      </c>
      <c r="T241" s="10">
        <f t="shared" si="40"/>
        <v>788.6</v>
      </c>
      <c r="U241" s="10">
        <f t="shared" si="41"/>
        <v>883.23200000000008</v>
      </c>
      <c r="V241" s="11"/>
      <c r="W241" s="11">
        <v>2015</v>
      </c>
      <c r="X241" s="20"/>
    </row>
    <row r="242" spans="1:24" ht="76.5" customHeight="1" outlineLevel="1" x14ac:dyDescent="0.2">
      <c r="A242" s="1" t="s">
        <v>4356</v>
      </c>
      <c r="B242" s="24" t="s">
        <v>5277</v>
      </c>
      <c r="C242" s="4" t="s">
        <v>1527</v>
      </c>
      <c r="D242" s="4" t="s">
        <v>3037</v>
      </c>
      <c r="E242" s="4" t="s">
        <v>1528</v>
      </c>
      <c r="F242" s="4" t="s">
        <v>1529</v>
      </c>
      <c r="G242" s="4" t="s">
        <v>3190</v>
      </c>
      <c r="H242" s="22">
        <v>0</v>
      </c>
      <c r="I242" s="18">
        <v>710000000</v>
      </c>
      <c r="J242" s="4" t="s">
        <v>1931</v>
      </c>
      <c r="K242" s="4" t="s">
        <v>5297</v>
      </c>
      <c r="L242" s="7" t="s">
        <v>5668</v>
      </c>
      <c r="M242" s="8" t="s">
        <v>3195</v>
      </c>
      <c r="N242" s="8" t="s">
        <v>1890</v>
      </c>
      <c r="O242" s="8" t="s">
        <v>1935</v>
      </c>
      <c r="P242" s="8">
        <v>778</v>
      </c>
      <c r="Q242" s="8" t="s">
        <v>3327</v>
      </c>
      <c r="R242" s="26">
        <v>2</v>
      </c>
      <c r="S242" s="10">
        <v>99.72</v>
      </c>
      <c r="T242" s="10">
        <f t="shared" si="40"/>
        <v>199.44</v>
      </c>
      <c r="U242" s="10">
        <f t="shared" si="41"/>
        <v>223.37280000000001</v>
      </c>
      <c r="V242" s="11"/>
      <c r="W242" s="11">
        <v>2015</v>
      </c>
      <c r="X242" s="20"/>
    </row>
    <row r="243" spans="1:24" ht="76.5" customHeight="1" outlineLevel="1" x14ac:dyDescent="0.2">
      <c r="A243" s="1" t="s">
        <v>4357</v>
      </c>
      <c r="B243" s="24" t="s">
        <v>5277</v>
      </c>
      <c r="C243" s="4" t="s">
        <v>3266</v>
      </c>
      <c r="D243" s="4" t="s">
        <v>3267</v>
      </c>
      <c r="E243" s="4" t="s">
        <v>5153</v>
      </c>
      <c r="F243" s="4" t="s">
        <v>5337</v>
      </c>
      <c r="G243" s="4" t="s">
        <v>3190</v>
      </c>
      <c r="H243" s="22">
        <v>0</v>
      </c>
      <c r="I243" s="18">
        <v>710000000</v>
      </c>
      <c r="J243" s="4" t="s">
        <v>1931</v>
      </c>
      <c r="K243" s="4" t="s">
        <v>5297</v>
      </c>
      <c r="L243" s="7" t="s">
        <v>5668</v>
      </c>
      <c r="M243" s="8" t="s">
        <v>3195</v>
      </c>
      <c r="N243" s="8" t="s">
        <v>1890</v>
      </c>
      <c r="O243" s="8" t="s">
        <v>1935</v>
      </c>
      <c r="P243" s="8">
        <v>796</v>
      </c>
      <c r="Q243" s="8" t="s">
        <v>3196</v>
      </c>
      <c r="R243" s="26">
        <v>1</v>
      </c>
      <c r="S243" s="10">
        <v>364.96</v>
      </c>
      <c r="T243" s="10">
        <f t="shared" si="40"/>
        <v>364.96</v>
      </c>
      <c r="U243" s="10">
        <f t="shared" si="41"/>
        <v>408.7552</v>
      </c>
      <c r="V243" s="11"/>
      <c r="W243" s="11">
        <v>2015</v>
      </c>
      <c r="X243" s="20"/>
    </row>
    <row r="244" spans="1:24" ht="76.5" customHeight="1" outlineLevel="1" x14ac:dyDescent="0.2">
      <c r="A244" s="1" t="s">
        <v>4358</v>
      </c>
      <c r="B244" s="24" t="s">
        <v>5277</v>
      </c>
      <c r="C244" s="4" t="s">
        <v>3031</v>
      </c>
      <c r="D244" s="4" t="s">
        <v>5159</v>
      </c>
      <c r="E244" s="4" t="s">
        <v>5160</v>
      </c>
      <c r="F244" s="4" t="s">
        <v>1530</v>
      </c>
      <c r="G244" s="4" t="s">
        <v>3190</v>
      </c>
      <c r="H244" s="22">
        <v>0</v>
      </c>
      <c r="I244" s="18">
        <v>710000000</v>
      </c>
      <c r="J244" s="4" t="s">
        <v>1931</v>
      </c>
      <c r="K244" s="4" t="s">
        <v>5297</v>
      </c>
      <c r="L244" s="7" t="s">
        <v>5668</v>
      </c>
      <c r="M244" s="8" t="s">
        <v>3195</v>
      </c>
      <c r="N244" s="8" t="s">
        <v>1890</v>
      </c>
      <c r="O244" s="8" t="s">
        <v>1935</v>
      </c>
      <c r="P244" s="8">
        <v>5111</v>
      </c>
      <c r="Q244" s="8" t="s">
        <v>5298</v>
      </c>
      <c r="R244" s="26">
        <v>17</v>
      </c>
      <c r="S244" s="10">
        <v>55.29</v>
      </c>
      <c r="T244" s="10">
        <f t="shared" si="40"/>
        <v>939.93</v>
      </c>
      <c r="U244" s="10">
        <f t="shared" si="41"/>
        <v>1052.7216000000001</v>
      </c>
      <c r="V244" s="11"/>
      <c r="W244" s="11">
        <v>2015</v>
      </c>
      <c r="X244" s="20"/>
    </row>
    <row r="245" spans="1:24" ht="76.5" customHeight="1" outlineLevel="1" x14ac:dyDescent="0.2">
      <c r="A245" s="1" t="s">
        <v>4359</v>
      </c>
      <c r="B245" s="24" t="s">
        <v>5277</v>
      </c>
      <c r="C245" s="4" t="s">
        <v>3305</v>
      </c>
      <c r="D245" s="4" t="s">
        <v>5149</v>
      </c>
      <c r="E245" s="4" t="s">
        <v>5335</v>
      </c>
      <c r="F245" s="4" t="s">
        <v>1460</v>
      </c>
      <c r="G245" s="4" t="s">
        <v>3190</v>
      </c>
      <c r="H245" s="22">
        <v>0</v>
      </c>
      <c r="I245" s="18">
        <v>710000000</v>
      </c>
      <c r="J245" s="4" t="s">
        <v>1931</v>
      </c>
      <c r="K245" s="4" t="s">
        <v>5297</v>
      </c>
      <c r="L245" s="7" t="s">
        <v>5668</v>
      </c>
      <c r="M245" s="8" t="s">
        <v>3195</v>
      </c>
      <c r="N245" s="8" t="s">
        <v>1890</v>
      </c>
      <c r="O245" s="8" t="s">
        <v>1935</v>
      </c>
      <c r="P245" s="8">
        <v>796</v>
      </c>
      <c r="Q245" s="8" t="s">
        <v>3196</v>
      </c>
      <c r="R245" s="26">
        <v>4</v>
      </c>
      <c r="S245" s="10">
        <v>86</v>
      </c>
      <c r="T245" s="10">
        <f t="shared" si="40"/>
        <v>344</v>
      </c>
      <c r="U245" s="10">
        <f t="shared" si="41"/>
        <v>385.28000000000003</v>
      </c>
      <c r="V245" s="11"/>
      <c r="W245" s="11">
        <v>2015</v>
      </c>
      <c r="X245" s="20"/>
    </row>
    <row r="246" spans="1:24" ht="76.5" customHeight="1" outlineLevel="1" x14ac:dyDescent="0.2">
      <c r="A246" s="1" t="s">
        <v>4360</v>
      </c>
      <c r="B246" s="24" t="s">
        <v>5277</v>
      </c>
      <c r="C246" s="4" t="s">
        <v>3275</v>
      </c>
      <c r="D246" s="4" t="s">
        <v>5172</v>
      </c>
      <c r="E246" s="4" t="s">
        <v>5173</v>
      </c>
      <c r="F246" s="4"/>
      <c r="G246" s="4" t="s">
        <v>3190</v>
      </c>
      <c r="H246" s="22">
        <v>0</v>
      </c>
      <c r="I246" s="18">
        <v>710000000</v>
      </c>
      <c r="J246" s="4" t="s">
        <v>1931</v>
      </c>
      <c r="K246" s="4" t="s">
        <v>5297</v>
      </c>
      <c r="L246" s="7" t="s">
        <v>5668</v>
      </c>
      <c r="M246" s="8" t="s">
        <v>3195</v>
      </c>
      <c r="N246" s="8" t="s">
        <v>1890</v>
      </c>
      <c r="O246" s="8" t="s">
        <v>1935</v>
      </c>
      <c r="P246" s="8">
        <v>796</v>
      </c>
      <c r="Q246" s="8" t="s">
        <v>3196</v>
      </c>
      <c r="R246" s="26">
        <v>2</v>
      </c>
      <c r="S246" s="10">
        <v>20.66</v>
      </c>
      <c r="T246" s="10">
        <f t="shared" si="40"/>
        <v>41.32</v>
      </c>
      <c r="U246" s="10">
        <f t="shared" si="41"/>
        <v>46.278400000000005</v>
      </c>
      <c r="V246" s="11"/>
      <c r="W246" s="11">
        <v>2015</v>
      </c>
      <c r="X246" s="20"/>
    </row>
    <row r="247" spans="1:24" ht="76.5" customHeight="1" outlineLevel="1" x14ac:dyDescent="0.2">
      <c r="A247" s="1" t="s">
        <v>4361</v>
      </c>
      <c r="B247" s="24" t="s">
        <v>5277</v>
      </c>
      <c r="C247" s="4" t="s">
        <v>3035</v>
      </c>
      <c r="D247" s="4" t="s">
        <v>5306</v>
      </c>
      <c r="E247" s="4" t="s">
        <v>5340</v>
      </c>
      <c r="F247" s="4" t="s">
        <v>1531</v>
      </c>
      <c r="G247" s="4" t="s">
        <v>3190</v>
      </c>
      <c r="H247" s="22">
        <v>0</v>
      </c>
      <c r="I247" s="18">
        <v>710000000</v>
      </c>
      <c r="J247" s="4" t="s">
        <v>1931</v>
      </c>
      <c r="K247" s="4" t="s">
        <v>5297</v>
      </c>
      <c r="L247" s="7" t="s">
        <v>5668</v>
      </c>
      <c r="M247" s="8" t="s">
        <v>3195</v>
      </c>
      <c r="N247" s="8" t="s">
        <v>1890</v>
      </c>
      <c r="O247" s="8" t="s">
        <v>1935</v>
      </c>
      <c r="P247" s="8">
        <v>796</v>
      </c>
      <c r="Q247" s="8" t="s">
        <v>3196</v>
      </c>
      <c r="R247" s="26">
        <v>250</v>
      </c>
      <c r="S247" s="10">
        <v>13.69</v>
      </c>
      <c r="T247" s="10">
        <f t="shared" si="40"/>
        <v>3422.5</v>
      </c>
      <c r="U247" s="10">
        <f t="shared" si="41"/>
        <v>3833.2000000000003</v>
      </c>
      <c r="V247" s="11"/>
      <c r="W247" s="11">
        <v>2015</v>
      </c>
      <c r="X247" s="20"/>
    </row>
    <row r="248" spans="1:24" ht="76.5" customHeight="1" outlineLevel="1" x14ac:dyDescent="0.2">
      <c r="A248" s="1" t="s">
        <v>4362</v>
      </c>
      <c r="B248" s="24" t="s">
        <v>5277</v>
      </c>
      <c r="C248" s="4" t="s">
        <v>1532</v>
      </c>
      <c r="D248" s="4" t="s">
        <v>1533</v>
      </c>
      <c r="E248" s="4" t="s">
        <v>1534</v>
      </c>
      <c r="F248" s="4"/>
      <c r="G248" s="4" t="s">
        <v>3190</v>
      </c>
      <c r="H248" s="22">
        <v>0</v>
      </c>
      <c r="I248" s="18">
        <v>710000000</v>
      </c>
      <c r="J248" s="4" t="s">
        <v>1931</v>
      </c>
      <c r="K248" s="4" t="s">
        <v>5297</v>
      </c>
      <c r="L248" s="7" t="s">
        <v>5668</v>
      </c>
      <c r="M248" s="8" t="s">
        <v>3195</v>
      </c>
      <c r="N248" s="8" t="s">
        <v>1890</v>
      </c>
      <c r="O248" s="8" t="s">
        <v>1935</v>
      </c>
      <c r="P248" s="8">
        <v>796</v>
      </c>
      <c r="Q248" s="8" t="s">
        <v>3196</v>
      </c>
      <c r="R248" s="26">
        <v>1</v>
      </c>
      <c r="S248" s="10">
        <v>354.6</v>
      </c>
      <c r="T248" s="10">
        <f t="shared" si="40"/>
        <v>354.6</v>
      </c>
      <c r="U248" s="10">
        <f t="shared" si="41"/>
        <v>397.15200000000004</v>
      </c>
      <c r="V248" s="11"/>
      <c r="W248" s="11">
        <v>2015</v>
      </c>
      <c r="X248" s="20"/>
    </row>
    <row r="249" spans="1:24" ht="76.5" customHeight="1" outlineLevel="1" x14ac:dyDescent="0.2">
      <c r="A249" s="1" t="s">
        <v>4363</v>
      </c>
      <c r="B249" s="24" t="s">
        <v>5277</v>
      </c>
      <c r="C249" s="4" t="s">
        <v>1535</v>
      </c>
      <c r="D249" s="4" t="s">
        <v>1536</v>
      </c>
      <c r="E249" s="4" t="s">
        <v>1536</v>
      </c>
      <c r="F249" s="4" t="s">
        <v>1537</v>
      </c>
      <c r="G249" s="4" t="s">
        <v>3190</v>
      </c>
      <c r="H249" s="22">
        <v>0</v>
      </c>
      <c r="I249" s="18">
        <v>710000000</v>
      </c>
      <c r="J249" s="4" t="s">
        <v>1931</v>
      </c>
      <c r="K249" s="4" t="s">
        <v>5297</v>
      </c>
      <c r="L249" s="7" t="s">
        <v>5668</v>
      </c>
      <c r="M249" s="8" t="s">
        <v>3195</v>
      </c>
      <c r="N249" s="8" t="s">
        <v>1890</v>
      </c>
      <c r="O249" s="8" t="s">
        <v>1935</v>
      </c>
      <c r="P249" s="8">
        <v>796</v>
      </c>
      <c r="Q249" s="8" t="s">
        <v>3196</v>
      </c>
      <c r="R249" s="26">
        <v>4</v>
      </c>
      <c r="S249" s="10">
        <v>227.5</v>
      </c>
      <c r="T249" s="10">
        <f t="shared" si="40"/>
        <v>910</v>
      </c>
      <c r="U249" s="10">
        <f t="shared" si="41"/>
        <v>1019.2</v>
      </c>
      <c r="V249" s="11"/>
      <c r="W249" s="11">
        <v>2015</v>
      </c>
      <c r="X249" s="20"/>
    </row>
    <row r="250" spans="1:24" ht="76.5" customHeight="1" outlineLevel="1" x14ac:dyDescent="0.2">
      <c r="A250" s="1" t="s">
        <v>4364</v>
      </c>
      <c r="B250" s="24" t="s">
        <v>5277</v>
      </c>
      <c r="C250" s="4" t="s">
        <v>3269</v>
      </c>
      <c r="D250" s="4" t="s">
        <v>3270</v>
      </c>
      <c r="E250" s="18" t="s">
        <v>6440</v>
      </c>
      <c r="F250" s="4"/>
      <c r="G250" s="4" t="s">
        <v>3190</v>
      </c>
      <c r="H250" s="22">
        <v>0</v>
      </c>
      <c r="I250" s="18">
        <v>710000000</v>
      </c>
      <c r="J250" s="4" t="s">
        <v>1931</v>
      </c>
      <c r="K250" s="4" t="s">
        <v>5297</v>
      </c>
      <c r="L250" s="4" t="s">
        <v>5689</v>
      </c>
      <c r="M250" s="8" t="s">
        <v>3195</v>
      </c>
      <c r="N250" s="8" t="s">
        <v>1890</v>
      </c>
      <c r="O250" s="8" t="s">
        <v>1935</v>
      </c>
      <c r="P250" s="8">
        <v>796</v>
      </c>
      <c r="Q250" s="8" t="s">
        <v>3196</v>
      </c>
      <c r="R250" s="26">
        <v>2</v>
      </c>
      <c r="S250" s="10">
        <v>136.19999999999999</v>
      </c>
      <c r="T250" s="10">
        <f t="shared" si="40"/>
        <v>272.39999999999998</v>
      </c>
      <c r="U250" s="10">
        <f t="shared" si="41"/>
        <v>305.08800000000002</v>
      </c>
      <c r="V250" s="11"/>
      <c r="W250" s="11">
        <v>2015</v>
      </c>
      <c r="X250" s="20"/>
    </row>
    <row r="251" spans="1:24" ht="76.5" customHeight="1" outlineLevel="1" x14ac:dyDescent="0.2">
      <c r="A251" s="1" t="s">
        <v>4365</v>
      </c>
      <c r="B251" s="24" t="s">
        <v>5277</v>
      </c>
      <c r="C251" s="4" t="s">
        <v>1474</v>
      </c>
      <c r="D251" s="4" t="s">
        <v>5180</v>
      </c>
      <c r="E251" s="4" t="s">
        <v>1475</v>
      </c>
      <c r="F251" s="4" t="s">
        <v>5334</v>
      </c>
      <c r="G251" s="4" t="s">
        <v>3190</v>
      </c>
      <c r="H251" s="22">
        <v>0</v>
      </c>
      <c r="I251" s="18">
        <v>710000000</v>
      </c>
      <c r="J251" s="4" t="s">
        <v>1931</v>
      </c>
      <c r="K251" s="4" t="s">
        <v>5297</v>
      </c>
      <c r="L251" s="4" t="s">
        <v>5689</v>
      </c>
      <c r="M251" s="8" t="s">
        <v>3195</v>
      </c>
      <c r="N251" s="8" t="s">
        <v>1890</v>
      </c>
      <c r="O251" s="8" t="s">
        <v>1935</v>
      </c>
      <c r="P251" s="8">
        <v>5111</v>
      </c>
      <c r="Q251" s="8" t="s">
        <v>5298</v>
      </c>
      <c r="R251" s="26">
        <v>18</v>
      </c>
      <c r="S251" s="10">
        <v>70.78</v>
      </c>
      <c r="T251" s="10">
        <f t="shared" si="40"/>
        <v>1274.04</v>
      </c>
      <c r="U251" s="10">
        <f t="shared" si="41"/>
        <v>1426.9248</v>
      </c>
      <c r="V251" s="11"/>
      <c r="W251" s="11">
        <v>2015</v>
      </c>
      <c r="X251" s="20"/>
    </row>
    <row r="252" spans="1:24" ht="76.5" customHeight="1" outlineLevel="1" x14ac:dyDescent="0.2">
      <c r="A252" s="1" t="s">
        <v>4366</v>
      </c>
      <c r="B252" s="24" t="s">
        <v>5277</v>
      </c>
      <c r="C252" s="4" t="s">
        <v>3273</v>
      </c>
      <c r="D252" s="4" t="s">
        <v>5168</v>
      </c>
      <c r="E252" s="4" t="s">
        <v>5169</v>
      </c>
      <c r="F252" s="4" t="s">
        <v>1476</v>
      </c>
      <c r="G252" s="4" t="s">
        <v>3190</v>
      </c>
      <c r="H252" s="22">
        <v>0</v>
      </c>
      <c r="I252" s="18">
        <v>710000000</v>
      </c>
      <c r="J252" s="4" t="s">
        <v>1931</v>
      </c>
      <c r="K252" s="4" t="s">
        <v>5297</v>
      </c>
      <c r="L252" s="4" t="s">
        <v>5689</v>
      </c>
      <c r="M252" s="8" t="s">
        <v>3195</v>
      </c>
      <c r="N252" s="8" t="s">
        <v>1890</v>
      </c>
      <c r="O252" s="8" t="s">
        <v>1935</v>
      </c>
      <c r="P252" s="8">
        <v>796</v>
      </c>
      <c r="Q252" s="8" t="s">
        <v>3196</v>
      </c>
      <c r="R252" s="26">
        <v>2</v>
      </c>
      <c r="S252" s="10">
        <v>519.72</v>
      </c>
      <c r="T252" s="10">
        <f t="shared" si="40"/>
        <v>1039.44</v>
      </c>
      <c r="U252" s="10">
        <f t="shared" si="41"/>
        <v>1164.1728000000003</v>
      </c>
      <c r="V252" s="11"/>
      <c r="W252" s="11">
        <v>2015</v>
      </c>
      <c r="X252" s="20"/>
    </row>
    <row r="253" spans="1:24" ht="76.5" customHeight="1" outlineLevel="1" x14ac:dyDescent="0.2">
      <c r="A253" s="1" t="s">
        <v>4367</v>
      </c>
      <c r="B253" s="24" t="s">
        <v>5277</v>
      </c>
      <c r="C253" s="4" t="s">
        <v>3303</v>
      </c>
      <c r="D253" s="4" t="s">
        <v>5185</v>
      </c>
      <c r="E253" s="4" t="s">
        <v>5332</v>
      </c>
      <c r="F253" s="4"/>
      <c r="G253" s="4" t="s">
        <v>3190</v>
      </c>
      <c r="H253" s="22">
        <v>0</v>
      </c>
      <c r="I253" s="18">
        <v>710000000</v>
      </c>
      <c r="J253" s="4" t="s">
        <v>1931</v>
      </c>
      <c r="K253" s="4" t="s">
        <v>5297</v>
      </c>
      <c r="L253" s="4" t="s">
        <v>5689</v>
      </c>
      <c r="M253" s="8" t="s">
        <v>3195</v>
      </c>
      <c r="N253" s="8" t="s">
        <v>1890</v>
      </c>
      <c r="O253" s="8" t="s">
        <v>1935</v>
      </c>
      <c r="P253" s="8">
        <v>778</v>
      </c>
      <c r="Q253" s="8" t="s">
        <v>3327</v>
      </c>
      <c r="R253" s="26">
        <v>18</v>
      </c>
      <c r="S253" s="10">
        <v>116</v>
      </c>
      <c r="T253" s="10">
        <f t="shared" si="40"/>
        <v>2088</v>
      </c>
      <c r="U253" s="10">
        <f t="shared" si="41"/>
        <v>2338.5600000000004</v>
      </c>
      <c r="V253" s="11"/>
      <c r="W253" s="11">
        <v>2015</v>
      </c>
      <c r="X253" s="20"/>
    </row>
    <row r="254" spans="1:24" ht="76.5" customHeight="1" outlineLevel="1" x14ac:dyDescent="0.2">
      <c r="A254" s="1" t="s">
        <v>4368</v>
      </c>
      <c r="B254" s="24" t="s">
        <v>5277</v>
      </c>
      <c r="C254" s="4" t="s">
        <v>3288</v>
      </c>
      <c r="D254" s="4" t="s">
        <v>5185</v>
      </c>
      <c r="E254" s="4" t="s">
        <v>5187</v>
      </c>
      <c r="F254" s="4"/>
      <c r="G254" s="4" t="s">
        <v>3190</v>
      </c>
      <c r="H254" s="22">
        <v>0</v>
      </c>
      <c r="I254" s="18">
        <v>710000000</v>
      </c>
      <c r="J254" s="4" t="s">
        <v>1931</v>
      </c>
      <c r="K254" s="4" t="s">
        <v>5297</v>
      </c>
      <c r="L254" s="4" t="s">
        <v>5689</v>
      </c>
      <c r="M254" s="8" t="s">
        <v>3195</v>
      </c>
      <c r="N254" s="8" t="s">
        <v>1890</v>
      </c>
      <c r="O254" s="8" t="s">
        <v>1935</v>
      </c>
      <c r="P254" s="8">
        <v>778</v>
      </c>
      <c r="Q254" s="8" t="s">
        <v>3327</v>
      </c>
      <c r="R254" s="26">
        <v>18</v>
      </c>
      <c r="S254" s="10">
        <v>125</v>
      </c>
      <c r="T254" s="10">
        <f t="shared" si="40"/>
        <v>2250</v>
      </c>
      <c r="U254" s="10">
        <f t="shared" si="41"/>
        <v>2520.0000000000005</v>
      </c>
      <c r="V254" s="11"/>
      <c r="W254" s="11">
        <v>2015</v>
      </c>
      <c r="X254" s="20"/>
    </row>
    <row r="255" spans="1:24" ht="76.5" customHeight="1" outlineLevel="1" x14ac:dyDescent="0.2">
      <c r="A255" s="1" t="s">
        <v>4369</v>
      </c>
      <c r="B255" s="24" t="s">
        <v>5277</v>
      </c>
      <c r="C255" s="190" t="s">
        <v>1555</v>
      </c>
      <c r="D255" s="190" t="s">
        <v>1556</v>
      </c>
      <c r="E255" s="190" t="s">
        <v>1557</v>
      </c>
      <c r="F255" s="4" t="s">
        <v>1483</v>
      </c>
      <c r="G255" s="4" t="s">
        <v>3190</v>
      </c>
      <c r="H255" s="22">
        <v>0</v>
      </c>
      <c r="I255" s="18">
        <v>710000000</v>
      </c>
      <c r="J255" s="4" t="s">
        <v>1931</v>
      </c>
      <c r="K255" s="4" t="s">
        <v>5297</v>
      </c>
      <c r="L255" s="4" t="s">
        <v>5689</v>
      </c>
      <c r="M255" s="8" t="s">
        <v>3195</v>
      </c>
      <c r="N255" s="8" t="s">
        <v>1890</v>
      </c>
      <c r="O255" s="8" t="s">
        <v>1935</v>
      </c>
      <c r="P255" s="8">
        <v>796</v>
      </c>
      <c r="Q255" s="8" t="s">
        <v>3196</v>
      </c>
      <c r="R255" s="26">
        <v>72</v>
      </c>
      <c r="S255" s="10">
        <v>20.66</v>
      </c>
      <c r="T255" s="10">
        <f t="shared" si="40"/>
        <v>1487.52</v>
      </c>
      <c r="U255" s="10">
        <f t="shared" si="41"/>
        <v>1666.0224000000001</v>
      </c>
      <c r="V255" s="11"/>
      <c r="W255" s="11">
        <v>2015</v>
      </c>
      <c r="X255" s="20"/>
    </row>
    <row r="256" spans="1:24" ht="76.5" customHeight="1" outlineLevel="1" x14ac:dyDescent="0.2">
      <c r="A256" s="1" t="s">
        <v>4370</v>
      </c>
      <c r="B256" s="24" t="s">
        <v>5277</v>
      </c>
      <c r="C256" s="4" t="s">
        <v>1484</v>
      </c>
      <c r="D256" s="4" t="s">
        <v>1421</v>
      </c>
      <c r="E256" s="4" t="s">
        <v>1485</v>
      </c>
      <c r="F256" s="4"/>
      <c r="G256" s="4" t="s">
        <v>3190</v>
      </c>
      <c r="H256" s="22">
        <v>0</v>
      </c>
      <c r="I256" s="18">
        <v>710000000</v>
      </c>
      <c r="J256" s="4" t="s">
        <v>1931</v>
      </c>
      <c r="K256" s="4" t="s">
        <v>5297</v>
      </c>
      <c r="L256" s="4" t="s">
        <v>5689</v>
      </c>
      <c r="M256" s="8" t="s">
        <v>3195</v>
      </c>
      <c r="N256" s="8" t="s">
        <v>1890</v>
      </c>
      <c r="O256" s="8" t="s">
        <v>1935</v>
      </c>
      <c r="P256" s="8">
        <v>796</v>
      </c>
      <c r="Q256" s="8" t="s">
        <v>3196</v>
      </c>
      <c r="R256" s="26">
        <v>9</v>
      </c>
      <c r="S256" s="10">
        <v>48.09</v>
      </c>
      <c r="T256" s="10">
        <f t="shared" si="40"/>
        <v>432.81000000000006</v>
      </c>
      <c r="U256" s="10">
        <f t="shared" si="41"/>
        <v>484.74720000000013</v>
      </c>
      <c r="V256" s="11"/>
      <c r="W256" s="11">
        <v>2015</v>
      </c>
      <c r="X256" s="20"/>
    </row>
    <row r="257" spans="1:24" ht="76.5" customHeight="1" outlineLevel="1" x14ac:dyDescent="0.2">
      <c r="A257" s="1" t="s">
        <v>4371</v>
      </c>
      <c r="B257" s="24" t="s">
        <v>5277</v>
      </c>
      <c r="C257" s="4" t="s">
        <v>1486</v>
      </c>
      <c r="D257" s="4" t="s">
        <v>1487</v>
      </c>
      <c r="E257" s="4" t="s">
        <v>1488</v>
      </c>
      <c r="F257" s="4" t="s">
        <v>1538</v>
      </c>
      <c r="G257" s="4" t="s">
        <v>3190</v>
      </c>
      <c r="H257" s="22">
        <v>0</v>
      </c>
      <c r="I257" s="18">
        <v>710000000</v>
      </c>
      <c r="J257" s="4" t="s">
        <v>1931</v>
      </c>
      <c r="K257" s="4" t="s">
        <v>5297</v>
      </c>
      <c r="L257" s="4" t="s">
        <v>5689</v>
      </c>
      <c r="M257" s="8" t="s">
        <v>3195</v>
      </c>
      <c r="N257" s="8" t="s">
        <v>1890</v>
      </c>
      <c r="O257" s="8" t="s">
        <v>1935</v>
      </c>
      <c r="P257" s="8">
        <v>796</v>
      </c>
      <c r="Q257" s="8" t="s">
        <v>3196</v>
      </c>
      <c r="R257" s="26">
        <v>9</v>
      </c>
      <c r="S257" s="10">
        <v>356.31</v>
      </c>
      <c r="T257" s="10">
        <f t="shared" si="40"/>
        <v>3206.79</v>
      </c>
      <c r="U257" s="10">
        <f t="shared" si="41"/>
        <v>3591.6048000000005</v>
      </c>
      <c r="V257" s="11"/>
      <c r="W257" s="11">
        <v>2015</v>
      </c>
      <c r="X257" s="20"/>
    </row>
    <row r="258" spans="1:24" ht="76.5" customHeight="1" outlineLevel="1" x14ac:dyDescent="0.2">
      <c r="A258" s="1" t="s">
        <v>4372</v>
      </c>
      <c r="B258" s="24" t="s">
        <v>5277</v>
      </c>
      <c r="C258" s="4" t="s">
        <v>3274</v>
      </c>
      <c r="D258" s="4" t="s">
        <v>5170</v>
      </c>
      <c r="E258" s="4" t="s">
        <v>5171</v>
      </c>
      <c r="F258" s="4" t="s">
        <v>1492</v>
      </c>
      <c r="G258" s="4" t="s">
        <v>3190</v>
      </c>
      <c r="H258" s="22">
        <v>0</v>
      </c>
      <c r="I258" s="18">
        <v>710000000</v>
      </c>
      <c r="J258" s="4" t="s">
        <v>1931</v>
      </c>
      <c r="K258" s="4" t="s">
        <v>5297</v>
      </c>
      <c r="L258" s="4" t="s">
        <v>5689</v>
      </c>
      <c r="M258" s="8" t="s">
        <v>3195</v>
      </c>
      <c r="N258" s="8" t="s">
        <v>1890</v>
      </c>
      <c r="O258" s="8" t="s">
        <v>1935</v>
      </c>
      <c r="P258" s="8">
        <v>796</v>
      </c>
      <c r="Q258" s="8" t="s">
        <v>3196</v>
      </c>
      <c r="R258" s="26">
        <v>6</v>
      </c>
      <c r="S258" s="10">
        <v>17</v>
      </c>
      <c r="T258" s="10">
        <f t="shared" si="40"/>
        <v>102</v>
      </c>
      <c r="U258" s="10">
        <f t="shared" si="41"/>
        <v>114.24000000000001</v>
      </c>
      <c r="V258" s="11"/>
      <c r="W258" s="11">
        <v>2015</v>
      </c>
      <c r="X258" s="20"/>
    </row>
    <row r="259" spans="1:24" ht="76.5" customHeight="1" outlineLevel="1" x14ac:dyDescent="0.2">
      <c r="A259" s="1" t="s">
        <v>4373</v>
      </c>
      <c r="B259" s="24" t="s">
        <v>5277</v>
      </c>
      <c r="C259" s="4" t="s">
        <v>3271</v>
      </c>
      <c r="D259" s="4" t="s">
        <v>5158</v>
      </c>
      <c r="E259" s="4" t="s">
        <v>1430</v>
      </c>
      <c r="F259" s="4"/>
      <c r="G259" s="4" t="s">
        <v>3190</v>
      </c>
      <c r="H259" s="22">
        <v>0</v>
      </c>
      <c r="I259" s="18">
        <v>710000000</v>
      </c>
      <c r="J259" s="4" t="s">
        <v>1931</v>
      </c>
      <c r="K259" s="4" t="s">
        <v>5297</v>
      </c>
      <c r="L259" s="4" t="s">
        <v>5689</v>
      </c>
      <c r="M259" s="8" t="s">
        <v>3195</v>
      </c>
      <c r="N259" s="8" t="s">
        <v>1890</v>
      </c>
      <c r="O259" s="8" t="s">
        <v>1935</v>
      </c>
      <c r="P259" s="8">
        <v>796</v>
      </c>
      <c r="Q259" s="8" t="s">
        <v>3196</v>
      </c>
      <c r="R259" s="26">
        <v>6</v>
      </c>
      <c r="S259" s="10">
        <v>60</v>
      </c>
      <c r="T259" s="10">
        <f t="shared" si="40"/>
        <v>360</v>
      </c>
      <c r="U259" s="10">
        <f t="shared" si="41"/>
        <v>403.20000000000005</v>
      </c>
      <c r="V259" s="11"/>
      <c r="W259" s="11">
        <v>2015</v>
      </c>
      <c r="X259" s="20"/>
    </row>
    <row r="260" spans="1:24" ht="76.5" customHeight="1" outlineLevel="1" x14ac:dyDescent="0.2">
      <c r="A260" s="1" t="s">
        <v>4374</v>
      </c>
      <c r="B260" s="24" t="s">
        <v>5277</v>
      </c>
      <c r="C260" s="4" t="s">
        <v>3286</v>
      </c>
      <c r="D260" s="4" t="s">
        <v>5182</v>
      </c>
      <c r="E260" s="4" t="s">
        <v>5183</v>
      </c>
      <c r="F260" s="4" t="s">
        <v>1539</v>
      </c>
      <c r="G260" s="4" t="s">
        <v>3190</v>
      </c>
      <c r="H260" s="22">
        <v>0</v>
      </c>
      <c r="I260" s="18">
        <v>710000000</v>
      </c>
      <c r="J260" s="4" t="s">
        <v>1931</v>
      </c>
      <c r="K260" s="4" t="s">
        <v>5297</v>
      </c>
      <c r="L260" s="4" t="s">
        <v>5689</v>
      </c>
      <c r="M260" s="8" t="s">
        <v>3195</v>
      </c>
      <c r="N260" s="8" t="s">
        <v>1890</v>
      </c>
      <c r="O260" s="8" t="s">
        <v>1935</v>
      </c>
      <c r="P260" s="8">
        <v>796</v>
      </c>
      <c r="Q260" s="8" t="s">
        <v>3196</v>
      </c>
      <c r="R260" s="26">
        <v>3</v>
      </c>
      <c r="S260" s="10">
        <v>640</v>
      </c>
      <c r="T260" s="10">
        <f t="shared" si="40"/>
        <v>1920</v>
      </c>
      <c r="U260" s="10">
        <f t="shared" si="41"/>
        <v>2150.4</v>
      </c>
      <c r="V260" s="11"/>
      <c r="W260" s="11">
        <v>2015</v>
      </c>
      <c r="X260" s="20"/>
    </row>
    <row r="261" spans="1:24" ht="76.5" customHeight="1" outlineLevel="1" x14ac:dyDescent="0.2">
      <c r="A261" s="1" t="s">
        <v>4375</v>
      </c>
      <c r="B261" s="24" t="s">
        <v>5277</v>
      </c>
      <c r="C261" s="4" t="s">
        <v>3287</v>
      </c>
      <c r="D261" s="4" t="s">
        <v>5182</v>
      </c>
      <c r="E261" s="4" t="s">
        <v>5184</v>
      </c>
      <c r="F261" s="4" t="s">
        <v>1540</v>
      </c>
      <c r="G261" s="4" t="s">
        <v>3190</v>
      </c>
      <c r="H261" s="22">
        <v>0</v>
      </c>
      <c r="I261" s="18">
        <v>710000000</v>
      </c>
      <c r="J261" s="4" t="s">
        <v>1931</v>
      </c>
      <c r="K261" s="4" t="s">
        <v>5297</v>
      </c>
      <c r="L261" s="4" t="s">
        <v>5689</v>
      </c>
      <c r="M261" s="8" t="s">
        <v>3195</v>
      </c>
      <c r="N261" s="8" t="s">
        <v>1890</v>
      </c>
      <c r="O261" s="8" t="s">
        <v>1935</v>
      </c>
      <c r="P261" s="8">
        <v>796</v>
      </c>
      <c r="Q261" s="8" t="s">
        <v>3196</v>
      </c>
      <c r="R261" s="26">
        <v>3</v>
      </c>
      <c r="S261" s="10">
        <v>640</v>
      </c>
      <c r="T261" s="10">
        <f t="shared" si="40"/>
        <v>1920</v>
      </c>
      <c r="U261" s="10">
        <f t="shared" si="41"/>
        <v>2150.4</v>
      </c>
      <c r="V261" s="11"/>
      <c r="W261" s="11">
        <v>2015</v>
      </c>
      <c r="X261" s="20"/>
    </row>
    <row r="262" spans="1:24" ht="76.5" customHeight="1" outlineLevel="1" x14ac:dyDescent="0.2">
      <c r="A262" s="1" t="s">
        <v>4376</v>
      </c>
      <c r="B262" s="24" t="s">
        <v>5277</v>
      </c>
      <c r="C262" s="4" t="s">
        <v>1435</v>
      </c>
      <c r="D262" s="4" t="s">
        <v>3294</v>
      </c>
      <c r="E262" s="4" t="s">
        <v>1436</v>
      </c>
      <c r="F262" s="4" t="s">
        <v>1541</v>
      </c>
      <c r="G262" s="4" t="s">
        <v>3190</v>
      </c>
      <c r="H262" s="22">
        <v>0</v>
      </c>
      <c r="I262" s="18">
        <v>710000000</v>
      </c>
      <c r="J262" s="4" t="s">
        <v>1931</v>
      </c>
      <c r="K262" s="4" t="s">
        <v>5297</v>
      </c>
      <c r="L262" s="4" t="s">
        <v>5689</v>
      </c>
      <c r="M262" s="8" t="s">
        <v>3195</v>
      </c>
      <c r="N262" s="8" t="s">
        <v>1890</v>
      </c>
      <c r="O262" s="8" t="s">
        <v>1935</v>
      </c>
      <c r="P262" s="8">
        <v>704</v>
      </c>
      <c r="Q262" s="8" t="s">
        <v>5196</v>
      </c>
      <c r="R262" s="26">
        <v>2</v>
      </c>
      <c r="S262" s="10">
        <v>222</v>
      </c>
      <c r="T262" s="10">
        <f t="shared" si="40"/>
        <v>444</v>
      </c>
      <c r="U262" s="10">
        <f t="shared" si="41"/>
        <v>497.28000000000003</v>
      </c>
      <c r="V262" s="11"/>
      <c r="W262" s="11">
        <v>2015</v>
      </c>
      <c r="X262" s="20"/>
    </row>
    <row r="263" spans="1:24" ht="76.5" customHeight="1" outlineLevel="1" x14ac:dyDescent="0.2">
      <c r="A263" s="1" t="s">
        <v>4377</v>
      </c>
      <c r="B263" s="24" t="s">
        <v>5277</v>
      </c>
      <c r="C263" s="4" t="s">
        <v>3276</v>
      </c>
      <c r="D263" s="4" t="s">
        <v>5174</v>
      </c>
      <c r="E263" s="4" t="s">
        <v>5175</v>
      </c>
      <c r="F263" s="4"/>
      <c r="G263" s="4" t="s">
        <v>3190</v>
      </c>
      <c r="H263" s="22">
        <v>0</v>
      </c>
      <c r="I263" s="18">
        <v>710000000</v>
      </c>
      <c r="J263" s="4" t="s">
        <v>1931</v>
      </c>
      <c r="K263" s="4" t="s">
        <v>5297</v>
      </c>
      <c r="L263" s="4" t="s">
        <v>5689</v>
      </c>
      <c r="M263" s="8" t="s">
        <v>3195</v>
      </c>
      <c r="N263" s="8" t="s">
        <v>1890</v>
      </c>
      <c r="O263" s="8" t="s">
        <v>1935</v>
      </c>
      <c r="P263" s="8">
        <v>796</v>
      </c>
      <c r="Q263" s="8" t="s">
        <v>3196</v>
      </c>
      <c r="R263" s="26">
        <v>2</v>
      </c>
      <c r="S263" s="10">
        <v>235.5</v>
      </c>
      <c r="T263" s="10">
        <f t="shared" si="40"/>
        <v>471</v>
      </c>
      <c r="U263" s="10">
        <f t="shared" si="41"/>
        <v>527.5200000000001</v>
      </c>
      <c r="V263" s="11"/>
      <c r="W263" s="11">
        <v>2015</v>
      </c>
      <c r="X263" s="20"/>
    </row>
    <row r="264" spans="1:24" ht="76.5" customHeight="1" outlineLevel="1" x14ac:dyDescent="0.2">
      <c r="A264" s="1" t="s">
        <v>4378</v>
      </c>
      <c r="B264" s="24" t="s">
        <v>5277</v>
      </c>
      <c r="C264" s="4" t="s">
        <v>3304</v>
      </c>
      <c r="D264" s="4" t="s">
        <v>5197</v>
      </c>
      <c r="E264" s="4" t="s">
        <v>5333</v>
      </c>
      <c r="F264" s="4" t="s">
        <v>1542</v>
      </c>
      <c r="G264" s="4" t="s">
        <v>3190</v>
      </c>
      <c r="H264" s="22">
        <v>0</v>
      </c>
      <c r="I264" s="18">
        <v>710000000</v>
      </c>
      <c r="J264" s="4" t="s">
        <v>1931</v>
      </c>
      <c r="K264" s="4" t="s">
        <v>5297</v>
      </c>
      <c r="L264" s="4" t="s">
        <v>5689</v>
      </c>
      <c r="M264" s="8" t="s">
        <v>3195</v>
      </c>
      <c r="N264" s="8" t="s">
        <v>1890</v>
      </c>
      <c r="O264" s="8" t="s">
        <v>1935</v>
      </c>
      <c r="P264" s="8">
        <v>796</v>
      </c>
      <c r="Q264" s="8" t="s">
        <v>3196</v>
      </c>
      <c r="R264" s="26">
        <v>2</v>
      </c>
      <c r="S264" s="10">
        <v>1916.35</v>
      </c>
      <c r="T264" s="10">
        <f t="shared" si="40"/>
        <v>3832.7</v>
      </c>
      <c r="U264" s="10">
        <f t="shared" si="41"/>
        <v>4292.6239999999998</v>
      </c>
      <c r="V264" s="11"/>
      <c r="W264" s="11">
        <v>2015</v>
      </c>
      <c r="X264" s="20"/>
    </row>
    <row r="265" spans="1:24" ht="76.5" customHeight="1" outlineLevel="1" x14ac:dyDescent="0.2">
      <c r="A265" s="1" t="s">
        <v>4379</v>
      </c>
      <c r="B265" s="24" t="s">
        <v>5277</v>
      </c>
      <c r="C265" s="4" t="s">
        <v>3306</v>
      </c>
      <c r="D265" s="4" t="s">
        <v>3054</v>
      </c>
      <c r="E265" s="4" t="s">
        <v>5338</v>
      </c>
      <c r="F265" s="4" t="s">
        <v>1522</v>
      </c>
      <c r="G265" s="4" t="s">
        <v>3190</v>
      </c>
      <c r="H265" s="22">
        <v>0</v>
      </c>
      <c r="I265" s="18">
        <v>710000000</v>
      </c>
      <c r="J265" s="4" t="s">
        <v>1931</v>
      </c>
      <c r="K265" s="4" t="s">
        <v>5297</v>
      </c>
      <c r="L265" s="4" t="s">
        <v>5689</v>
      </c>
      <c r="M265" s="8" t="s">
        <v>3195</v>
      </c>
      <c r="N265" s="8" t="s">
        <v>1890</v>
      </c>
      <c r="O265" s="8" t="s">
        <v>1935</v>
      </c>
      <c r="P265" s="8">
        <v>796</v>
      </c>
      <c r="Q265" s="8" t="s">
        <v>3196</v>
      </c>
      <c r="R265" s="26">
        <v>36</v>
      </c>
      <c r="S265" s="10">
        <v>157.57</v>
      </c>
      <c r="T265" s="10">
        <f t="shared" si="40"/>
        <v>5672.5199999999995</v>
      </c>
      <c r="U265" s="10">
        <f t="shared" si="41"/>
        <v>6353.2223999999997</v>
      </c>
      <c r="V265" s="11"/>
      <c r="W265" s="11">
        <v>2015</v>
      </c>
      <c r="X265" s="20"/>
    </row>
    <row r="266" spans="1:24" ht="76.5" customHeight="1" outlineLevel="1" x14ac:dyDescent="0.2">
      <c r="A266" s="1" t="s">
        <v>4380</v>
      </c>
      <c r="B266" s="24" t="s">
        <v>5277</v>
      </c>
      <c r="C266" s="4" t="s">
        <v>1514</v>
      </c>
      <c r="D266" s="4" t="s">
        <v>3054</v>
      </c>
      <c r="E266" s="4" t="s">
        <v>1515</v>
      </c>
      <c r="F266" s="4" t="s">
        <v>1516</v>
      </c>
      <c r="G266" s="4" t="s">
        <v>3190</v>
      </c>
      <c r="H266" s="22">
        <v>0</v>
      </c>
      <c r="I266" s="18">
        <v>710000000</v>
      </c>
      <c r="J266" s="4" t="s">
        <v>1931</v>
      </c>
      <c r="K266" s="4" t="s">
        <v>5297</v>
      </c>
      <c r="L266" s="4" t="s">
        <v>5689</v>
      </c>
      <c r="M266" s="8" t="s">
        <v>3195</v>
      </c>
      <c r="N266" s="8" t="s">
        <v>1890</v>
      </c>
      <c r="O266" s="8" t="s">
        <v>1935</v>
      </c>
      <c r="P266" s="8">
        <v>796</v>
      </c>
      <c r="Q266" s="8" t="s">
        <v>3196</v>
      </c>
      <c r="R266" s="26">
        <v>30</v>
      </c>
      <c r="S266" s="10">
        <v>347</v>
      </c>
      <c r="T266" s="10">
        <f t="shared" si="40"/>
        <v>10410</v>
      </c>
      <c r="U266" s="10">
        <f t="shared" si="41"/>
        <v>11659.2</v>
      </c>
      <c r="V266" s="11"/>
      <c r="W266" s="11">
        <v>2015</v>
      </c>
      <c r="X266" s="20"/>
    </row>
    <row r="267" spans="1:24" ht="76.5" customHeight="1" outlineLevel="1" x14ac:dyDescent="0.2">
      <c r="A267" s="1" t="s">
        <v>4381</v>
      </c>
      <c r="B267" s="24" t="s">
        <v>5277</v>
      </c>
      <c r="C267" s="4" t="s">
        <v>3030</v>
      </c>
      <c r="D267" s="4" t="s">
        <v>5310</v>
      </c>
      <c r="E267" s="4" t="s">
        <v>5311</v>
      </c>
      <c r="F267" s="4" t="s">
        <v>1507</v>
      </c>
      <c r="G267" s="4" t="s">
        <v>3190</v>
      </c>
      <c r="H267" s="22">
        <v>0</v>
      </c>
      <c r="I267" s="18">
        <v>710000000</v>
      </c>
      <c r="J267" s="4" t="s">
        <v>1931</v>
      </c>
      <c r="K267" s="4" t="s">
        <v>5297</v>
      </c>
      <c r="L267" s="4" t="s">
        <v>5689</v>
      </c>
      <c r="M267" s="8" t="s">
        <v>3195</v>
      </c>
      <c r="N267" s="8" t="s">
        <v>1890</v>
      </c>
      <c r="O267" s="8" t="s">
        <v>1935</v>
      </c>
      <c r="P267" s="8">
        <v>796</v>
      </c>
      <c r="Q267" s="8" t="s">
        <v>3196</v>
      </c>
      <c r="R267" s="26">
        <v>36</v>
      </c>
      <c r="S267" s="10">
        <v>53</v>
      </c>
      <c r="T267" s="10">
        <f t="shared" si="40"/>
        <v>1908</v>
      </c>
      <c r="U267" s="10">
        <f t="shared" si="41"/>
        <v>2136.96</v>
      </c>
      <c r="V267" s="11"/>
      <c r="W267" s="11">
        <v>2015</v>
      </c>
      <c r="X267" s="20"/>
    </row>
    <row r="268" spans="1:24" ht="76.5" customHeight="1" outlineLevel="1" x14ac:dyDescent="0.2">
      <c r="A268" s="1" t="s">
        <v>4382</v>
      </c>
      <c r="B268" s="24" t="s">
        <v>5277</v>
      </c>
      <c r="C268" s="4" t="s">
        <v>3008</v>
      </c>
      <c r="D268" s="4" t="s">
        <v>5150</v>
      </c>
      <c r="E268" s="4" t="s">
        <v>5151</v>
      </c>
      <c r="F268" s="4" t="s">
        <v>1454</v>
      </c>
      <c r="G268" s="4" t="s">
        <v>3190</v>
      </c>
      <c r="H268" s="22">
        <v>0</v>
      </c>
      <c r="I268" s="18">
        <v>710000000</v>
      </c>
      <c r="J268" s="4" t="s">
        <v>1931</v>
      </c>
      <c r="K268" s="4" t="s">
        <v>5297</v>
      </c>
      <c r="L268" s="4" t="s">
        <v>5689</v>
      </c>
      <c r="M268" s="8" t="s">
        <v>3195</v>
      </c>
      <c r="N268" s="8" t="s">
        <v>1890</v>
      </c>
      <c r="O268" s="8" t="s">
        <v>1935</v>
      </c>
      <c r="P268" s="8">
        <v>778</v>
      </c>
      <c r="Q268" s="8" t="s">
        <v>5152</v>
      </c>
      <c r="R268" s="26">
        <v>6</v>
      </c>
      <c r="S268" s="10">
        <v>52</v>
      </c>
      <c r="T268" s="10">
        <f t="shared" si="40"/>
        <v>312</v>
      </c>
      <c r="U268" s="10">
        <f t="shared" si="41"/>
        <v>349.44000000000005</v>
      </c>
      <c r="V268" s="11"/>
      <c r="W268" s="11">
        <v>2015</v>
      </c>
      <c r="X268" s="20"/>
    </row>
    <row r="269" spans="1:24" ht="76.5" customHeight="1" outlineLevel="1" x14ac:dyDescent="0.2">
      <c r="A269" s="1" t="s">
        <v>4383</v>
      </c>
      <c r="B269" s="24" t="s">
        <v>5277</v>
      </c>
      <c r="C269" s="4" t="s">
        <v>3268</v>
      </c>
      <c r="D269" s="4" t="s">
        <v>5154</v>
      </c>
      <c r="E269" s="4" t="s">
        <v>5155</v>
      </c>
      <c r="F269" s="4" t="s">
        <v>1543</v>
      </c>
      <c r="G269" s="4" t="s">
        <v>3190</v>
      </c>
      <c r="H269" s="22">
        <v>0</v>
      </c>
      <c r="I269" s="18">
        <v>710000000</v>
      </c>
      <c r="J269" s="4" t="s">
        <v>1931</v>
      </c>
      <c r="K269" s="4" t="s">
        <v>5297</v>
      </c>
      <c r="L269" s="4" t="s">
        <v>5689</v>
      </c>
      <c r="M269" s="8" t="s">
        <v>3195</v>
      </c>
      <c r="N269" s="8" t="s">
        <v>1890</v>
      </c>
      <c r="O269" s="8" t="s">
        <v>1935</v>
      </c>
      <c r="P269" s="8">
        <v>796</v>
      </c>
      <c r="Q269" s="8" t="s">
        <v>3196</v>
      </c>
      <c r="R269" s="26">
        <v>36</v>
      </c>
      <c r="S269" s="10">
        <v>110.68</v>
      </c>
      <c r="T269" s="10">
        <f t="shared" si="40"/>
        <v>3984.4800000000005</v>
      </c>
      <c r="U269" s="10">
        <f t="shared" si="41"/>
        <v>4462.6176000000014</v>
      </c>
      <c r="V269" s="11"/>
      <c r="W269" s="11">
        <v>2015</v>
      </c>
      <c r="X269" s="20"/>
    </row>
    <row r="270" spans="1:24" ht="76.5" customHeight="1" outlineLevel="1" x14ac:dyDescent="0.2">
      <c r="A270" s="1" t="s">
        <v>4384</v>
      </c>
      <c r="B270" s="24" t="s">
        <v>5277</v>
      </c>
      <c r="C270" s="4" t="s">
        <v>3272</v>
      </c>
      <c r="D270" s="4" t="s">
        <v>3004</v>
      </c>
      <c r="E270" s="4" t="s">
        <v>5164</v>
      </c>
      <c r="F270" s="4" t="s">
        <v>1524</v>
      </c>
      <c r="G270" s="4" t="s">
        <v>3190</v>
      </c>
      <c r="H270" s="22">
        <v>0</v>
      </c>
      <c r="I270" s="18">
        <v>710000000</v>
      </c>
      <c r="J270" s="4" t="s">
        <v>1931</v>
      </c>
      <c r="K270" s="4" t="s">
        <v>5297</v>
      </c>
      <c r="L270" s="4" t="s">
        <v>5689</v>
      </c>
      <c r="M270" s="8" t="s">
        <v>3195</v>
      </c>
      <c r="N270" s="8" t="s">
        <v>1890</v>
      </c>
      <c r="O270" s="8" t="s">
        <v>1935</v>
      </c>
      <c r="P270" s="8">
        <v>796</v>
      </c>
      <c r="Q270" s="8" t="s">
        <v>3196</v>
      </c>
      <c r="R270" s="26">
        <v>18</v>
      </c>
      <c r="S270" s="10">
        <v>224</v>
      </c>
      <c r="T270" s="10">
        <f t="shared" si="40"/>
        <v>4032</v>
      </c>
      <c r="U270" s="10">
        <f t="shared" si="41"/>
        <v>4515.84</v>
      </c>
      <c r="V270" s="11"/>
      <c r="W270" s="11">
        <v>2015</v>
      </c>
      <c r="X270" s="20"/>
    </row>
    <row r="271" spans="1:24" ht="76.5" customHeight="1" outlineLevel="1" x14ac:dyDescent="0.2">
      <c r="A271" s="1" t="s">
        <v>4385</v>
      </c>
      <c r="B271" s="24" t="s">
        <v>5277</v>
      </c>
      <c r="C271" s="4" t="s">
        <v>3003</v>
      </c>
      <c r="D271" s="4" t="s">
        <v>3004</v>
      </c>
      <c r="E271" s="4" t="s">
        <v>5166</v>
      </c>
      <c r="F271" s="4" t="s">
        <v>1525</v>
      </c>
      <c r="G271" s="4" t="s">
        <v>3190</v>
      </c>
      <c r="H271" s="22">
        <v>0</v>
      </c>
      <c r="I271" s="18">
        <v>710000000</v>
      </c>
      <c r="J271" s="4" t="s">
        <v>1931</v>
      </c>
      <c r="K271" s="4" t="s">
        <v>5297</v>
      </c>
      <c r="L271" s="4" t="s">
        <v>5689</v>
      </c>
      <c r="M271" s="8" t="s">
        <v>3195</v>
      </c>
      <c r="N271" s="8" t="s">
        <v>1890</v>
      </c>
      <c r="O271" s="8" t="s">
        <v>1935</v>
      </c>
      <c r="P271" s="8">
        <v>796</v>
      </c>
      <c r="Q271" s="8" t="s">
        <v>3196</v>
      </c>
      <c r="R271" s="26">
        <v>18</v>
      </c>
      <c r="S271" s="10">
        <v>54</v>
      </c>
      <c r="T271" s="10">
        <f t="shared" si="40"/>
        <v>972</v>
      </c>
      <c r="U271" s="10">
        <f t="shared" si="41"/>
        <v>1088.6400000000001</v>
      </c>
      <c r="V271" s="11"/>
      <c r="W271" s="11">
        <v>2015</v>
      </c>
      <c r="X271" s="20"/>
    </row>
    <row r="272" spans="1:24" ht="76.5" customHeight="1" outlineLevel="1" x14ac:dyDescent="0.2">
      <c r="A272" s="1" t="s">
        <v>4386</v>
      </c>
      <c r="B272" s="24" t="s">
        <v>5277</v>
      </c>
      <c r="C272" s="4" t="s">
        <v>3036</v>
      </c>
      <c r="D272" s="4" t="s">
        <v>3037</v>
      </c>
      <c r="E272" s="4" t="s">
        <v>3038</v>
      </c>
      <c r="F272" s="4" t="s">
        <v>1544</v>
      </c>
      <c r="G272" s="4" t="s">
        <v>3190</v>
      </c>
      <c r="H272" s="22">
        <v>0</v>
      </c>
      <c r="I272" s="18">
        <v>710000000</v>
      </c>
      <c r="J272" s="4" t="s">
        <v>1931</v>
      </c>
      <c r="K272" s="4" t="s">
        <v>5297</v>
      </c>
      <c r="L272" s="4" t="s">
        <v>5689</v>
      </c>
      <c r="M272" s="8" t="s">
        <v>3195</v>
      </c>
      <c r="N272" s="8" t="s">
        <v>1890</v>
      </c>
      <c r="O272" s="8" t="s">
        <v>1935</v>
      </c>
      <c r="P272" s="8">
        <v>778</v>
      </c>
      <c r="Q272" s="8" t="s">
        <v>5152</v>
      </c>
      <c r="R272" s="26">
        <v>18</v>
      </c>
      <c r="S272" s="10">
        <v>39.43</v>
      </c>
      <c r="T272" s="10">
        <f t="shared" si="40"/>
        <v>709.74</v>
      </c>
      <c r="U272" s="10">
        <f t="shared" si="41"/>
        <v>794.90880000000004</v>
      </c>
      <c r="V272" s="11"/>
      <c r="W272" s="11">
        <v>2015</v>
      </c>
      <c r="X272" s="20"/>
    </row>
    <row r="273" spans="1:24" ht="76.5" customHeight="1" outlineLevel="1" x14ac:dyDescent="0.2">
      <c r="A273" s="1" t="s">
        <v>4387</v>
      </c>
      <c r="B273" s="24" t="s">
        <v>5277</v>
      </c>
      <c r="C273" s="4" t="s">
        <v>3266</v>
      </c>
      <c r="D273" s="4" t="s">
        <v>3267</v>
      </c>
      <c r="E273" s="4" t="s">
        <v>5153</v>
      </c>
      <c r="F273" s="4" t="s">
        <v>1545</v>
      </c>
      <c r="G273" s="4" t="s">
        <v>3190</v>
      </c>
      <c r="H273" s="22">
        <v>0</v>
      </c>
      <c r="I273" s="18">
        <v>710000000</v>
      </c>
      <c r="J273" s="4" t="s">
        <v>1931</v>
      </c>
      <c r="K273" s="4" t="s">
        <v>5297</v>
      </c>
      <c r="L273" s="4" t="s">
        <v>5689</v>
      </c>
      <c r="M273" s="8" t="s">
        <v>3195</v>
      </c>
      <c r="N273" s="8" t="s">
        <v>1890</v>
      </c>
      <c r="O273" s="8" t="s">
        <v>1935</v>
      </c>
      <c r="P273" s="8">
        <v>796</v>
      </c>
      <c r="Q273" s="8" t="s">
        <v>3196</v>
      </c>
      <c r="R273" s="26">
        <v>2</v>
      </c>
      <c r="S273" s="10">
        <v>364.96</v>
      </c>
      <c r="T273" s="10">
        <f t="shared" si="40"/>
        <v>729.92</v>
      </c>
      <c r="U273" s="10">
        <f t="shared" si="41"/>
        <v>817.5104</v>
      </c>
      <c r="V273" s="11"/>
      <c r="W273" s="11">
        <v>2015</v>
      </c>
      <c r="X273" s="20"/>
    </row>
    <row r="274" spans="1:24" ht="76.5" customHeight="1" outlineLevel="1" x14ac:dyDescent="0.2">
      <c r="A274" s="1" t="s">
        <v>4388</v>
      </c>
      <c r="B274" s="24" t="s">
        <v>5277</v>
      </c>
      <c r="C274" s="4" t="s">
        <v>3305</v>
      </c>
      <c r="D274" s="4" t="s">
        <v>5149</v>
      </c>
      <c r="E274" s="4" t="s">
        <v>5335</v>
      </c>
      <c r="F274" s="4" t="s">
        <v>1460</v>
      </c>
      <c r="G274" s="4" t="s">
        <v>3190</v>
      </c>
      <c r="H274" s="22">
        <v>0</v>
      </c>
      <c r="I274" s="18">
        <v>710000000</v>
      </c>
      <c r="J274" s="4" t="s">
        <v>1931</v>
      </c>
      <c r="K274" s="4" t="s">
        <v>5297</v>
      </c>
      <c r="L274" s="4" t="s">
        <v>5689</v>
      </c>
      <c r="M274" s="8" t="s">
        <v>3195</v>
      </c>
      <c r="N274" s="8" t="s">
        <v>1890</v>
      </c>
      <c r="O274" s="8" t="s">
        <v>1935</v>
      </c>
      <c r="P274" s="8">
        <v>796</v>
      </c>
      <c r="Q274" s="8" t="s">
        <v>3196</v>
      </c>
      <c r="R274" s="26">
        <v>18</v>
      </c>
      <c r="S274" s="10">
        <v>86</v>
      </c>
      <c r="T274" s="10">
        <f t="shared" si="40"/>
        <v>1548</v>
      </c>
      <c r="U274" s="10">
        <f t="shared" si="41"/>
        <v>1733.7600000000002</v>
      </c>
      <c r="V274" s="11"/>
      <c r="W274" s="11">
        <v>2015</v>
      </c>
      <c r="X274" s="20"/>
    </row>
    <row r="275" spans="1:24" ht="76.5" customHeight="1" outlineLevel="1" x14ac:dyDescent="0.2">
      <c r="A275" s="1" t="s">
        <v>4389</v>
      </c>
      <c r="B275" s="24" t="s">
        <v>5277</v>
      </c>
      <c r="C275" s="4" t="s">
        <v>3275</v>
      </c>
      <c r="D275" s="4" t="s">
        <v>5172</v>
      </c>
      <c r="E275" s="4" t="s">
        <v>5173</v>
      </c>
      <c r="F275" s="4"/>
      <c r="G275" s="4" t="s">
        <v>3190</v>
      </c>
      <c r="H275" s="22">
        <v>0</v>
      </c>
      <c r="I275" s="18">
        <v>710000000</v>
      </c>
      <c r="J275" s="4" t="s">
        <v>1931</v>
      </c>
      <c r="K275" s="4" t="s">
        <v>5297</v>
      </c>
      <c r="L275" s="4" t="s">
        <v>5689</v>
      </c>
      <c r="M275" s="8" t="s">
        <v>3195</v>
      </c>
      <c r="N275" s="8" t="s">
        <v>1890</v>
      </c>
      <c r="O275" s="8" t="s">
        <v>1935</v>
      </c>
      <c r="P275" s="8">
        <v>796</v>
      </c>
      <c r="Q275" s="8" t="s">
        <v>3196</v>
      </c>
      <c r="R275" s="26">
        <v>2</v>
      </c>
      <c r="S275" s="10">
        <v>20.66</v>
      </c>
      <c r="T275" s="10">
        <f t="shared" si="40"/>
        <v>41.32</v>
      </c>
      <c r="U275" s="10">
        <f t="shared" si="41"/>
        <v>46.278400000000005</v>
      </c>
      <c r="V275" s="11"/>
      <c r="W275" s="11">
        <v>2015</v>
      </c>
      <c r="X275" s="20"/>
    </row>
    <row r="276" spans="1:24" ht="76.5" customHeight="1" outlineLevel="1" x14ac:dyDescent="0.2">
      <c r="A276" s="1" t="s">
        <v>4390</v>
      </c>
      <c r="B276" s="24" t="s">
        <v>5277</v>
      </c>
      <c r="C276" s="4" t="s">
        <v>3035</v>
      </c>
      <c r="D276" s="4" t="s">
        <v>5306</v>
      </c>
      <c r="E276" s="4" t="s">
        <v>5340</v>
      </c>
      <c r="F276" s="4" t="s">
        <v>1531</v>
      </c>
      <c r="G276" s="4" t="s">
        <v>3190</v>
      </c>
      <c r="H276" s="22">
        <v>0</v>
      </c>
      <c r="I276" s="18">
        <v>710000000</v>
      </c>
      <c r="J276" s="4" t="s">
        <v>1931</v>
      </c>
      <c r="K276" s="4" t="s">
        <v>5297</v>
      </c>
      <c r="L276" s="4" t="s">
        <v>5689</v>
      </c>
      <c r="M276" s="8" t="s">
        <v>3195</v>
      </c>
      <c r="N276" s="8" t="s">
        <v>1890</v>
      </c>
      <c r="O276" s="8" t="s">
        <v>1935</v>
      </c>
      <c r="P276" s="8">
        <v>796</v>
      </c>
      <c r="Q276" s="8" t="s">
        <v>3196</v>
      </c>
      <c r="R276" s="26">
        <v>180</v>
      </c>
      <c r="S276" s="10">
        <v>13.69</v>
      </c>
      <c r="T276" s="10">
        <f t="shared" si="40"/>
        <v>2464.1999999999998</v>
      </c>
      <c r="U276" s="10">
        <f t="shared" si="41"/>
        <v>2759.904</v>
      </c>
      <c r="V276" s="11"/>
      <c r="W276" s="11">
        <v>2015</v>
      </c>
      <c r="X276" s="20"/>
    </row>
    <row r="277" spans="1:24" ht="76.5" customHeight="1" outlineLevel="1" x14ac:dyDescent="0.2">
      <c r="A277" s="1" t="s">
        <v>4391</v>
      </c>
      <c r="B277" s="24" t="s">
        <v>5277</v>
      </c>
      <c r="C277" s="4" t="s">
        <v>3032</v>
      </c>
      <c r="D277" s="4" t="s">
        <v>3033</v>
      </c>
      <c r="E277" s="4" t="s">
        <v>5162</v>
      </c>
      <c r="F277" s="4" t="s">
        <v>1546</v>
      </c>
      <c r="G277" s="4" t="s">
        <v>3190</v>
      </c>
      <c r="H277" s="22">
        <v>0</v>
      </c>
      <c r="I277" s="18">
        <v>710000000</v>
      </c>
      <c r="J277" s="4" t="s">
        <v>1931</v>
      </c>
      <c r="K277" s="4" t="s">
        <v>5297</v>
      </c>
      <c r="L277" s="4" t="s">
        <v>5689</v>
      </c>
      <c r="M277" s="8" t="s">
        <v>3195</v>
      </c>
      <c r="N277" s="8" t="s">
        <v>1890</v>
      </c>
      <c r="O277" s="8" t="s">
        <v>1935</v>
      </c>
      <c r="P277" s="8">
        <v>796</v>
      </c>
      <c r="Q277" s="8" t="s">
        <v>3196</v>
      </c>
      <c r="R277" s="26">
        <v>12</v>
      </c>
      <c r="S277" s="10">
        <v>131.75</v>
      </c>
      <c r="T277" s="10">
        <f t="shared" si="40"/>
        <v>1581</v>
      </c>
      <c r="U277" s="10">
        <f t="shared" si="41"/>
        <v>1770.7200000000003</v>
      </c>
      <c r="V277" s="11"/>
      <c r="W277" s="11">
        <v>2015</v>
      </c>
      <c r="X277" s="20"/>
    </row>
    <row r="278" spans="1:24" ht="76.5" customHeight="1" outlineLevel="1" x14ac:dyDescent="0.2">
      <c r="A278" s="1" t="s">
        <v>4392</v>
      </c>
      <c r="B278" s="24" t="s">
        <v>5277</v>
      </c>
      <c r="C278" s="4" t="s">
        <v>3624</v>
      </c>
      <c r="D278" s="4" t="s">
        <v>3625</v>
      </c>
      <c r="E278" s="4" t="s">
        <v>5345</v>
      </c>
      <c r="F278" s="4" t="s">
        <v>1547</v>
      </c>
      <c r="G278" s="4" t="s">
        <v>3190</v>
      </c>
      <c r="H278" s="22">
        <v>0</v>
      </c>
      <c r="I278" s="18">
        <v>710000000</v>
      </c>
      <c r="J278" s="4" t="s">
        <v>1931</v>
      </c>
      <c r="K278" s="4" t="s">
        <v>5297</v>
      </c>
      <c r="L278" s="4" t="s">
        <v>1889</v>
      </c>
      <c r="M278" s="8" t="s">
        <v>3195</v>
      </c>
      <c r="N278" s="8" t="s">
        <v>1890</v>
      </c>
      <c r="O278" s="8" t="s">
        <v>1935</v>
      </c>
      <c r="P278" s="8">
        <v>796</v>
      </c>
      <c r="Q278" s="8" t="s">
        <v>6401</v>
      </c>
      <c r="R278" s="26">
        <v>70</v>
      </c>
      <c r="S278" s="10">
        <v>678.57</v>
      </c>
      <c r="T278" s="10">
        <f>R278*S278</f>
        <v>47499.9</v>
      </c>
      <c r="U278" s="10">
        <f t="shared" si="41"/>
        <v>53199.888000000006</v>
      </c>
      <c r="V278" s="11"/>
      <c r="W278" s="11">
        <v>2015</v>
      </c>
      <c r="X278" s="4"/>
    </row>
    <row r="279" spans="1:24" ht="76.5" customHeight="1" outlineLevel="1" x14ac:dyDescent="0.2">
      <c r="A279" s="1" t="s">
        <v>4393</v>
      </c>
      <c r="B279" s="24" t="s">
        <v>5277</v>
      </c>
      <c r="C279" s="4" t="s">
        <v>3298</v>
      </c>
      <c r="D279" s="4" t="s">
        <v>1548</v>
      </c>
      <c r="E279" s="4" t="s">
        <v>1549</v>
      </c>
      <c r="F279" s="4"/>
      <c r="G279" s="4" t="s">
        <v>3190</v>
      </c>
      <c r="H279" s="22">
        <v>0</v>
      </c>
      <c r="I279" s="18">
        <v>710000000</v>
      </c>
      <c r="J279" s="4" t="s">
        <v>1931</v>
      </c>
      <c r="K279" s="4" t="s">
        <v>5297</v>
      </c>
      <c r="L279" s="4" t="s">
        <v>1889</v>
      </c>
      <c r="M279" s="8" t="s">
        <v>3195</v>
      </c>
      <c r="N279" s="8" t="s">
        <v>1890</v>
      </c>
      <c r="O279" s="8" t="s">
        <v>1935</v>
      </c>
      <c r="P279" s="8">
        <v>796</v>
      </c>
      <c r="Q279" s="8" t="s">
        <v>6401</v>
      </c>
      <c r="R279" s="26">
        <v>25</v>
      </c>
      <c r="S279" s="10">
        <v>236.6</v>
      </c>
      <c r="T279" s="10">
        <f t="shared" ref="T279:T308" si="42">R279*S279</f>
        <v>5915</v>
      </c>
      <c r="U279" s="10">
        <f t="shared" ref="U279:U308" si="43">T279*1.12</f>
        <v>6624.8</v>
      </c>
      <c r="V279" s="11"/>
      <c r="W279" s="11">
        <v>2015</v>
      </c>
      <c r="X279" s="4"/>
    </row>
    <row r="280" spans="1:24" ht="76.5" customHeight="1" outlineLevel="1" x14ac:dyDescent="0.2">
      <c r="A280" s="1" t="s">
        <v>4394</v>
      </c>
      <c r="B280" s="24" t="s">
        <v>5277</v>
      </c>
      <c r="C280" s="4" t="s">
        <v>1550</v>
      </c>
      <c r="D280" s="4" t="s">
        <v>5294</v>
      </c>
      <c r="E280" s="4" t="s">
        <v>5352</v>
      </c>
      <c r="F280" s="4" t="s">
        <v>1551</v>
      </c>
      <c r="G280" s="4" t="s">
        <v>3190</v>
      </c>
      <c r="H280" s="22">
        <v>0</v>
      </c>
      <c r="I280" s="18">
        <v>710000000</v>
      </c>
      <c r="J280" s="4" t="s">
        <v>1931</v>
      </c>
      <c r="K280" s="4" t="s">
        <v>5297</v>
      </c>
      <c r="L280" s="4" t="s">
        <v>1889</v>
      </c>
      <c r="M280" s="8" t="s">
        <v>3195</v>
      </c>
      <c r="N280" s="8" t="s">
        <v>1890</v>
      </c>
      <c r="O280" s="8" t="s">
        <v>1935</v>
      </c>
      <c r="P280" s="8">
        <v>5111</v>
      </c>
      <c r="Q280" s="8" t="s">
        <v>5298</v>
      </c>
      <c r="R280" s="26">
        <v>30</v>
      </c>
      <c r="S280" s="10">
        <v>188.4</v>
      </c>
      <c r="T280" s="10">
        <f t="shared" si="42"/>
        <v>5652</v>
      </c>
      <c r="U280" s="10">
        <f t="shared" si="43"/>
        <v>6330.2400000000007</v>
      </c>
      <c r="V280" s="11"/>
      <c r="W280" s="11">
        <v>2015</v>
      </c>
      <c r="X280" s="4"/>
    </row>
    <row r="281" spans="1:24" ht="76.5" customHeight="1" outlineLevel="1" x14ac:dyDescent="0.2">
      <c r="A281" s="1" t="s">
        <v>4395</v>
      </c>
      <c r="B281" s="24" t="s">
        <v>5277</v>
      </c>
      <c r="C281" s="18" t="s">
        <v>1550</v>
      </c>
      <c r="D281" s="18" t="s">
        <v>5294</v>
      </c>
      <c r="E281" s="7" t="s">
        <v>5352</v>
      </c>
      <c r="F281" s="4"/>
      <c r="G281" s="4" t="s">
        <v>3190</v>
      </c>
      <c r="H281" s="22">
        <v>0</v>
      </c>
      <c r="I281" s="18">
        <v>710000000</v>
      </c>
      <c r="J281" s="4" t="s">
        <v>1931</v>
      </c>
      <c r="K281" s="4" t="s">
        <v>5297</v>
      </c>
      <c r="L281" s="4" t="s">
        <v>1889</v>
      </c>
      <c r="M281" s="8" t="s">
        <v>3195</v>
      </c>
      <c r="N281" s="8" t="s">
        <v>1890</v>
      </c>
      <c r="O281" s="8" t="s">
        <v>1935</v>
      </c>
      <c r="P281" s="8">
        <v>5111</v>
      </c>
      <c r="Q281" s="4" t="s">
        <v>5298</v>
      </c>
      <c r="R281" s="26">
        <v>30</v>
      </c>
      <c r="S281" s="10">
        <v>166.07</v>
      </c>
      <c r="T281" s="10">
        <f t="shared" si="42"/>
        <v>4982.0999999999995</v>
      </c>
      <c r="U281" s="10">
        <f t="shared" si="43"/>
        <v>5579.9520000000002</v>
      </c>
      <c r="V281" s="11"/>
      <c r="W281" s="11">
        <v>2015</v>
      </c>
      <c r="X281" s="4"/>
    </row>
    <row r="282" spans="1:24" ht="76.5" customHeight="1" outlineLevel="1" x14ac:dyDescent="0.2">
      <c r="A282" s="1" t="s">
        <v>4396</v>
      </c>
      <c r="B282" s="24" t="s">
        <v>5277</v>
      </c>
      <c r="C282" s="4" t="s">
        <v>3627</v>
      </c>
      <c r="D282" s="4" t="s">
        <v>5294</v>
      </c>
      <c r="E282" s="4" t="s">
        <v>5349</v>
      </c>
      <c r="F282" s="4"/>
      <c r="G282" s="4" t="s">
        <v>3190</v>
      </c>
      <c r="H282" s="22">
        <v>0</v>
      </c>
      <c r="I282" s="18">
        <v>710000000</v>
      </c>
      <c r="J282" s="4" t="s">
        <v>1931</v>
      </c>
      <c r="K282" s="4" t="s">
        <v>5297</v>
      </c>
      <c r="L282" s="4" t="s">
        <v>1889</v>
      </c>
      <c r="M282" s="8" t="s">
        <v>3195</v>
      </c>
      <c r="N282" s="8" t="s">
        <v>1890</v>
      </c>
      <c r="O282" s="8" t="s">
        <v>1935</v>
      </c>
      <c r="P282" s="8">
        <v>796</v>
      </c>
      <c r="Q282" s="8" t="s">
        <v>3196</v>
      </c>
      <c r="R282" s="26">
        <v>50</v>
      </c>
      <c r="S282" s="10">
        <v>66.959999999999994</v>
      </c>
      <c r="T282" s="10">
        <f t="shared" si="42"/>
        <v>3347.9999999999995</v>
      </c>
      <c r="U282" s="10">
        <f t="shared" si="43"/>
        <v>3749.7599999999998</v>
      </c>
      <c r="V282" s="11"/>
      <c r="W282" s="11">
        <v>2015</v>
      </c>
      <c r="X282" s="4"/>
    </row>
    <row r="283" spans="1:24" ht="76.5" customHeight="1" outlineLevel="1" x14ac:dyDescent="0.2">
      <c r="A283" s="1" t="s">
        <v>4397</v>
      </c>
      <c r="B283" s="24" t="s">
        <v>5277</v>
      </c>
      <c r="C283" s="18" t="s">
        <v>1552</v>
      </c>
      <c r="D283" s="7" t="s">
        <v>3628</v>
      </c>
      <c r="E283" s="7" t="s">
        <v>5350</v>
      </c>
      <c r="F283" s="4" t="s">
        <v>5351</v>
      </c>
      <c r="G283" s="4" t="s">
        <v>3190</v>
      </c>
      <c r="H283" s="22">
        <v>0</v>
      </c>
      <c r="I283" s="18">
        <v>710000000</v>
      </c>
      <c r="J283" s="4" t="s">
        <v>1931</v>
      </c>
      <c r="K283" s="4" t="s">
        <v>5297</v>
      </c>
      <c r="L283" s="4" t="s">
        <v>1889</v>
      </c>
      <c r="M283" s="8" t="s">
        <v>3195</v>
      </c>
      <c r="N283" s="8" t="s">
        <v>1890</v>
      </c>
      <c r="O283" s="8" t="s">
        <v>1935</v>
      </c>
      <c r="P283" s="8">
        <v>704</v>
      </c>
      <c r="Q283" s="8" t="s">
        <v>5196</v>
      </c>
      <c r="R283" s="26">
        <v>50</v>
      </c>
      <c r="S283" s="10">
        <v>647.32000000000005</v>
      </c>
      <c r="T283" s="10">
        <f t="shared" si="42"/>
        <v>32366.000000000004</v>
      </c>
      <c r="U283" s="10">
        <f t="shared" si="43"/>
        <v>36249.920000000006</v>
      </c>
      <c r="V283" s="11"/>
      <c r="W283" s="11">
        <v>2015</v>
      </c>
      <c r="X283" s="4"/>
    </row>
    <row r="284" spans="1:24" ht="76.5" customHeight="1" outlineLevel="1" x14ac:dyDescent="0.2">
      <c r="A284" s="1" t="s">
        <v>4398</v>
      </c>
      <c r="B284" s="24" t="s">
        <v>5277</v>
      </c>
      <c r="C284" s="16" t="s">
        <v>1553</v>
      </c>
      <c r="D284" s="16" t="s">
        <v>5362</v>
      </c>
      <c r="E284" s="16" t="s">
        <v>1554</v>
      </c>
      <c r="F284" s="16"/>
      <c r="G284" s="4" t="s">
        <v>3190</v>
      </c>
      <c r="H284" s="22">
        <v>0</v>
      </c>
      <c r="I284" s="18">
        <v>710000000</v>
      </c>
      <c r="J284" s="4" t="s">
        <v>1931</v>
      </c>
      <c r="K284" s="4" t="s">
        <v>5297</v>
      </c>
      <c r="L284" s="4" t="s">
        <v>1889</v>
      </c>
      <c r="M284" s="8" t="s">
        <v>3195</v>
      </c>
      <c r="N284" s="8" t="s">
        <v>1890</v>
      </c>
      <c r="O284" s="8" t="s">
        <v>1935</v>
      </c>
      <c r="P284" s="8">
        <v>778</v>
      </c>
      <c r="Q284" s="8" t="s">
        <v>3327</v>
      </c>
      <c r="R284" s="26">
        <v>1</v>
      </c>
      <c r="S284" s="10">
        <v>379</v>
      </c>
      <c r="T284" s="10">
        <f t="shared" si="42"/>
        <v>379</v>
      </c>
      <c r="U284" s="10">
        <f t="shared" si="43"/>
        <v>424.48</v>
      </c>
      <c r="V284" s="11"/>
      <c r="W284" s="11">
        <v>2015</v>
      </c>
      <c r="X284" s="4"/>
    </row>
    <row r="285" spans="1:24" ht="76.5" customHeight="1" outlineLevel="1" x14ac:dyDescent="0.2">
      <c r="A285" s="1" t="s">
        <v>4399</v>
      </c>
      <c r="B285" s="24" t="s">
        <v>5277</v>
      </c>
      <c r="C285" s="190" t="s">
        <v>1555</v>
      </c>
      <c r="D285" s="190" t="s">
        <v>1556</v>
      </c>
      <c r="E285" s="190" t="s">
        <v>1557</v>
      </c>
      <c r="F285" s="4"/>
      <c r="G285" s="4" t="s">
        <v>3190</v>
      </c>
      <c r="H285" s="22">
        <v>0</v>
      </c>
      <c r="I285" s="18">
        <v>710000000</v>
      </c>
      <c r="J285" s="4" t="s">
        <v>1931</v>
      </c>
      <c r="K285" s="4" t="s">
        <v>5297</v>
      </c>
      <c r="L285" s="4" t="s">
        <v>1889</v>
      </c>
      <c r="M285" s="8" t="s">
        <v>3195</v>
      </c>
      <c r="N285" s="8" t="s">
        <v>1890</v>
      </c>
      <c r="O285" s="8" t="s">
        <v>1935</v>
      </c>
      <c r="P285" s="8">
        <v>796</v>
      </c>
      <c r="Q285" s="8" t="s">
        <v>3196</v>
      </c>
      <c r="R285" s="26">
        <v>100</v>
      </c>
      <c r="S285" s="10">
        <v>30.36</v>
      </c>
      <c r="T285" s="10">
        <f t="shared" si="42"/>
        <v>3036</v>
      </c>
      <c r="U285" s="10">
        <f t="shared" si="43"/>
        <v>3400.32</v>
      </c>
      <c r="V285" s="11"/>
      <c r="W285" s="11">
        <v>2015</v>
      </c>
      <c r="X285" s="4"/>
    </row>
    <row r="286" spans="1:24" ht="76.5" customHeight="1" outlineLevel="1" x14ac:dyDescent="0.2">
      <c r="A286" s="1" t="s">
        <v>4400</v>
      </c>
      <c r="B286" s="24" t="s">
        <v>5277</v>
      </c>
      <c r="C286" s="191" t="s">
        <v>3623</v>
      </c>
      <c r="D286" s="123" t="s">
        <v>5342</v>
      </c>
      <c r="E286" s="123" t="s">
        <v>5343</v>
      </c>
      <c r="F286" s="4"/>
      <c r="G286" s="4" t="s">
        <v>3190</v>
      </c>
      <c r="H286" s="22">
        <v>0</v>
      </c>
      <c r="I286" s="18">
        <v>710000000</v>
      </c>
      <c r="J286" s="4" t="s">
        <v>1931</v>
      </c>
      <c r="K286" s="4" t="s">
        <v>5297</v>
      </c>
      <c r="L286" s="4" t="s">
        <v>1889</v>
      </c>
      <c r="M286" s="8" t="s">
        <v>3195</v>
      </c>
      <c r="N286" s="8" t="s">
        <v>1890</v>
      </c>
      <c r="O286" s="8" t="s">
        <v>1935</v>
      </c>
      <c r="P286" s="4">
        <v>704</v>
      </c>
      <c r="Q286" s="4" t="s">
        <v>5196</v>
      </c>
      <c r="R286" s="26">
        <v>70</v>
      </c>
      <c r="S286" s="10">
        <v>495.54</v>
      </c>
      <c r="T286" s="10">
        <f t="shared" si="42"/>
        <v>34687.800000000003</v>
      </c>
      <c r="U286" s="10">
        <f t="shared" si="43"/>
        <v>38850.33600000001</v>
      </c>
      <c r="V286" s="11"/>
      <c r="W286" s="11">
        <v>2015</v>
      </c>
      <c r="X286" s="4"/>
    </row>
    <row r="287" spans="1:24" ht="76.5" customHeight="1" outlineLevel="1" x14ac:dyDescent="0.2">
      <c r="A287" s="1" t="s">
        <v>4401</v>
      </c>
      <c r="B287" s="24" t="s">
        <v>5277</v>
      </c>
      <c r="C287" s="16" t="s">
        <v>3630</v>
      </c>
      <c r="D287" s="16" t="s">
        <v>5360</v>
      </c>
      <c r="E287" s="16" t="s">
        <v>5361</v>
      </c>
      <c r="F287" s="16"/>
      <c r="G287" s="4" t="s">
        <v>3190</v>
      </c>
      <c r="H287" s="22">
        <v>0</v>
      </c>
      <c r="I287" s="18">
        <v>710000000</v>
      </c>
      <c r="J287" s="4" t="s">
        <v>1931</v>
      </c>
      <c r="K287" s="4" t="s">
        <v>5297</v>
      </c>
      <c r="L287" s="4" t="s">
        <v>1889</v>
      </c>
      <c r="M287" s="8" t="s">
        <v>3195</v>
      </c>
      <c r="N287" s="8" t="s">
        <v>1890</v>
      </c>
      <c r="O287" s="8" t="s">
        <v>1935</v>
      </c>
      <c r="P287" s="8">
        <v>796</v>
      </c>
      <c r="Q287" s="8" t="s">
        <v>3196</v>
      </c>
      <c r="R287" s="26">
        <v>50</v>
      </c>
      <c r="S287" s="10">
        <v>339.28</v>
      </c>
      <c r="T287" s="10">
        <f t="shared" si="42"/>
        <v>16964</v>
      </c>
      <c r="U287" s="10">
        <f t="shared" si="43"/>
        <v>18999.68</v>
      </c>
      <c r="V287" s="11"/>
      <c r="W287" s="11">
        <v>2015</v>
      </c>
      <c r="X287" s="4"/>
    </row>
    <row r="288" spans="1:24" ht="76.5" customHeight="1" outlineLevel="1" x14ac:dyDescent="0.2">
      <c r="A288" s="1" t="s">
        <v>4402</v>
      </c>
      <c r="B288" s="24" t="s">
        <v>5277</v>
      </c>
      <c r="C288" s="16" t="s">
        <v>3034</v>
      </c>
      <c r="D288" s="16" t="s">
        <v>1421</v>
      </c>
      <c r="E288" s="16" t="s">
        <v>1422</v>
      </c>
      <c r="F288" s="16"/>
      <c r="G288" s="4" t="s">
        <v>3190</v>
      </c>
      <c r="H288" s="22">
        <v>0</v>
      </c>
      <c r="I288" s="18">
        <v>710000000</v>
      </c>
      <c r="J288" s="4" t="s">
        <v>1931</v>
      </c>
      <c r="K288" s="4" t="s">
        <v>5297</v>
      </c>
      <c r="L288" s="4" t="s">
        <v>1889</v>
      </c>
      <c r="M288" s="8" t="s">
        <v>3195</v>
      </c>
      <c r="N288" s="8" t="s">
        <v>1890</v>
      </c>
      <c r="O288" s="8" t="s">
        <v>1935</v>
      </c>
      <c r="P288" s="8">
        <v>796</v>
      </c>
      <c r="Q288" s="8" t="s">
        <v>3196</v>
      </c>
      <c r="R288" s="26">
        <v>100</v>
      </c>
      <c r="S288" s="10">
        <v>120.54</v>
      </c>
      <c r="T288" s="10">
        <f t="shared" si="42"/>
        <v>12054</v>
      </c>
      <c r="U288" s="10">
        <f t="shared" si="43"/>
        <v>13500.480000000001</v>
      </c>
      <c r="V288" s="11"/>
      <c r="W288" s="11">
        <v>2015</v>
      </c>
      <c r="X288" s="4"/>
    </row>
    <row r="289" spans="1:24" ht="76.5" customHeight="1" outlineLevel="1" x14ac:dyDescent="0.2">
      <c r="A289" s="1" t="s">
        <v>4403</v>
      </c>
      <c r="B289" s="24" t="s">
        <v>5277</v>
      </c>
      <c r="C289" s="18" t="s">
        <v>1558</v>
      </c>
      <c r="D289" s="18" t="s">
        <v>5344</v>
      </c>
      <c r="E289" s="18" t="s">
        <v>1559</v>
      </c>
      <c r="F289" s="4"/>
      <c r="G289" s="4" t="s">
        <v>3190</v>
      </c>
      <c r="H289" s="22">
        <v>0</v>
      </c>
      <c r="I289" s="18">
        <v>710000000</v>
      </c>
      <c r="J289" s="4" t="s">
        <v>1931</v>
      </c>
      <c r="K289" s="4" t="s">
        <v>5297</v>
      </c>
      <c r="L289" s="4" t="s">
        <v>1889</v>
      </c>
      <c r="M289" s="8" t="s">
        <v>3195</v>
      </c>
      <c r="N289" s="8" t="s">
        <v>1890</v>
      </c>
      <c r="O289" s="8" t="s">
        <v>1935</v>
      </c>
      <c r="P289" s="4">
        <v>704</v>
      </c>
      <c r="Q289" s="4" t="s">
        <v>5196</v>
      </c>
      <c r="R289" s="26">
        <v>50</v>
      </c>
      <c r="S289" s="10">
        <v>408.92</v>
      </c>
      <c r="T289" s="10">
        <f t="shared" si="42"/>
        <v>20446</v>
      </c>
      <c r="U289" s="10">
        <f t="shared" si="43"/>
        <v>22899.52</v>
      </c>
      <c r="V289" s="11"/>
      <c r="W289" s="11">
        <v>2015</v>
      </c>
      <c r="X289" s="4"/>
    </row>
    <row r="290" spans="1:24" ht="76.5" customHeight="1" outlineLevel="1" x14ac:dyDescent="0.2">
      <c r="A290" s="1" t="s">
        <v>4404</v>
      </c>
      <c r="B290" s="24" t="s">
        <v>5277</v>
      </c>
      <c r="C290" s="190" t="s">
        <v>3274</v>
      </c>
      <c r="D290" s="190" t="s">
        <v>5170</v>
      </c>
      <c r="E290" s="190" t="s">
        <v>5171</v>
      </c>
      <c r="F290" s="4"/>
      <c r="G290" s="4" t="s">
        <v>3190</v>
      </c>
      <c r="H290" s="22">
        <v>0</v>
      </c>
      <c r="I290" s="18">
        <v>710000000</v>
      </c>
      <c r="J290" s="4" t="s">
        <v>1931</v>
      </c>
      <c r="K290" s="4" t="s">
        <v>5297</v>
      </c>
      <c r="L290" s="4" t="s">
        <v>1889</v>
      </c>
      <c r="M290" s="8" t="s">
        <v>3195</v>
      </c>
      <c r="N290" s="8" t="s">
        <v>1890</v>
      </c>
      <c r="O290" s="8" t="s">
        <v>1935</v>
      </c>
      <c r="P290" s="4">
        <v>796</v>
      </c>
      <c r="Q290" s="4" t="s">
        <v>3196</v>
      </c>
      <c r="R290" s="26">
        <v>70</v>
      </c>
      <c r="S290" s="10">
        <v>53.57</v>
      </c>
      <c r="T290" s="10">
        <f t="shared" si="42"/>
        <v>3749.9</v>
      </c>
      <c r="U290" s="10">
        <f t="shared" si="43"/>
        <v>4199.8880000000008</v>
      </c>
      <c r="V290" s="11"/>
      <c r="W290" s="11">
        <v>2015</v>
      </c>
      <c r="X290" s="4"/>
    </row>
    <row r="291" spans="1:24" ht="76.5" customHeight="1" outlineLevel="1" x14ac:dyDescent="0.2">
      <c r="A291" s="1" t="s">
        <v>4405</v>
      </c>
      <c r="B291" s="24" t="s">
        <v>5277</v>
      </c>
      <c r="C291" s="4" t="s">
        <v>3629</v>
      </c>
      <c r="D291" s="4" t="s">
        <v>5353</v>
      </c>
      <c r="E291" s="4" t="s">
        <v>5354</v>
      </c>
      <c r="F291" s="4" t="s">
        <v>5355</v>
      </c>
      <c r="G291" s="4" t="s">
        <v>3190</v>
      </c>
      <c r="H291" s="22">
        <v>0</v>
      </c>
      <c r="I291" s="18">
        <v>710000000</v>
      </c>
      <c r="J291" s="4" t="s">
        <v>1931</v>
      </c>
      <c r="K291" s="4" t="s">
        <v>5297</v>
      </c>
      <c r="L291" s="4" t="s">
        <v>1889</v>
      </c>
      <c r="M291" s="8" t="s">
        <v>3195</v>
      </c>
      <c r="N291" s="8" t="s">
        <v>1890</v>
      </c>
      <c r="O291" s="8" t="s">
        <v>1935</v>
      </c>
      <c r="P291" s="8">
        <v>796</v>
      </c>
      <c r="Q291" s="8" t="s">
        <v>3196</v>
      </c>
      <c r="R291" s="26">
        <v>10</v>
      </c>
      <c r="S291" s="10">
        <v>83.3</v>
      </c>
      <c r="T291" s="10">
        <f t="shared" si="42"/>
        <v>833</v>
      </c>
      <c r="U291" s="10">
        <f t="shared" si="43"/>
        <v>932.96</v>
      </c>
      <c r="V291" s="11"/>
      <c r="W291" s="11">
        <v>2015</v>
      </c>
      <c r="X291" s="4"/>
    </row>
    <row r="292" spans="1:24" ht="76.5" customHeight="1" outlineLevel="1" x14ac:dyDescent="0.2">
      <c r="A292" s="1" t="s">
        <v>4406</v>
      </c>
      <c r="B292" s="24" t="s">
        <v>5277</v>
      </c>
      <c r="C292" s="18" t="s">
        <v>1428</v>
      </c>
      <c r="D292" s="18" t="s">
        <v>5158</v>
      </c>
      <c r="E292" s="18" t="s">
        <v>1429</v>
      </c>
      <c r="F292" s="4"/>
      <c r="G292" s="4" t="s">
        <v>3190</v>
      </c>
      <c r="H292" s="22">
        <v>0</v>
      </c>
      <c r="I292" s="18">
        <v>710000000</v>
      </c>
      <c r="J292" s="4" t="s">
        <v>1931</v>
      </c>
      <c r="K292" s="4" t="s">
        <v>5297</v>
      </c>
      <c r="L292" s="4" t="s">
        <v>1889</v>
      </c>
      <c r="M292" s="8" t="s">
        <v>3195</v>
      </c>
      <c r="N292" s="8" t="s">
        <v>1890</v>
      </c>
      <c r="O292" s="8" t="s">
        <v>1935</v>
      </c>
      <c r="P292" s="8">
        <v>796</v>
      </c>
      <c r="Q292" s="8" t="s">
        <v>3196</v>
      </c>
      <c r="R292" s="26">
        <v>60</v>
      </c>
      <c r="S292" s="10">
        <v>80.349999999999994</v>
      </c>
      <c r="T292" s="10">
        <f t="shared" si="42"/>
        <v>4821</v>
      </c>
      <c r="U292" s="10">
        <f t="shared" si="43"/>
        <v>5399.52</v>
      </c>
      <c r="V292" s="11"/>
      <c r="W292" s="11">
        <v>2015</v>
      </c>
      <c r="X292" s="4"/>
    </row>
    <row r="293" spans="1:24" ht="76.5" customHeight="1" outlineLevel="1" x14ac:dyDescent="0.2">
      <c r="A293" s="1" t="s">
        <v>4407</v>
      </c>
      <c r="B293" s="15" t="s">
        <v>5277</v>
      </c>
      <c r="C293" s="4" t="s">
        <v>1560</v>
      </c>
      <c r="D293" s="4" t="s">
        <v>5357</v>
      </c>
      <c r="E293" s="4" t="s">
        <v>5358</v>
      </c>
      <c r="F293" s="4" t="s">
        <v>2158</v>
      </c>
      <c r="G293" s="4" t="s">
        <v>3190</v>
      </c>
      <c r="H293" s="22">
        <v>0</v>
      </c>
      <c r="I293" s="18">
        <v>710000000</v>
      </c>
      <c r="J293" s="4" t="s">
        <v>1931</v>
      </c>
      <c r="K293" s="4" t="s">
        <v>5297</v>
      </c>
      <c r="L293" s="4" t="s">
        <v>1889</v>
      </c>
      <c r="M293" s="8" t="s">
        <v>3195</v>
      </c>
      <c r="N293" s="8" t="s">
        <v>1890</v>
      </c>
      <c r="O293" s="8" t="s">
        <v>1935</v>
      </c>
      <c r="P293" s="8">
        <v>704</v>
      </c>
      <c r="Q293" s="8" t="s">
        <v>5196</v>
      </c>
      <c r="R293" s="26">
        <v>50</v>
      </c>
      <c r="S293" s="10">
        <v>53.58</v>
      </c>
      <c r="T293" s="10">
        <f t="shared" si="42"/>
        <v>2679</v>
      </c>
      <c r="U293" s="10">
        <f t="shared" si="43"/>
        <v>3000.4800000000005</v>
      </c>
      <c r="V293" s="11"/>
      <c r="W293" s="11">
        <v>2015</v>
      </c>
      <c r="X293" s="4"/>
    </row>
    <row r="294" spans="1:24" ht="76.5" customHeight="1" outlineLevel="1" x14ac:dyDescent="0.2">
      <c r="A294" s="1" t="s">
        <v>4408</v>
      </c>
      <c r="B294" s="15" t="s">
        <v>5277</v>
      </c>
      <c r="C294" s="4" t="s">
        <v>1561</v>
      </c>
      <c r="D294" s="4" t="s">
        <v>5356</v>
      </c>
      <c r="E294" s="4" t="s">
        <v>1562</v>
      </c>
      <c r="F294" s="4" t="s">
        <v>5359</v>
      </c>
      <c r="G294" s="4" t="s">
        <v>3190</v>
      </c>
      <c r="H294" s="22">
        <v>0</v>
      </c>
      <c r="I294" s="18">
        <v>710000000</v>
      </c>
      <c r="J294" s="4" t="s">
        <v>1931</v>
      </c>
      <c r="K294" s="4" t="s">
        <v>5297</v>
      </c>
      <c r="L294" s="4" t="s">
        <v>1889</v>
      </c>
      <c r="M294" s="8" t="s">
        <v>3195</v>
      </c>
      <c r="N294" s="8" t="s">
        <v>1890</v>
      </c>
      <c r="O294" s="8" t="s">
        <v>1935</v>
      </c>
      <c r="P294" s="8">
        <v>796</v>
      </c>
      <c r="Q294" s="8" t="s">
        <v>3196</v>
      </c>
      <c r="R294" s="26">
        <v>5</v>
      </c>
      <c r="S294" s="10">
        <v>116</v>
      </c>
      <c r="T294" s="10">
        <f t="shared" si="42"/>
        <v>580</v>
      </c>
      <c r="U294" s="10">
        <f t="shared" si="43"/>
        <v>649.6</v>
      </c>
      <c r="V294" s="11"/>
      <c r="W294" s="11">
        <v>2015</v>
      </c>
      <c r="X294" s="4"/>
    </row>
    <row r="295" spans="1:24" ht="76.5" customHeight="1" outlineLevel="1" x14ac:dyDescent="0.2">
      <c r="A295" s="1" t="s">
        <v>4409</v>
      </c>
      <c r="B295" s="24" t="s">
        <v>5277</v>
      </c>
      <c r="C295" s="4" t="s">
        <v>3290</v>
      </c>
      <c r="D295" s="4" t="s">
        <v>5189</v>
      </c>
      <c r="E295" s="4" t="s">
        <v>5190</v>
      </c>
      <c r="F295" s="4"/>
      <c r="G295" s="4" t="s">
        <v>3190</v>
      </c>
      <c r="H295" s="22">
        <v>0</v>
      </c>
      <c r="I295" s="18">
        <v>710000000</v>
      </c>
      <c r="J295" s="4" t="s">
        <v>1931</v>
      </c>
      <c r="K295" s="4" t="s">
        <v>5297</v>
      </c>
      <c r="L295" s="4" t="s">
        <v>1889</v>
      </c>
      <c r="M295" s="8" t="s">
        <v>3195</v>
      </c>
      <c r="N295" s="8" t="s">
        <v>1890</v>
      </c>
      <c r="O295" s="8" t="s">
        <v>1935</v>
      </c>
      <c r="P295" s="8">
        <v>796</v>
      </c>
      <c r="Q295" s="4" t="s">
        <v>3196</v>
      </c>
      <c r="R295" s="26">
        <v>15</v>
      </c>
      <c r="S295" s="10">
        <v>96.4</v>
      </c>
      <c r="T295" s="10">
        <f t="shared" si="42"/>
        <v>1446</v>
      </c>
      <c r="U295" s="10">
        <f t="shared" si="43"/>
        <v>1619.5200000000002</v>
      </c>
      <c r="V295" s="11"/>
      <c r="W295" s="11">
        <v>2015</v>
      </c>
      <c r="X295" s="4"/>
    </row>
    <row r="296" spans="1:24" ht="76.5" customHeight="1" outlineLevel="1" x14ac:dyDescent="0.2">
      <c r="A296" s="1" t="s">
        <v>4410</v>
      </c>
      <c r="B296" s="24" t="s">
        <v>5277</v>
      </c>
      <c r="C296" s="4" t="s">
        <v>1563</v>
      </c>
      <c r="D296" s="4" t="s">
        <v>1564</v>
      </c>
      <c r="E296" s="4" t="s">
        <v>1565</v>
      </c>
      <c r="F296" s="4"/>
      <c r="G296" s="4" t="s">
        <v>3190</v>
      </c>
      <c r="H296" s="22">
        <v>0</v>
      </c>
      <c r="I296" s="18">
        <v>710000000</v>
      </c>
      <c r="J296" s="4" t="s">
        <v>1931</v>
      </c>
      <c r="K296" s="4" t="s">
        <v>5297</v>
      </c>
      <c r="L296" s="4" t="s">
        <v>1889</v>
      </c>
      <c r="M296" s="8" t="s">
        <v>3195</v>
      </c>
      <c r="N296" s="8" t="s">
        <v>1890</v>
      </c>
      <c r="O296" s="8" t="s">
        <v>1935</v>
      </c>
      <c r="P296" s="8">
        <v>796</v>
      </c>
      <c r="Q296" s="8" t="s">
        <v>3196</v>
      </c>
      <c r="R296" s="26">
        <v>20</v>
      </c>
      <c r="S296" s="10">
        <v>258.95999999999998</v>
      </c>
      <c r="T296" s="10">
        <f t="shared" si="42"/>
        <v>5179.2</v>
      </c>
      <c r="U296" s="10">
        <f t="shared" si="43"/>
        <v>5800.7040000000006</v>
      </c>
      <c r="V296" s="11"/>
      <c r="W296" s="11">
        <v>2015</v>
      </c>
      <c r="X296" s="4"/>
    </row>
    <row r="297" spans="1:24" ht="76.5" customHeight="1" outlineLevel="1" x14ac:dyDescent="0.2">
      <c r="A297" s="1" t="s">
        <v>4411</v>
      </c>
      <c r="B297" s="24" t="s">
        <v>5277</v>
      </c>
      <c r="C297" s="7" t="s">
        <v>1566</v>
      </c>
      <c r="D297" s="7" t="s">
        <v>5348</v>
      </c>
      <c r="E297" s="7" t="s">
        <v>1567</v>
      </c>
      <c r="F297" s="8"/>
      <c r="G297" s="4" t="s">
        <v>3190</v>
      </c>
      <c r="H297" s="22">
        <v>0</v>
      </c>
      <c r="I297" s="18">
        <v>710000000</v>
      </c>
      <c r="J297" s="4" t="s">
        <v>1931</v>
      </c>
      <c r="K297" s="4" t="s">
        <v>5297</v>
      </c>
      <c r="L297" s="4" t="s">
        <v>1889</v>
      </c>
      <c r="M297" s="8" t="s">
        <v>3195</v>
      </c>
      <c r="N297" s="8" t="s">
        <v>1890</v>
      </c>
      <c r="O297" s="8" t="s">
        <v>1935</v>
      </c>
      <c r="P297" s="8">
        <v>5111</v>
      </c>
      <c r="Q297" s="8" t="s">
        <v>5298</v>
      </c>
      <c r="R297" s="26">
        <v>50</v>
      </c>
      <c r="S297" s="10">
        <v>281.26</v>
      </c>
      <c r="T297" s="10">
        <f t="shared" si="42"/>
        <v>14063</v>
      </c>
      <c r="U297" s="10">
        <f t="shared" si="43"/>
        <v>15750.560000000001</v>
      </c>
      <c r="V297" s="11"/>
      <c r="W297" s="11">
        <v>2015</v>
      </c>
      <c r="X297" s="4"/>
    </row>
    <row r="298" spans="1:24" ht="76.5" customHeight="1" outlineLevel="1" x14ac:dyDescent="0.2">
      <c r="A298" s="1" t="s">
        <v>4412</v>
      </c>
      <c r="B298" s="24" t="s">
        <v>5277</v>
      </c>
      <c r="C298" s="4" t="s">
        <v>1568</v>
      </c>
      <c r="D298" s="4" t="s">
        <v>3891</v>
      </c>
      <c r="E298" s="4" t="s">
        <v>1569</v>
      </c>
      <c r="F298" s="4" t="s">
        <v>1570</v>
      </c>
      <c r="G298" s="4" t="s">
        <v>3190</v>
      </c>
      <c r="H298" s="22">
        <v>0</v>
      </c>
      <c r="I298" s="18">
        <v>710000000</v>
      </c>
      <c r="J298" s="4" t="s">
        <v>1931</v>
      </c>
      <c r="K298" s="4" t="s">
        <v>5297</v>
      </c>
      <c r="L298" s="4" t="s">
        <v>1889</v>
      </c>
      <c r="M298" s="8" t="s">
        <v>3195</v>
      </c>
      <c r="N298" s="8" t="s">
        <v>1890</v>
      </c>
      <c r="O298" s="8" t="s">
        <v>1935</v>
      </c>
      <c r="P298" s="8">
        <v>796</v>
      </c>
      <c r="Q298" s="8" t="s">
        <v>6401</v>
      </c>
      <c r="R298" s="26">
        <v>10</v>
      </c>
      <c r="S298" s="10">
        <v>745.8</v>
      </c>
      <c r="T298" s="10">
        <f t="shared" si="42"/>
        <v>7458</v>
      </c>
      <c r="U298" s="10">
        <f t="shared" si="43"/>
        <v>8352.9600000000009</v>
      </c>
      <c r="V298" s="11"/>
      <c r="W298" s="11">
        <v>2015</v>
      </c>
      <c r="X298" s="4"/>
    </row>
    <row r="299" spans="1:24" ht="76.5" customHeight="1" outlineLevel="1" x14ac:dyDescent="0.2">
      <c r="A299" s="1" t="s">
        <v>4413</v>
      </c>
      <c r="B299" s="24" t="s">
        <v>5277</v>
      </c>
      <c r="C299" s="4" t="s">
        <v>3030</v>
      </c>
      <c r="D299" s="4" t="s">
        <v>5310</v>
      </c>
      <c r="E299" s="4" t="s">
        <v>5311</v>
      </c>
      <c r="F299" s="4" t="s">
        <v>5312</v>
      </c>
      <c r="G299" s="4" t="s">
        <v>3190</v>
      </c>
      <c r="H299" s="22">
        <v>0</v>
      </c>
      <c r="I299" s="18">
        <v>710000000</v>
      </c>
      <c r="J299" s="4" t="s">
        <v>1931</v>
      </c>
      <c r="K299" s="4" t="s">
        <v>5297</v>
      </c>
      <c r="L299" s="4" t="s">
        <v>1889</v>
      </c>
      <c r="M299" s="8" t="s">
        <v>3195</v>
      </c>
      <c r="N299" s="8" t="s">
        <v>1890</v>
      </c>
      <c r="O299" s="8" t="s">
        <v>1935</v>
      </c>
      <c r="P299" s="8">
        <v>796</v>
      </c>
      <c r="Q299" s="8" t="s">
        <v>3196</v>
      </c>
      <c r="R299" s="26">
        <v>100</v>
      </c>
      <c r="S299" s="10">
        <v>58.04</v>
      </c>
      <c r="T299" s="10">
        <f t="shared" si="42"/>
        <v>5804</v>
      </c>
      <c r="U299" s="10">
        <f t="shared" si="43"/>
        <v>6500.4800000000005</v>
      </c>
      <c r="V299" s="11"/>
      <c r="W299" s="11">
        <v>2015</v>
      </c>
      <c r="X299" s="4"/>
    </row>
    <row r="300" spans="1:24" ht="76.5" customHeight="1" outlineLevel="1" x14ac:dyDescent="0.2">
      <c r="A300" s="1" t="s">
        <v>4414</v>
      </c>
      <c r="B300" s="24" t="s">
        <v>5277</v>
      </c>
      <c r="C300" s="7" t="s">
        <v>1571</v>
      </c>
      <c r="D300" s="18" t="s">
        <v>5150</v>
      </c>
      <c r="E300" s="18" t="s">
        <v>5151</v>
      </c>
      <c r="F300" s="4" t="s">
        <v>1572</v>
      </c>
      <c r="G300" s="4" t="s">
        <v>3190</v>
      </c>
      <c r="H300" s="22">
        <v>0</v>
      </c>
      <c r="I300" s="18">
        <v>710000000</v>
      </c>
      <c r="J300" s="4" t="s">
        <v>1931</v>
      </c>
      <c r="K300" s="4" t="s">
        <v>5297</v>
      </c>
      <c r="L300" s="4" t="s">
        <v>1889</v>
      </c>
      <c r="M300" s="8" t="s">
        <v>3195</v>
      </c>
      <c r="N300" s="8" t="s">
        <v>1890</v>
      </c>
      <c r="O300" s="8" t="s">
        <v>1935</v>
      </c>
      <c r="P300" s="8">
        <v>5111</v>
      </c>
      <c r="Q300" s="8" t="s">
        <v>5298</v>
      </c>
      <c r="R300" s="26">
        <v>10</v>
      </c>
      <c r="S300" s="10">
        <v>58</v>
      </c>
      <c r="T300" s="10">
        <f t="shared" si="42"/>
        <v>580</v>
      </c>
      <c r="U300" s="10">
        <f t="shared" si="43"/>
        <v>649.6</v>
      </c>
      <c r="V300" s="11"/>
      <c r="W300" s="11">
        <v>2015</v>
      </c>
      <c r="X300" s="4"/>
    </row>
    <row r="301" spans="1:24" ht="76.5" customHeight="1" outlineLevel="1" x14ac:dyDescent="0.2">
      <c r="A301" s="1" t="s">
        <v>4415</v>
      </c>
      <c r="B301" s="24" t="s">
        <v>5277</v>
      </c>
      <c r="C301" s="7" t="s">
        <v>3003</v>
      </c>
      <c r="D301" s="7" t="s">
        <v>3004</v>
      </c>
      <c r="E301" s="7" t="s">
        <v>5166</v>
      </c>
      <c r="F301" s="76" t="s">
        <v>1573</v>
      </c>
      <c r="G301" s="4" t="s">
        <v>3190</v>
      </c>
      <c r="H301" s="22">
        <v>0</v>
      </c>
      <c r="I301" s="18">
        <v>710000000</v>
      </c>
      <c r="J301" s="4" t="s">
        <v>1931</v>
      </c>
      <c r="K301" s="4" t="s">
        <v>5297</v>
      </c>
      <c r="L301" s="4" t="s">
        <v>1889</v>
      </c>
      <c r="M301" s="8" t="s">
        <v>3195</v>
      </c>
      <c r="N301" s="8" t="s">
        <v>1890</v>
      </c>
      <c r="O301" s="8" t="s">
        <v>1935</v>
      </c>
      <c r="P301" s="8">
        <v>796</v>
      </c>
      <c r="Q301" s="8" t="s">
        <v>3196</v>
      </c>
      <c r="R301" s="26">
        <v>50</v>
      </c>
      <c r="S301" s="10">
        <v>205.36</v>
      </c>
      <c r="T301" s="10">
        <f t="shared" si="42"/>
        <v>10268</v>
      </c>
      <c r="U301" s="10">
        <f t="shared" si="43"/>
        <v>11500.160000000002</v>
      </c>
      <c r="V301" s="11"/>
      <c r="W301" s="11">
        <v>2015</v>
      </c>
      <c r="X301" s="4"/>
    </row>
    <row r="302" spans="1:24" ht="76.5" customHeight="1" outlineLevel="1" x14ac:dyDescent="0.2">
      <c r="A302" s="1" t="s">
        <v>4416</v>
      </c>
      <c r="B302" s="24" t="s">
        <v>5277</v>
      </c>
      <c r="C302" s="7" t="s">
        <v>3272</v>
      </c>
      <c r="D302" s="7" t="s">
        <v>3004</v>
      </c>
      <c r="E302" s="7" t="s">
        <v>5164</v>
      </c>
      <c r="F302" s="8"/>
      <c r="G302" s="4" t="s">
        <v>3190</v>
      </c>
      <c r="H302" s="22">
        <v>0</v>
      </c>
      <c r="I302" s="18">
        <v>710000000</v>
      </c>
      <c r="J302" s="4" t="s">
        <v>1931</v>
      </c>
      <c r="K302" s="4" t="s">
        <v>5297</v>
      </c>
      <c r="L302" s="4" t="s">
        <v>1889</v>
      </c>
      <c r="M302" s="8" t="s">
        <v>3195</v>
      </c>
      <c r="N302" s="8" t="s">
        <v>1890</v>
      </c>
      <c r="O302" s="8" t="s">
        <v>1935</v>
      </c>
      <c r="P302" s="8">
        <v>796</v>
      </c>
      <c r="Q302" s="8" t="s">
        <v>3196</v>
      </c>
      <c r="R302" s="26">
        <v>50</v>
      </c>
      <c r="S302" s="10">
        <v>294.64</v>
      </c>
      <c r="T302" s="10">
        <f t="shared" si="42"/>
        <v>14732</v>
      </c>
      <c r="U302" s="10">
        <f t="shared" si="43"/>
        <v>16499.84</v>
      </c>
      <c r="V302" s="11"/>
      <c r="W302" s="11">
        <v>2015</v>
      </c>
      <c r="X302" s="4"/>
    </row>
    <row r="303" spans="1:24" ht="76.5" customHeight="1" outlineLevel="1" x14ac:dyDescent="0.2">
      <c r="A303" s="1" t="s">
        <v>4417</v>
      </c>
      <c r="B303" s="24" t="s">
        <v>5277</v>
      </c>
      <c r="C303" s="7" t="s">
        <v>3266</v>
      </c>
      <c r="D303" s="7" t="s">
        <v>3267</v>
      </c>
      <c r="E303" s="7" t="s">
        <v>5153</v>
      </c>
      <c r="F303" s="8"/>
      <c r="G303" s="4" t="s">
        <v>3190</v>
      </c>
      <c r="H303" s="22">
        <v>0</v>
      </c>
      <c r="I303" s="18">
        <v>710000000</v>
      </c>
      <c r="J303" s="4" t="s">
        <v>1931</v>
      </c>
      <c r="K303" s="4" t="s">
        <v>5297</v>
      </c>
      <c r="L303" s="4" t="s">
        <v>1889</v>
      </c>
      <c r="M303" s="8" t="s">
        <v>3195</v>
      </c>
      <c r="N303" s="8" t="s">
        <v>1890</v>
      </c>
      <c r="O303" s="8" t="s">
        <v>1935</v>
      </c>
      <c r="P303" s="8">
        <v>796</v>
      </c>
      <c r="Q303" s="8" t="s">
        <v>3196</v>
      </c>
      <c r="R303" s="26">
        <v>15</v>
      </c>
      <c r="S303" s="10">
        <v>338.4</v>
      </c>
      <c r="T303" s="10">
        <f t="shared" si="42"/>
        <v>5076</v>
      </c>
      <c r="U303" s="10">
        <f t="shared" si="43"/>
        <v>5685.1200000000008</v>
      </c>
      <c r="V303" s="11"/>
      <c r="W303" s="11">
        <v>2015</v>
      </c>
      <c r="X303" s="4"/>
    </row>
    <row r="304" spans="1:24" ht="76.5" customHeight="1" outlineLevel="1" x14ac:dyDescent="0.2">
      <c r="A304" s="1" t="s">
        <v>4418</v>
      </c>
      <c r="B304" s="24" t="s">
        <v>5277</v>
      </c>
      <c r="C304" s="7" t="s">
        <v>3305</v>
      </c>
      <c r="D304" s="7" t="s">
        <v>5149</v>
      </c>
      <c r="E304" s="7" t="s">
        <v>5335</v>
      </c>
      <c r="F304" s="8" t="s">
        <v>5336</v>
      </c>
      <c r="G304" s="4" t="s">
        <v>3190</v>
      </c>
      <c r="H304" s="22">
        <v>0</v>
      </c>
      <c r="I304" s="18">
        <v>710000000</v>
      </c>
      <c r="J304" s="4" t="s">
        <v>1931</v>
      </c>
      <c r="K304" s="4" t="s">
        <v>5297</v>
      </c>
      <c r="L304" s="4" t="s">
        <v>1889</v>
      </c>
      <c r="M304" s="8" t="s">
        <v>3195</v>
      </c>
      <c r="N304" s="8" t="s">
        <v>1890</v>
      </c>
      <c r="O304" s="8" t="s">
        <v>1935</v>
      </c>
      <c r="P304" s="8">
        <v>796</v>
      </c>
      <c r="Q304" s="8" t="s">
        <v>3196</v>
      </c>
      <c r="R304" s="26">
        <v>10</v>
      </c>
      <c r="S304" s="10">
        <v>84.8</v>
      </c>
      <c r="T304" s="10">
        <f t="shared" si="42"/>
        <v>848</v>
      </c>
      <c r="U304" s="10">
        <f t="shared" si="43"/>
        <v>949.7600000000001</v>
      </c>
      <c r="V304" s="11"/>
      <c r="W304" s="11">
        <v>2015</v>
      </c>
      <c r="X304" s="4"/>
    </row>
    <row r="305" spans="1:24" ht="76.5" customHeight="1" outlineLevel="1" x14ac:dyDescent="0.2">
      <c r="A305" s="1" t="s">
        <v>4419</v>
      </c>
      <c r="B305" s="24" t="s">
        <v>5277</v>
      </c>
      <c r="C305" s="7" t="s">
        <v>3626</v>
      </c>
      <c r="D305" s="7" t="s">
        <v>5149</v>
      </c>
      <c r="E305" s="7" t="s">
        <v>5346</v>
      </c>
      <c r="F305" s="18" t="s">
        <v>6402</v>
      </c>
      <c r="G305" s="4" t="s">
        <v>3190</v>
      </c>
      <c r="H305" s="22">
        <v>0</v>
      </c>
      <c r="I305" s="18">
        <v>710000000</v>
      </c>
      <c r="J305" s="4" t="s">
        <v>1931</v>
      </c>
      <c r="K305" s="4" t="s">
        <v>5297</v>
      </c>
      <c r="L305" s="4" t="s">
        <v>1889</v>
      </c>
      <c r="M305" s="8" t="s">
        <v>3195</v>
      </c>
      <c r="N305" s="8" t="s">
        <v>1890</v>
      </c>
      <c r="O305" s="8" t="s">
        <v>1935</v>
      </c>
      <c r="P305" s="8">
        <v>796</v>
      </c>
      <c r="Q305" s="8" t="s">
        <v>3196</v>
      </c>
      <c r="R305" s="26">
        <v>60</v>
      </c>
      <c r="S305" s="10">
        <v>80.349999999999994</v>
      </c>
      <c r="T305" s="10">
        <f t="shared" si="42"/>
        <v>4821</v>
      </c>
      <c r="U305" s="10">
        <f t="shared" si="43"/>
        <v>5399.52</v>
      </c>
      <c r="V305" s="11"/>
      <c r="W305" s="11">
        <v>2015</v>
      </c>
      <c r="X305" s="4"/>
    </row>
    <row r="306" spans="1:24" ht="76.5" customHeight="1" outlineLevel="1" x14ac:dyDescent="0.2">
      <c r="A306" s="1" t="s">
        <v>4420</v>
      </c>
      <c r="B306" s="24" t="s">
        <v>5277</v>
      </c>
      <c r="C306" s="7" t="s">
        <v>3626</v>
      </c>
      <c r="D306" s="18" t="s">
        <v>5149</v>
      </c>
      <c r="E306" s="18" t="s">
        <v>5346</v>
      </c>
      <c r="F306" s="18" t="s">
        <v>5347</v>
      </c>
      <c r="G306" s="4" t="s">
        <v>3190</v>
      </c>
      <c r="H306" s="22">
        <v>0</v>
      </c>
      <c r="I306" s="18">
        <v>710000000</v>
      </c>
      <c r="J306" s="4" t="s">
        <v>1931</v>
      </c>
      <c r="K306" s="4" t="s">
        <v>5297</v>
      </c>
      <c r="L306" s="4" t="s">
        <v>1889</v>
      </c>
      <c r="M306" s="8" t="s">
        <v>3195</v>
      </c>
      <c r="N306" s="8" t="s">
        <v>1890</v>
      </c>
      <c r="O306" s="8" t="s">
        <v>1935</v>
      </c>
      <c r="P306" s="8">
        <v>796</v>
      </c>
      <c r="Q306" s="8" t="s">
        <v>3196</v>
      </c>
      <c r="R306" s="26">
        <v>10</v>
      </c>
      <c r="S306" s="10">
        <v>312.5</v>
      </c>
      <c r="T306" s="10">
        <f t="shared" si="42"/>
        <v>3125</v>
      </c>
      <c r="U306" s="10">
        <f t="shared" si="43"/>
        <v>3500.0000000000005</v>
      </c>
      <c r="V306" s="11"/>
      <c r="W306" s="11">
        <v>2015</v>
      </c>
      <c r="X306" s="4"/>
    </row>
    <row r="307" spans="1:24" ht="76.5" customHeight="1" outlineLevel="1" x14ac:dyDescent="0.2">
      <c r="A307" s="1" t="s">
        <v>4421</v>
      </c>
      <c r="B307" s="24" t="s">
        <v>5277</v>
      </c>
      <c r="C307" s="18" t="s">
        <v>1574</v>
      </c>
      <c r="D307" s="18" t="s">
        <v>1575</v>
      </c>
      <c r="E307" s="18" t="s">
        <v>1576</v>
      </c>
      <c r="F307" s="18"/>
      <c r="G307" s="4" t="s">
        <v>3190</v>
      </c>
      <c r="H307" s="22">
        <v>0</v>
      </c>
      <c r="I307" s="18">
        <v>710000000</v>
      </c>
      <c r="J307" s="4" t="s">
        <v>1931</v>
      </c>
      <c r="K307" s="4" t="s">
        <v>5297</v>
      </c>
      <c r="L307" s="4" t="s">
        <v>1889</v>
      </c>
      <c r="M307" s="8" t="s">
        <v>3195</v>
      </c>
      <c r="N307" s="8" t="s">
        <v>1890</v>
      </c>
      <c r="O307" s="8" t="s">
        <v>1935</v>
      </c>
      <c r="P307" s="8">
        <v>796</v>
      </c>
      <c r="Q307" s="8" t="s">
        <v>3196</v>
      </c>
      <c r="R307" s="26">
        <v>50</v>
      </c>
      <c r="S307" s="10">
        <v>104.46</v>
      </c>
      <c r="T307" s="10">
        <f t="shared" si="42"/>
        <v>5223</v>
      </c>
      <c r="U307" s="10">
        <f t="shared" si="43"/>
        <v>5849.76</v>
      </c>
      <c r="V307" s="11"/>
      <c r="W307" s="11">
        <v>2015</v>
      </c>
      <c r="X307" s="4"/>
    </row>
    <row r="308" spans="1:24" ht="76.5" customHeight="1" outlineLevel="1" x14ac:dyDescent="0.2">
      <c r="A308" s="1" t="s">
        <v>4422</v>
      </c>
      <c r="B308" s="24" t="s">
        <v>5277</v>
      </c>
      <c r="C308" s="18" t="s">
        <v>1577</v>
      </c>
      <c r="D308" s="18" t="s">
        <v>5306</v>
      </c>
      <c r="E308" s="18" t="s">
        <v>5307</v>
      </c>
      <c r="F308" s="18"/>
      <c r="G308" s="4" t="s">
        <v>3190</v>
      </c>
      <c r="H308" s="22">
        <v>0</v>
      </c>
      <c r="I308" s="18">
        <v>710000000</v>
      </c>
      <c r="J308" s="4" t="s">
        <v>1931</v>
      </c>
      <c r="K308" s="4" t="s">
        <v>5297</v>
      </c>
      <c r="L308" s="4" t="s">
        <v>1889</v>
      </c>
      <c r="M308" s="8" t="s">
        <v>3195</v>
      </c>
      <c r="N308" s="8" t="s">
        <v>1890</v>
      </c>
      <c r="O308" s="8" t="s">
        <v>1935</v>
      </c>
      <c r="P308" s="8">
        <v>796</v>
      </c>
      <c r="Q308" s="8" t="s">
        <v>3196</v>
      </c>
      <c r="R308" s="26">
        <v>6</v>
      </c>
      <c r="S308" s="10">
        <v>13.33</v>
      </c>
      <c r="T308" s="10">
        <f t="shared" si="42"/>
        <v>79.98</v>
      </c>
      <c r="U308" s="10">
        <f t="shared" si="43"/>
        <v>89.577600000000018</v>
      </c>
      <c r="V308" s="11"/>
      <c r="W308" s="11">
        <v>2015</v>
      </c>
      <c r="X308" s="4"/>
    </row>
    <row r="309" spans="1:24" ht="76.5" customHeight="1" outlineLevel="1" x14ac:dyDescent="0.2">
      <c r="A309" s="1" t="s">
        <v>4423</v>
      </c>
      <c r="B309" s="24" t="s">
        <v>5277</v>
      </c>
      <c r="C309" s="7" t="s">
        <v>1578</v>
      </c>
      <c r="D309" s="7" t="s">
        <v>1579</v>
      </c>
      <c r="E309" s="7" t="s">
        <v>1580</v>
      </c>
      <c r="F309" s="4"/>
      <c r="G309" s="4" t="s">
        <v>3190</v>
      </c>
      <c r="H309" s="22">
        <v>0</v>
      </c>
      <c r="I309" s="18">
        <v>710000000</v>
      </c>
      <c r="J309" s="4" t="s">
        <v>1931</v>
      </c>
      <c r="K309" s="4" t="s">
        <v>5297</v>
      </c>
      <c r="L309" s="4" t="s">
        <v>1889</v>
      </c>
      <c r="M309" s="8" t="s">
        <v>3195</v>
      </c>
      <c r="N309" s="8" t="s">
        <v>1890</v>
      </c>
      <c r="O309" s="8" t="s">
        <v>1935</v>
      </c>
      <c r="P309" s="8">
        <v>616</v>
      </c>
      <c r="Q309" s="8" t="s">
        <v>5204</v>
      </c>
      <c r="R309" s="26">
        <v>1</v>
      </c>
      <c r="S309" s="10">
        <v>1174</v>
      </c>
      <c r="T309" s="10">
        <v>1174</v>
      </c>
      <c r="U309" s="10">
        <v>1314.88</v>
      </c>
      <c r="V309" s="11"/>
      <c r="W309" s="11">
        <v>2015</v>
      </c>
      <c r="X309" s="4"/>
    </row>
    <row r="310" spans="1:24" ht="76.5" customHeight="1" outlineLevel="1" x14ac:dyDescent="0.2">
      <c r="A310" s="1" t="s">
        <v>6422</v>
      </c>
      <c r="B310" s="24" t="s">
        <v>5277</v>
      </c>
      <c r="C310" s="7" t="s">
        <v>3032</v>
      </c>
      <c r="D310" s="7" t="s">
        <v>3033</v>
      </c>
      <c r="E310" s="7" t="s">
        <v>5162</v>
      </c>
      <c r="F310" s="4"/>
      <c r="G310" s="4" t="s">
        <v>3190</v>
      </c>
      <c r="H310" s="22">
        <v>0</v>
      </c>
      <c r="I310" s="18">
        <v>710000000</v>
      </c>
      <c r="J310" s="4" t="s">
        <v>1931</v>
      </c>
      <c r="K310" s="4" t="s">
        <v>5297</v>
      </c>
      <c r="L310" s="4" t="s">
        <v>1889</v>
      </c>
      <c r="M310" s="8" t="s">
        <v>3195</v>
      </c>
      <c r="N310" s="8" t="s">
        <v>1890</v>
      </c>
      <c r="O310" s="8" t="s">
        <v>1935</v>
      </c>
      <c r="P310" s="8">
        <v>796</v>
      </c>
      <c r="Q310" s="8" t="s">
        <v>3196</v>
      </c>
      <c r="R310" s="26">
        <v>10</v>
      </c>
      <c r="S310" s="10">
        <v>58</v>
      </c>
      <c r="T310" s="10">
        <v>580</v>
      </c>
      <c r="U310" s="10">
        <v>649.6</v>
      </c>
      <c r="V310" s="11"/>
      <c r="W310" s="11">
        <v>2015</v>
      </c>
      <c r="X310" s="4"/>
    </row>
    <row r="311" spans="1:24" s="23" customFormat="1" ht="76.5" customHeight="1" outlineLevel="1" x14ac:dyDescent="0.2">
      <c r="A311" s="1" t="s">
        <v>4424</v>
      </c>
      <c r="B311" s="15" t="s">
        <v>5277</v>
      </c>
      <c r="C311" s="4" t="s">
        <v>1884</v>
      </c>
      <c r="D311" s="4" t="s">
        <v>1885</v>
      </c>
      <c r="E311" s="4" t="s">
        <v>1886</v>
      </c>
      <c r="F311" s="4" t="s">
        <v>1887</v>
      </c>
      <c r="G311" s="4" t="s">
        <v>1888</v>
      </c>
      <c r="H311" s="22">
        <v>1</v>
      </c>
      <c r="I311" s="4">
        <v>710000000</v>
      </c>
      <c r="J311" s="4" t="s">
        <v>1931</v>
      </c>
      <c r="K311" s="4" t="s">
        <v>5297</v>
      </c>
      <c r="L311" s="4" t="s">
        <v>1889</v>
      </c>
      <c r="M311" s="8" t="s">
        <v>3195</v>
      </c>
      <c r="N311" s="8" t="s">
        <v>1890</v>
      </c>
      <c r="O311" s="8" t="s">
        <v>1935</v>
      </c>
      <c r="P311" s="4">
        <v>166</v>
      </c>
      <c r="Q311" s="4" t="s">
        <v>3324</v>
      </c>
      <c r="R311" s="10">
        <v>17</v>
      </c>
      <c r="S311" s="10">
        <v>221.53</v>
      </c>
      <c r="T311" s="10">
        <v>0</v>
      </c>
      <c r="U311" s="10">
        <f t="shared" ref="U311:U444" si="44">T311*1.12</f>
        <v>0</v>
      </c>
      <c r="V311" s="11"/>
      <c r="W311" s="11">
        <v>2015</v>
      </c>
      <c r="X311" s="4">
        <v>11</v>
      </c>
    </row>
    <row r="312" spans="1:24" s="23" customFormat="1" ht="76.5" customHeight="1" outlineLevel="1" x14ac:dyDescent="0.2">
      <c r="A312" s="1" t="s">
        <v>7337</v>
      </c>
      <c r="B312" s="15" t="s">
        <v>5277</v>
      </c>
      <c r="C312" s="4" t="s">
        <v>1884</v>
      </c>
      <c r="D312" s="4" t="s">
        <v>1885</v>
      </c>
      <c r="E312" s="4" t="s">
        <v>1886</v>
      </c>
      <c r="F312" s="4" t="s">
        <v>1887</v>
      </c>
      <c r="G312" s="4" t="s">
        <v>1888</v>
      </c>
      <c r="H312" s="22">
        <v>1</v>
      </c>
      <c r="I312" s="4">
        <v>710000000</v>
      </c>
      <c r="J312" s="4" t="s">
        <v>1931</v>
      </c>
      <c r="K312" s="4" t="s">
        <v>7338</v>
      </c>
      <c r="L312" s="4" t="s">
        <v>1889</v>
      </c>
      <c r="M312" s="8" t="s">
        <v>3195</v>
      </c>
      <c r="N312" s="8" t="s">
        <v>1890</v>
      </c>
      <c r="O312" s="8" t="s">
        <v>1935</v>
      </c>
      <c r="P312" s="4">
        <v>166</v>
      </c>
      <c r="Q312" s="4" t="s">
        <v>3324</v>
      </c>
      <c r="R312" s="10">
        <v>17</v>
      </c>
      <c r="S312" s="10">
        <v>221.53</v>
      </c>
      <c r="T312" s="10">
        <f t="shared" ref="T312" si="45">S312*R312</f>
        <v>3766.01</v>
      </c>
      <c r="U312" s="10">
        <f t="shared" ref="U312" si="46">T312*1.12</f>
        <v>4217.9312000000009</v>
      </c>
      <c r="V312" s="11"/>
      <c r="W312" s="11">
        <v>2015</v>
      </c>
      <c r="X312" s="4"/>
    </row>
    <row r="313" spans="1:24" s="23" customFormat="1" ht="76.5" customHeight="1" outlineLevel="1" x14ac:dyDescent="0.2">
      <c r="A313" s="1" t="s">
        <v>4425</v>
      </c>
      <c r="B313" s="15" t="s">
        <v>5277</v>
      </c>
      <c r="C313" s="4" t="s">
        <v>4119</v>
      </c>
      <c r="D313" s="4" t="s">
        <v>5924</v>
      </c>
      <c r="E313" s="4" t="s">
        <v>5925</v>
      </c>
      <c r="F313" s="4"/>
      <c r="G313" s="4" t="s">
        <v>1888</v>
      </c>
      <c r="H313" s="22">
        <v>0</v>
      </c>
      <c r="I313" s="4">
        <v>710000000</v>
      </c>
      <c r="J313" s="4" t="s">
        <v>1931</v>
      </c>
      <c r="K313" s="4" t="s">
        <v>5297</v>
      </c>
      <c r="L313" s="4" t="s">
        <v>1889</v>
      </c>
      <c r="M313" s="8" t="s">
        <v>3195</v>
      </c>
      <c r="N313" s="8" t="s">
        <v>1890</v>
      </c>
      <c r="O313" s="8" t="s">
        <v>1935</v>
      </c>
      <c r="P313" s="4">
        <v>166</v>
      </c>
      <c r="Q313" s="4" t="s">
        <v>3324</v>
      </c>
      <c r="R313" s="10">
        <v>24</v>
      </c>
      <c r="S313" s="10">
        <v>537.33000000000004</v>
      </c>
      <c r="T313" s="10">
        <v>0</v>
      </c>
      <c r="U313" s="10">
        <f t="shared" si="44"/>
        <v>0</v>
      </c>
      <c r="V313" s="11"/>
      <c r="W313" s="11">
        <v>2015</v>
      </c>
      <c r="X313" s="4">
        <v>11</v>
      </c>
    </row>
    <row r="314" spans="1:24" s="23" customFormat="1" ht="76.5" customHeight="1" outlineLevel="1" x14ac:dyDescent="0.2">
      <c r="A314" s="1" t="s">
        <v>7339</v>
      </c>
      <c r="B314" s="15" t="s">
        <v>5277</v>
      </c>
      <c r="C314" s="4" t="s">
        <v>4119</v>
      </c>
      <c r="D314" s="4" t="s">
        <v>5924</v>
      </c>
      <c r="E314" s="4" t="s">
        <v>5925</v>
      </c>
      <c r="F314" s="4"/>
      <c r="G314" s="4" t="s">
        <v>1888</v>
      </c>
      <c r="H314" s="22">
        <v>0</v>
      </c>
      <c r="I314" s="4">
        <v>710000000</v>
      </c>
      <c r="J314" s="4" t="s">
        <v>1931</v>
      </c>
      <c r="K314" s="4" t="s">
        <v>7338</v>
      </c>
      <c r="L314" s="4" t="s">
        <v>1889</v>
      </c>
      <c r="M314" s="8" t="s">
        <v>3195</v>
      </c>
      <c r="N314" s="8" t="s">
        <v>1890</v>
      </c>
      <c r="O314" s="8" t="s">
        <v>1935</v>
      </c>
      <c r="P314" s="4">
        <v>166</v>
      </c>
      <c r="Q314" s="4" t="s">
        <v>3324</v>
      </c>
      <c r="R314" s="10">
        <v>24</v>
      </c>
      <c r="S314" s="10">
        <v>537.33000000000004</v>
      </c>
      <c r="T314" s="10">
        <f t="shared" ref="T314" si="47">S314*R314</f>
        <v>12895.920000000002</v>
      </c>
      <c r="U314" s="10">
        <f t="shared" ref="U314" si="48">T314*1.12</f>
        <v>14443.430400000003</v>
      </c>
      <c r="V314" s="11"/>
      <c r="W314" s="11">
        <v>2015</v>
      </c>
      <c r="X314" s="4"/>
    </row>
    <row r="315" spans="1:24" s="23" customFormat="1" ht="76.5" customHeight="1" outlineLevel="1" x14ac:dyDescent="0.2">
      <c r="A315" s="1" t="s">
        <v>4426</v>
      </c>
      <c r="B315" s="15" t="s">
        <v>5277</v>
      </c>
      <c r="C315" s="4" t="s">
        <v>3235</v>
      </c>
      <c r="D315" s="4" t="s">
        <v>5868</v>
      </c>
      <c r="E315" s="4" t="s">
        <v>5869</v>
      </c>
      <c r="F315" s="4"/>
      <c r="G315" s="4" t="s">
        <v>1888</v>
      </c>
      <c r="H315" s="22">
        <v>0</v>
      </c>
      <c r="I315" s="4">
        <v>710000000</v>
      </c>
      <c r="J315" s="4" t="s">
        <v>1931</v>
      </c>
      <c r="K315" s="4" t="s">
        <v>5297</v>
      </c>
      <c r="L315" s="4" t="s">
        <v>1889</v>
      </c>
      <c r="M315" s="8" t="s">
        <v>3195</v>
      </c>
      <c r="N315" s="8" t="s">
        <v>1890</v>
      </c>
      <c r="O315" s="8" t="s">
        <v>1935</v>
      </c>
      <c r="P315" s="4">
        <v>166</v>
      </c>
      <c r="Q315" s="4" t="s">
        <v>3324</v>
      </c>
      <c r="R315" s="10">
        <v>180</v>
      </c>
      <c r="S315" s="10">
        <v>312.5</v>
      </c>
      <c r="T315" s="10">
        <v>0</v>
      </c>
      <c r="U315" s="10">
        <f t="shared" si="44"/>
        <v>0</v>
      </c>
      <c r="V315" s="11"/>
      <c r="W315" s="11">
        <v>2015</v>
      </c>
      <c r="X315" s="4">
        <v>11</v>
      </c>
    </row>
    <row r="316" spans="1:24" s="23" customFormat="1" ht="76.5" customHeight="1" outlineLevel="1" x14ac:dyDescent="0.2">
      <c r="A316" s="1" t="s">
        <v>7340</v>
      </c>
      <c r="B316" s="15" t="s">
        <v>5277</v>
      </c>
      <c r="C316" s="4" t="s">
        <v>3235</v>
      </c>
      <c r="D316" s="4" t="s">
        <v>5868</v>
      </c>
      <c r="E316" s="4" t="s">
        <v>5869</v>
      </c>
      <c r="F316" s="4"/>
      <c r="G316" s="4" t="s">
        <v>1888</v>
      </c>
      <c r="H316" s="22">
        <v>0</v>
      </c>
      <c r="I316" s="4">
        <v>710000000</v>
      </c>
      <c r="J316" s="4" t="s">
        <v>1931</v>
      </c>
      <c r="K316" s="4" t="s">
        <v>7338</v>
      </c>
      <c r="L316" s="4" t="s">
        <v>1889</v>
      </c>
      <c r="M316" s="8" t="s">
        <v>3195</v>
      </c>
      <c r="N316" s="8" t="s">
        <v>1890</v>
      </c>
      <c r="O316" s="8" t="s">
        <v>1935</v>
      </c>
      <c r="P316" s="4">
        <v>166</v>
      </c>
      <c r="Q316" s="4" t="s">
        <v>3324</v>
      </c>
      <c r="R316" s="10">
        <v>180</v>
      </c>
      <c r="S316" s="10">
        <v>312.5</v>
      </c>
      <c r="T316" s="10">
        <f t="shared" ref="T316" si="49">S316*R316</f>
        <v>56250</v>
      </c>
      <c r="U316" s="10">
        <f t="shared" ref="U316" si="50">T316*1.12</f>
        <v>63000.000000000007</v>
      </c>
      <c r="V316" s="11"/>
      <c r="W316" s="11">
        <v>2015</v>
      </c>
      <c r="X316" s="4"/>
    </row>
    <row r="317" spans="1:24" s="23" customFormat="1" ht="102" customHeight="1" outlineLevel="1" x14ac:dyDescent="0.2">
      <c r="A317" s="1" t="s">
        <v>4427</v>
      </c>
      <c r="B317" s="15" t="s">
        <v>5277</v>
      </c>
      <c r="C317" s="4" t="s">
        <v>2972</v>
      </c>
      <c r="D317" s="4" t="s">
        <v>5883</v>
      </c>
      <c r="E317" s="4" t="s">
        <v>5884</v>
      </c>
      <c r="F317" s="4"/>
      <c r="G317" s="4" t="s">
        <v>1888</v>
      </c>
      <c r="H317" s="22">
        <v>0</v>
      </c>
      <c r="I317" s="4">
        <v>710000000</v>
      </c>
      <c r="J317" s="4" t="s">
        <v>1931</v>
      </c>
      <c r="K317" s="4" t="s">
        <v>5297</v>
      </c>
      <c r="L317" s="4" t="s">
        <v>1889</v>
      </c>
      <c r="M317" s="8" t="s">
        <v>3195</v>
      </c>
      <c r="N317" s="8" t="s">
        <v>1890</v>
      </c>
      <c r="O317" s="8" t="s">
        <v>1935</v>
      </c>
      <c r="P317" s="4">
        <v>166</v>
      </c>
      <c r="Q317" s="4" t="s">
        <v>3324</v>
      </c>
      <c r="R317" s="10">
        <v>4148</v>
      </c>
      <c r="S317" s="10">
        <v>319.41000000000003</v>
      </c>
      <c r="T317" s="10">
        <v>0</v>
      </c>
      <c r="U317" s="10">
        <f t="shared" si="44"/>
        <v>0</v>
      </c>
      <c r="V317" s="11"/>
      <c r="W317" s="11">
        <v>2015</v>
      </c>
      <c r="X317" s="4"/>
    </row>
    <row r="318" spans="1:24" s="23" customFormat="1" ht="102" customHeight="1" outlineLevel="1" x14ac:dyDescent="0.2">
      <c r="A318" s="1" t="s">
        <v>6901</v>
      </c>
      <c r="B318" s="15" t="s">
        <v>5277</v>
      </c>
      <c r="C318" s="4" t="s">
        <v>2972</v>
      </c>
      <c r="D318" s="4" t="s">
        <v>5883</v>
      </c>
      <c r="E318" s="4" t="s">
        <v>5884</v>
      </c>
      <c r="F318" s="4"/>
      <c r="G318" s="4" t="s">
        <v>1888</v>
      </c>
      <c r="H318" s="22">
        <v>0</v>
      </c>
      <c r="I318" s="4">
        <v>710000000</v>
      </c>
      <c r="J318" s="4" t="s">
        <v>1931</v>
      </c>
      <c r="K318" s="4" t="s">
        <v>5297</v>
      </c>
      <c r="L318" s="4" t="s">
        <v>1889</v>
      </c>
      <c r="M318" s="8" t="s">
        <v>3195</v>
      </c>
      <c r="N318" s="8" t="s">
        <v>1890</v>
      </c>
      <c r="O318" s="8" t="s">
        <v>1935</v>
      </c>
      <c r="P318" s="4">
        <v>166</v>
      </c>
      <c r="Q318" s="4" t="s">
        <v>3324</v>
      </c>
      <c r="R318" s="10">
        <f>4148-100</f>
        <v>4048</v>
      </c>
      <c r="S318" s="10">
        <v>319.41000000000003</v>
      </c>
      <c r="T318" s="10">
        <v>0</v>
      </c>
      <c r="U318" s="10">
        <f t="shared" ref="U318" si="51">T318*1.12</f>
        <v>0</v>
      </c>
      <c r="V318" s="11"/>
      <c r="W318" s="11">
        <v>2015</v>
      </c>
      <c r="X318" s="4">
        <v>11</v>
      </c>
    </row>
    <row r="319" spans="1:24" s="23" customFormat="1" ht="102" customHeight="1" outlineLevel="1" x14ac:dyDescent="0.2">
      <c r="A319" s="1" t="s">
        <v>7341</v>
      </c>
      <c r="B319" s="15" t="s">
        <v>5277</v>
      </c>
      <c r="C319" s="4" t="s">
        <v>2972</v>
      </c>
      <c r="D319" s="4" t="s">
        <v>5883</v>
      </c>
      <c r="E319" s="4" t="s">
        <v>5884</v>
      </c>
      <c r="F319" s="4"/>
      <c r="G319" s="4" t="s">
        <v>1888</v>
      </c>
      <c r="H319" s="22">
        <v>0</v>
      </c>
      <c r="I319" s="4">
        <v>710000000</v>
      </c>
      <c r="J319" s="4" t="s">
        <v>1931</v>
      </c>
      <c r="K319" s="4" t="s">
        <v>7338</v>
      </c>
      <c r="L319" s="4" t="s">
        <v>1889</v>
      </c>
      <c r="M319" s="8" t="s">
        <v>3195</v>
      </c>
      <c r="N319" s="8" t="s">
        <v>1890</v>
      </c>
      <c r="O319" s="8" t="s">
        <v>1935</v>
      </c>
      <c r="P319" s="4">
        <v>166</v>
      </c>
      <c r="Q319" s="4" t="s">
        <v>3324</v>
      </c>
      <c r="R319" s="10">
        <f>4148-100</f>
        <v>4048</v>
      </c>
      <c r="S319" s="10">
        <v>319.41000000000003</v>
      </c>
      <c r="T319" s="10">
        <f t="shared" ref="T319" si="52">S319*R319</f>
        <v>1292971.6800000002</v>
      </c>
      <c r="U319" s="10">
        <f t="shared" ref="U319" si="53">T319*1.12</f>
        <v>1448128.2816000003</v>
      </c>
      <c r="V319" s="11"/>
      <c r="W319" s="11">
        <v>2015</v>
      </c>
      <c r="X319" s="4"/>
    </row>
    <row r="320" spans="1:24" s="23" customFormat="1" ht="76.5" customHeight="1" outlineLevel="1" x14ac:dyDescent="0.2">
      <c r="A320" s="1" t="s">
        <v>4428</v>
      </c>
      <c r="B320" s="15" t="s">
        <v>5277</v>
      </c>
      <c r="C320" s="4" t="s">
        <v>3236</v>
      </c>
      <c r="D320" s="4" t="s">
        <v>5870</v>
      </c>
      <c r="E320" s="4" t="s">
        <v>5871</v>
      </c>
      <c r="F320" s="4"/>
      <c r="G320" s="4" t="s">
        <v>1888</v>
      </c>
      <c r="H320" s="22">
        <v>0</v>
      </c>
      <c r="I320" s="4">
        <v>710000000</v>
      </c>
      <c r="J320" s="4" t="s">
        <v>1931</v>
      </c>
      <c r="K320" s="4" t="s">
        <v>5297</v>
      </c>
      <c r="L320" s="4" t="s">
        <v>1889</v>
      </c>
      <c r="M320" s="8" t="s">
        <v>3195</v>
      </c>
      <c r="N320" s="4" t="s">
        <v>1890</v>
      </c>
      <c r="O320" s="8" t="s">
        <v>1935</v>
      </c>
      <c r="P320" s="4">
        <v>166</v>
      </c>
      <c r="Q320" s="4" t="s">
        <v>3324</v>
      </c>
      <c r="R320" s="10">
        <v>20</v>
      </c>
      <c r="S320" s="10">
        <v>1071.45</v>
      </c>
      <c r="T320" s="10">
        <v>0</v>
      </c>
      <c r="U320" s="10">
        <f t="shared" si="44"/>
        <v>0</v>
      </c>
      <c r="V320" s="11"/>
      <c r="W320" s="11">
        <v>2015</v>
      </c>
      <c r="X320" s="4">
        <v>11</v>
      </c>
    </row>
    <row r="321" spans="1:24" s="23" customFormat="1" ht="76.5" customHeight="1" outlineLevel="1" x14ac:dyDescent="0.2">
      <c r="A321" s="1" t="s">
        <v>7342</v>
      </c>
      <c r="B321" s="15" t="s">
        <v>5277</v>
      </c>
      <c r="C321" s="4" t="s">
        <v>3236</v>
      </c>
      <c r="D321" s="4" t="s">
        <v>5870</v>
      </c>
      <c r="E321" s="4" t="s">
        <v>5871</v>
      </c>
      <c r="F321" s="4"/>
      <c r="G321" s="4" t="s">
        <v>1888</v>
      </c>
      <c r="H321" s="22">
        <v>0</v>
      </c>
      <c r="I321" s="4">
        <v>710000000</v>
      </c>
      <c r="J321" s="4" t="s">
        <v>1931</v>
      </c>
      <c r="K321" s="4" t="s">
        <v>7338</v>
      </c>
      <c r="L321" s="4" t="s">
        <v>1889</v>
      </c>
      <c r="M321" s="8" t="s">
        <v>3195</v>
      </c>
      <c r="N321" s="4" t="s">
        <v>1890</v>
      </c>
      <c r="O321" s="8" t="s">
        <v>1935</v>
      </c>
      <c r="P321" s="4">
        <v>166</v>
      </c>
      <c r="Q321" s="4" t="s">
        <v>3324</v>
      </c>
      <c r="R321" s="10">
        <v>20</v>
      </c>
      <c r="S321" s="10">
        <v>1071.45</v>
      </c>
      <c r="T321" s="10">
        <f t="shared" ref="T321" si="54">S321*R321</f>
        <v>21429</v>
      </c>
      <c r="U321" s="10">
        <f t="shared" ref="U321" si="55">T321*1.12</f>
        <v>24000.480000000003</v>
      </c>
      <c r="V321" s="11"/>
      <c r="W321" s="11">
        <v>2015</v>
      </c>
      <c r="X321" s="4"/>
    </row>
    <row r="322" spans="1:24" s="23" customFormat="1" ht="76.5" customHeight="1" outlineLevel="1" x14ac:dyDescent="0.2">
      <c r="A322" s="1" t="s">
        <v>4429</v>
      </c>
      <c r="B322" s="15" t="s">
        <v>5277</v>
      </c>
      <c r="C322" s="4" t="s">
        <v>2973</v>
      </c>
      <c r="D322" s="4" t="s">
        <v>5885</v>
      </c>
      <c r="E322" s="4" t="s">
        <v>5886</v>
      </c>
      <c r="F322" s="4" t="s">
        <v>2969</v>
      </c>
      <c r="G322" s="4" t="s">
        <v>1888</v>
      </c>
      <c r="H322" s="22">
        <v>0</v>
      </c>
      <c r="I322" s="4">
        <v>710000000</v>
      </c>
      <c r="J322" s="4" t="s">
        <v>1931</v>
      </c>
      <c r="K322" s="4" t="s">
        <v>5297</v>
      </c>
      <c r="L322" s="4" t="s">
        <v>1889</v>
      </c>
      <c r="M322" s="8" t="s">
        <v>3195</v>
      </c>
      <c r="N322" s="4" t="s">
        <v>1890</v>
      </c>
      <c r="O322" s="8" t="s">
        <v>1935</v>
      </c>
      <c r="P322" s="4">
        <v>166</v>
      </c>
      <c r="Q322" s="4" t="s">
        <v>3324</v>
      </c>
      <c r="R322" s="10">
        <v>1662</v>
      </c>
      <c r="S322" s="10">
        <v>339.06</v>
      </c>
      <c r="T322" s="10">
        <v>0</v>
      </c>
      <c r="U322" s="10">
        <f t="shared" si="44"/>
        <v>0</v>
      </c>
      <c r="V322" s="11"/>
      <c r="W322" s="11">
        <v>2015</v>
      </c>
      <c r="X322" s="4">
        <v>11</v>
      </c>
    </row>
    <row r="323" spans="1:24" s="23" customFormat="1" ht="76.5" customHeight="1" outlineLevel="1" x14ac:dyDescent="0.2">
      <c r="A323" s="1" t="s">
        <v>7343</v>
      </c>
      <c r="B323" s="15" t="s">
        <v>5277</v>
      </c>
      <c r="C323" s="4" t="s">
        <v>2973</v>
      </c>
      <c r="D323" s="4" t="s">
        <v>5885</v>
      </c>
      <c r="E323" s="4" t="s">
        <v>5886</v>
      </c>
      <c r="F323" s="4" t="s">
        <v>2969</v>
      </c>
      <c r="G323" s="4" t="s">
        <v>1888</v>
      </c>
      <c r="H323" s="22">
        <v>0</v>
      </c>
      <c r="I323" s="4">
        <v>710000000</v>
      </c>
      <c r="J323" s="4" t="s">
        <v>1931</v>
      </c>
      <c r="K323" s="4" t="s">
        <v>7338</v>
      </c>
      <c r="L323" s="4" t="s">
        <v>1889</v>
      </c>
      <c r="M323" s="8" t="s">
        <v>3195</v>
      </c>
      <c r="N323" s="4" t="s">
        <v>1890</v>
      </c>
      <c r="O323" s="8" t="s">
        <v>1935</v>
      </c>
      <c r="P323" s="4">
        <v>166</v>
      </c>
      <c r="Q323" s="4" t="s">
        <v>3324</v>
      </c>
      <c r="R323" s="10">
        <v>1662</v>
      </c>
      <c r="S323" s="10">
        <v>339.06</v>
      </c>
      <c r="T323" s="10">
        <f t="shared" ref="T323" si="56">S323*R323</f>
        <v>563517.72</v>
      </c>
      <c r="U323" s="10">
        <f t="shared" ref="U323" si="57">T323*1.12</f>
        <v>631139.84640000004</v>
      </c>
      <c r="V323" s="11"/>
      <c r="W323" s="11">
        <v>2015</v>
      </c>
      <c r="X323" s="4"/>
    </row>
    <row r="324" spans="1:24" s="23" customFormat="1" ht="76.5" customHeight="1" outlineLevel="1" x14ac:dyDescent="0.2">
      <c r="A324" s="1" t="s">
        <v>4430</v>
      </c>
      <c r="B324" s="15" t="s">
        <v>5277</v>
      </c>
      <c r="C324" s="4" t="s">
        <v>3241</v>
      </c>
      <c r="D324" s="4" t="s">
        <v>5876</v>
      </c>
      <c r="E324" s="4" t="s">
        <v>5877</v>
      </c>
      <c r="F324" s="4"/>
      <c r="G324" s="4" t="s">
        <v>1888</v>
      </c>
      <c r="H324" s="22">
        <v>0</v>
      </c>
      <c r="I324" s="4">
        <v>710000000</v>
      </c>
      <c r="J324" s="4" t="s">
        <v>1931</v>
      </c>
      <c r="K324" s="4" t="s">
        <v>5297</v>
      </c>
      <c r="L324" s="4" t="s">
        <v>1889</v>
      </c>
      <c r="M324" s="8" t="s">
        <v>3195</v>
      </c>
      <c r="N324" s="4" t="s">
        <v>1890</v>
      </c>
      <c r="O324" s="8" t="s">
        <v>1935</v>
      </c>
      <c r="P324" s="4">
        <v>166</v>
      </c>
      <c r="Q324" s="4" t="s">
        <v>3324</v>
      </c>
      <c r="R324" s="10">
        <v>360</v>
      </c>
      <c r="S324" s="10">
        <v>348.22</v>
      </c>
      <c r="T324" s="10">
        <v>0</v>
      </c>
      <c r="U324" s="10">
        <f t="shared" si="44"/>
        <v>0</v>
      </c>
      <c r="V324" s="11"/>
      <c r="W324" s="11">
        <v>2015</v>
      </c>
      <c r="X324" s="4">
        <v>11</v>
      </c>
    </row>
    <row r="325" spans="1:24" s="23" customFormat="1" ht="76.5" customHeight="1" outlineLevel="1" x14ac:dyDescent="0.2">
      <c r="A325" s="1" t="s">
        <v>7344</v>
      </c>
      <c r="B325" s="15" t="s">
        <v>5277</v>
      </c>
      <c r="C325" s="4" t="s">
        <v>3241</v>
      </c>
      <c r="D325" s="4" t="s">
        <v>5876</v>
      </c>
      <c r="E325" s="4" t="s">
        <v>5877</v>
      </c>
      <c r="F325" s="4"/>
      <c r="G325" s="4" t="s">
        <v>1888</v>
      </c>
      <c r="H325" s="22">
        <v>0</v>
      </c>
      <c r="I325" s="4">
        <v>710000000</v>
      </c>
      <c r="J325" s="4" t="s">
        <v>1931</v>
      </c>
      <c r="K325" s="4" t="s">
        <v>7338</v>
      </c>
      <c r="L325" s="4" t="s">
        <v>1889</v>
      </c>
      <c r="M325" s="8" t="s">
        <v>3195</v>
      </c>
      <c r="N325" s="4" t="s">
        <v>1890</v>
      </c>
      <c r="O325" s="8" t="s">
        <v>1935</v>
      </c>
      <c r="P325" s="4">
        <v>166</v>
      </c>
      <c r="Q325" s="4" t="s">
        <v>3324</v>
      </c>
      <c r="R325" s="10">
        <v>360</v>
      </c>
      <c r="S325" s="10">
        <v>348.22</v>
      </c>
      <c r="T325" s="10">
        <f t="shared" ref="T325" si="58">S325*R325</f>
        <v>125359.20000000001</v>
      </c>
      <c r="U325" s="10">
        <f t="shared" ref="U325" si="59">T325*1.12</f>
        <v>140402.30400000003</v>
      </c>
      <c r="V325" s="11"/>
      <c r="W325" s="11">
        <v>2015</v>
      </c>
      <c r="X325" s="4"/>
    </row>
    <row r="326" spans="1:24" s="23" customFormat="1" ht="76.5" customHeight="1" outlineLevel="1" x14ac:dyDescent="0.2">
      <c r="A326" s="1" t="s">
        <v>4431</v>
      </c>
      <c r="B326" s="15" t="s">
        <v>5277</v>
      </c>
      <c r="C326" s="4" t="s">
        <v>2974</v>
      </c>
      <c r="D326" s="4" t="s">
        <v>5887</v>
      </c>
      <c r="E326" s="4" t="s">
        <v>5888</v>
      </c>
      <c r="F326" s="4"/>
      <c r="G326" s="4" t="s">
        <v>1888</v>
      </c>
      <c r="H326" s="22">
        <v>0</v>
      </c>
      <c r="I326" s="4">
        <v>710000000</v>
      </c>
      <c r="J326" s="4" t="s">
        <v>1931</v>
      </c>
      <c r="K326" s="4" t="s">
        <v>5297</v>
      </c>
      <c r="L326" s="4" t="s">
        <v>1889</v>
      </c>
      <c r="M326" s="8" t="s">
        <v>3195</v>
      </c>
      <c r="N326" s="4" t="s">
        <v>1890</v>
      </c>
      <c r="O326" s="8" t="s">
        <v>1935</v>
      </c>
      <c r="P326" s="4">
        <v>166</v>
      </c>
      <c r="Q326" s="4" t="s">
        <v>3324</v>
      </c>
      <c r="R326" s="10">
        <v>30</v>
      </c>
      <c r="S326" s="10">
        <v>357.13</v>
      </c>
      <c r="T326" s="10">
        <v>0</v>
      </c>
      <c r="U326" s="10">
        <f t="shared" si="44"/>
        <v>0</v>
      </c>
      <c r="V326" s="11"/>
      <c r="W326" s="11">
        <v>2015</v>
      </c>
      <c r="X326" s="4">
        <v>11</v>
      </c>
    </row>
    <row r="327" spans="1:24" s="23" customFormat="1" ht="76.5" customHeight="1" outlineLevel="1" x14ac:dyDescent="0.2">
      <c r="A327" s="1" t="s">
        <v>7345</v>
      </c>
      <c r="B327" s="15" t="s">
        <v>5277</v>
      </c>
      <c r="C327" s="4" t="s">
        <v>2974</v>
      </c>
      <c r="D327" s="4" t="s">
        <v>5887</v>
      </c>
      <c r="E327" s="4" t="s">
        <v>5888</v>
      </c>
      <c r="F327" s="4"/>
      <c r="G327" s="4" t="s">
        <v>1888</v>
      </c>
      <c r="H327" s="22">
        <v>0</v>
      </c>
      <c r="I327" s="4">
        <v>710000000</v>
      </c>
      <c r="J327" s="4" t="s">
        <v>1931</v>
      </c>
      <c r="K327" s="4" t="s">
        <v>7338</v>
      </c>
      <c r="L327" s="4" t="s">
        <v>1889</v>
      </c>
      <c r="M327" s="8" t="s">
        <v>3195</v>
      </c>
      <c r="N327" s="4" t="s">
        <v>1890</v>
      </c>
      <c r="O327" s="8" t="s">
        <v>1935</v>
      </c>
      <c r="P327" s="4">
        <v>166</v>
      </c>
      <c r="Q327" s="4" t="s">
        <v>3324</v>
      </c>
      <c r="R327" s="10">
        <v>30</v>
      </c>
      <c r="S327" s="10">
        <v>357.13</v>
      </c>
      <c r="T327" s="10">
        <f t="shared" ref="T327" si="60">S327*R327</f>
        <v>10713.9</v>
      </c>
      <c r="U327" s="10">
        <f t="shared" ref="U327" si="61">T327*1.12</f>
        <v>11999.568000000001</v>
      </c>
      <c r="V327" s="11"/>
      <c r="W327" s="11">
        <v>2015</v>
      </c>
      <c r="X327" s="4"/>
    </row>
    <row r="328" spans="1:24" s="23" customFormat="1" ht="165.75" customHeight="1" outlineLevel="1" x14ac:dyDescent="0.2">
      <c r="A328" s="1" t="s">
        <v>4432</v>
      </c>
      <c r="B328" s="15" t="s">
        <v>5277</v>
      </c>
      <c r="C328" s="4" t="s">
        <v>3224</v>
      </c>
      <c r="D328" s="4" t="s">
        <v>5848</v>
      </c>
      <c r="E328" s="4" t="s">
        <v>5849</v>
      </c>
      <c r="F328" s="4"/>
      <c r="G328" s="4" t="s">
        <v>1888</v>
      </c>
      <c r="H328" s="22">
        <v>0</v>
      </c>
      <c r="I328" s="4">
        <v>710000000</v>
      </c>
      <c r="J328" s="4" t="s">
        <v>1931</v>
      </c>
      <c r="K328" s="4" t="s">
        <v>5297</v>
      </c>
      <c r="L328" s="4" t="s">
        <v>1889</v>
      </c>
      <c r="M328" s="8" t="s">
        <v>3195</v>
      </c>
      <c r="N328" s="4" t="s">
        <v>1890</v>
      </c>
      <c r="O328" s="8" t="s">
        <v>1935</v>
      </c>
      <c r="P328" s="4">
        <v>166</v>
      </c>
      <c r="Q328" s="4" t="s">
        <v>3324</v>
      </c>
      <c r="R328" s="10">
        <v>22</v>
      </c>
      <c r="S328" s="10">
        <v>263</v>
      </c>
      <c r="T328" s="10">
        <v>0</v>
      </c>
      <c r="U328" s="10">
        <f t="shared" si="44"/>
        <v>0</v>
      </c>
      <c r="V328" s="11"/>
      <c r="W328" s="11">
        <v>2015</v>
      </c>
      <c r="X328" s="4">
        <v>11</v>
      </c>
    </row>
    <row r="329" spans="1:24" s="23" customFormat="1" ht="165.75" customHeight="1" outlineLevel="1" x14ac:dyDescent="0.2">
      <c r="A329" s="1" t="s">
        <v>7346</v>
      </c>
      <c r="B329" s="15" t="s">
        <v>5277</v>
      </c>
      <c r="C329" s="4" t="s">
        <v>3224</v>
      </c>
      <c r="D329" s="4" t="s">
        <v>5848</v>
      </c>
      <c r="E329" s="4" t="s">
        <v>5849</v>
      </c>
      <c r="F329" s="4"/>
      <c r="G329" s="4" t="s">
        <v>1888</v>
      </c>
      <c r="H329" s="22">
        <v>0</v>
      </c>
      <c r="I329" s="4">
        <v>710000000</v>
      </c>
      <c r="J329" s="4" t="s">
        <v>1931</v>
      </c>
      <c r="K329" s="4" t="s">
        <v>7338</v>
      </c>
      <c r="L329" s="4" t="s">
        <v>1889</v>
      </c>
      <c r="M329" s="8" t="s">
        <v>3195</v>
      </c>
      <c r="N329" s="4" t="s">
        <v>1890</v>
      </c>
      <c r="O329" s="8" t="s">
        <v>1935</v>
      </c>
      <c r="P329" s="4">
        <v>166</v>
      </c>
      <c r="Q329" s="4" t="s">
        <v>3324</v>
      </c>
      <c r="R329" s="10">
        <v>22</v>
      </c>
      <c r="S329" s="10">
        <v>263</v>
      </c>
      <c r="T329" s="10">
        <f t="shared" ref="T329" si="62">S329*R329</f>
        <v>5786</v>
      </c>
      <c r="U329" s="10">
        <f t="shared" ref="U329" si="63">T329*1.12</f>
        <v>6480.3200000000006</v>
      </c>
      <c r="V329" s="11"/>
      <c r="W329" s="11">
        <v>2015</v>
      </c>
      <c r="X329" s="4"/>
    </row>
    <row r="330" spans="1:24" s="23" customFormat="1" ht="76.5" customHeight="1" outlineLevel="1" x14ac:dyDescent="0.2">
      <c r="A330" s="1" t="s">
        <v>4433</v>
      </c>
      <c r="B330" s="15" t="s">
        <v>5277</v>
      </c>
      <c r="C330" s="4" t="s">
        <v>6444</v>
      </c>
      <c r="D330" s="4" t="s">
        <v>6442</v>
      </c>
      <c r="E330" s="4" t="s">
        <v>6443</v>
      </c>
      <c r="F330" s="4" t="s">
        <v>3227</v>
      </c>
      <c r="G330" s="4" t="s">
        <v>1888</v>
      </c>
      <c r="H330" s="22">
        <v>0</v>
      </c>
      <c r="I330" s="4">
        <v>710000000</v>
      </c>
      <c r="J330" s="4" t="s">
        <v>1931</v>
      </c>
      <c r="K330" s="4" t="s">
        <v>5297</v>
      </c>
      <c r="L330" s="4" t="s">
        <v>1889</v>
      </c>
      <c r="M330" s="8" t="s">
        <v>3195</v>
      </c>
      <c r="N330" s="4" t="s">
        <v>1890</v>
      </c>
      <c r="O330" s="8" t="s">
        <v>1935</v>
      </c>
      <c r="P330" s="4">
        <v>166</v>
      </c>
      <c r="Q330" s="4" t="s">
        <v>3324</v>
      </c>
      <c r="R330" s="10">
        <v>80</v>
      </c>
      <c r="S330" s="10">
        <v>669.64</v>
      </c>
      <c r="T330" s="10">
        <v>0</v>
      </c>
      <c r="U330" s="10">
        <f t="shared" si="44"/>
        <v>0</v>
      </c>
      <c r="V330" s="11"/>
      <c r="W330" s="11">
        <v>2015</v>
      </c>
      <c r="X330" s="4">
        <v>11</v>
      </c>
    </row>
    <row r="331" spans="1:24" s="23" customFormat="1" ht="76.5" customHeight="1" outlineLevel="1" x14ac:dyDescent="0.2">
      <c r="A331" s="1" t="s">
        <v>7347</v>
      </c>
      <c r="B331" s="15" t="s">
        <v>5277</v>
      </c>
      <c r="C331" s="4" t="s">
        <v>6444</v>
      </c>
      <c r="D331" s="4" t="s">
        <v>6442</v>
      </c>
      <c r="E331" s="4" t="s">
        <v>6443</v>
      </c>
      <c r="F331" s="4" t="s">
        <v>3227</v>
      </c>
      <c r="G331" s="4" t="s">
        <v>1888</v>
      </c>
      <c r="H331" s="22">
        <v>0</v>
      </c>
      <c r="I331" s="4">
        <v>710000000</v>
      </c>
      <c r="J331" s="4" t="s">
        <v>1931</v>
      </c>
      <c r="K331" s="4" t="s">
        <v>7338</v>
      </c>
      <c r="L331" s="4" t="s">
        <v>1889</v>
      </c>
      <c r="M331" s="8" t="s">
        <v>3195</v>
      </c>
      <c r="N331" s="4" t="s">
        <v>1890</v>
      </c>
      <c r="O331" s="8" t="s">
        <v>1935</v>
      </c>
      <c r="P331" s="4">
        <v>166</v>
      </c>
      <c r="Q331" s="4" t="s">
        <v>3324</v>
      </c>
      <c r="R331" s="10">
        <v>80</v>
      </c>
      <c r="S331" s="10">
        <v>669.64</v>
      </c>
      <c r="T331" s="10">
        <f t="shared" ref="T331" si="64">S331*R331</f>
        <v>53571.199999999997</v>
      </c>
      <c r="U331" s="10">
        <f t="shared" ref="U331" si="65">T331*1.12</f>
        <v>59999.744000000006</v>
      </c>
      <c r="V331" s="11"/>
      <c r="W331" s="11">
        <v>2015</v>
      </c>
      <c r="X331" s="4"/>
    </row>
    <row r="332" spans="1:24" s="23" customFormat="1" ht="76.5" customHeight="1" outlineLevel="1" x14ac:dyDescent="0.2">
      <c r="A332" s="1" t="s">
        <v>4434</v>
      </c>
      <c r="B332" s="15" t="s">
        <v>5277</v>
      </c>
      <c r="C332" s="4" t="s">
        <v>3218</v>
      </c>
      <c r="D332" s="4" t="s">
        <v>3219</v>
      </c>
      <c r="E332" s="4" t="s">
        <v>7554</v>
      </c>
      <c r="F332" s="4"/>
      <c r="G332" s="4" t="s">
        <v>1888</v>
      </c>
      <c r="H332" s="22">
        <v>0</v>
      </c>
      <c r="I332" s="4">
        <v>710000000</v>
      </c>
      <c r="J332" s="4" t="s">
        <v>1931</v>
      </c>
      <c r="K332" s="4" t="s">
        <v>5297</v>
      </c>
      <c r="L332" s="4" t="s">
        <v>1889</v>
      </c>
      <c r="M332" s="8" t="s">
        <v>3195</v>
      </c>
      <c r="N332" s="4" t="s">
        <v>1890</v>
      </c>
      <c r="O332" s="8" t="s">
        <v>1935</v>
      </c>
      <c r="P332" s="4">
        <v>166</v>
      </c>
      <c r="Q332" s="4" t="s">
        <v>3324</v>
      </c>
      <c r="R332" s="10">
        <v>192</v>
      </c>
      <c r="S332" s="10">
        <v>196.74</v>
      </c>
      <c r="T332" s="10">
        <v>0</v>
      </c>
      <c r="U332" s="10">
        <f t="shared" si="44"/>
        <v>0</v>
      </c>
      <c r="V332" s="11"/>
      <c r="W332" s="11">
        <v>2015</v>
      </c>
      <c r="X332" s="4">
        <v>11</v>
      </c>
    </row>
    <row r="333" spans="1:24" s="23" customFormat="1" ht="76.5" customHeight="1" outlineLevel="1" x14ac:dyDescent="0.2">
      <c r="A333" s="1" t="s">
        <v>7348</v>
      </c>
      <c r="B333" s="15" t="s">
        <v>5277</v>
      </c>
      <c r="C333" s="4" t="s">
        <v>3218</v>
      </c>
      <c r="D333" s="4" t="s">
        <v>3219</v>
      </c>
      <c r="E333" s="4" t="s">
        <v>7554</v>
      </c>
      <c r="F333" s="4"/>
      <c r="G333" s="4" t="s">
        <v>1888</v>
      </c>
      <c r="H333" s="22">
        <v>0</v>
      </c>
      <c r="I333" s="4">
        <v>710000000</v>
      </c>
      <c r="J333" s="4" t="s">
        <v>1931</v>
      </c>
      <c r="K333" s="4" t="s">
        <v>7338</v>
      </c>
      <c r="L333" s="4" t="s">
        <v>1889</v>
      </c>
      <c r="M333" s="8" t="s">
        <v>3195</v>
      </c>
      <c r="N333" s="4" t="s">
        <v>1890</v>
      </c>
      <c r="O333" s="8" t="s">
        <v>1935</v>
      </c>
      <c r="P333" s="4">
        <v>166</v>
      </c>
      <c r="Q333" s="4" t="s">
        <v>3324</v>
      </c>
      <c r="R333" s="10">
        <v>192</v>
      </c>
      <c r="S333" s="10">
        <v>196.74</v>
      </c>
      <c r="T333" s="10">
        <f t="shared" ref="T333" si="66">S333*R333</f>
        <v>37774.080000000002</v>
      </c>
      <c r="U333" s="10">
        <f t="shared" ref="U333" si="67">T333*1.12</f>
        <v>42306.969600000004</v>
      </c>
      <c r="V333" s="11"/>
      <c r="W333" s="11">
        <v>2015</v>
      </c>
      <c r="X333" s="4"/>
    </row>
    <row r="334" spans="1:24" s="23" customFormat="1" ht="93" customHeight="1" outlineLevel="1" x14ac:dyDescent="0.2">
      <c r="A334" s="1" t="s">
        <v>4435</v>
      </c>
      <c r="B334" s="15" t="s">
        <v>5277</v>
      </c>
      <c r="C334" s="4" t="s">
        <v>3237</v>
      </c>
      <c r="D334" s="4" t="s">
        <v>5872</v>
      </c>
      <c r="E334" s="4" t="s">
        <v>7555</v>
      </c>
      <c r="F334" s="4"/>
      <c r="G334" s="4" t="s">
        <v>1888</v>
      </c>
      <c r="H334" s="22">
        <v>0</v>
      </c>
      <c r="I334" s="4">
        <v>710000000</v>
      </c>
      <c r="J334" s="4" t="s">
        <v>1931</v>
      </c>
      <c r="K334" s="4" t="s">
        <v>5297</v>
      </c>
      <c r="L334" s="4" t="s">
        <v>1889</v>
      </c>
      <c r="M334" s="8" t="s">
        <v>3195</v>
      </c>
      <c r="N334" s="4" t="s">
        <v>1890</v>
      </c>
      <c r="O334" s="8" t="s">
        <v>1935</v>
      </c>
      <c r="P334" s="4">
        <v>166</v>
      </c>
      <c r="Q334" s="4" t="s">
        <v>3324</v>
      </c>
      <c r="R334" s="10">
        <v>199</v>
      </c>
      <c r="S334" s="10">
        <v>769.24</v>
      </c>
      <c r="T334" s="10">
        <v>0</v>
      </c>
      <c r="U334" s="10">
        <f t="shared" si="44"/>
        <v>0</v>
      </c>
      <c r="V334" s="11"/>
      <c r="W334" s="11">
        <v>2015</v>
      </c>
      <c r="X334" s="4">
        <v>11</v>
      </c>
    </row>
    <row r="335" spans="1:24" s="23" customFormat="1" ht="99" customHeight="1" outlineLevel="1" x14ac:dyDescent="0.2">
      <c r="A335" s="1" t="s">
        <v>7349</v>
      </c>
      <c r="B335" s="15" t="s">
        <v>5277</v>
      </c>
      <c r="C335" s="4" t="s">
        <v>3237</v>
      </c>
      <c r="D335" s="4" t="s">
        <v>5872</v>
      </c>
      <c r="E335" s="4" t="s">
        <v>7555</v>
      </c>
      <c r="F335" s="4"/>
      <c r="G335" s="4" t="s">
        <v>1888</v>
      </c>
      <c r="H335" s="22">
        <v>0</v>
      </c>
      <c r="I335" s="4">
        <v>710000000</v>
      </c>
      <c r="J335" s="4" t="s">
        <v>1931</v>
      </c>
      <c r="K335" s="4" t="s">
        <v>7338</v>
      </c>
      <c r="L335" s="4" t="s">
        <v>1889</v>
      </c>
      <c r="M335" s="8" t="s">
        <v>3195</v>
      </c>
      <c r="N335" s="4" t="s">
        <v>1890</v>
      </c>
      <c r="O335" s="8" t="s">
        <v>1935</v>
      </c>
      <c r="P335" s="4">
        <v>166</v>
      </c>
      <c r="Q335" s="4" t="s">
        <v>3324</v>
      </c>
      <c r="R335" s="10">
        <v>199</v>
      </c>
      <c r="S335" s="10">
        <v>769.24</v>
      </c>
      <c r="T335" s="10">
        <f t="shared" ref="T335" si="68">S335*R335</f>
        <v>153078.76</v>
      </c>
      <c r="U335" s="10">
        <f t="shared" ref="U335" si="69">T335*1.12</f>
        <v>171448.21120000002</v>
      </c>
      <c r="V335" s="11"/>
      <c r="W335" s="11">
        <v>2015</v>
      </c>
      <c r="X335" s="4"/>
    </row>
    <row r="336" spans="1:24" s="23" customFormat="1" ht="76.5" customHeight="1" outlineLevel="1" x14ac:dyDescent="0.2">
      <c r="A336" s="1" t="s">
        <v>4436</v>
      </c>
      <c r="B336" s="15" t="s">
        <v>5277</v>
      </c>
      <c r="C336" s="4" t="s">
        <v>2977</v>
      </c>
      <c r="D336" s="4" t="s">
        <v>5893</v>
      </c>
      <c r="E336" s="4" t="s">
        <v>5894</v>
      </c>
      <c r="F336" s="4"/>
      <c r="G336" s="4" t="s">
        <v>1888</v>
      </c>
      <c r="H336" s="22">
        <v>1</v>
      </c>
      <c r="I336" s="4">
        <v>710000000</v>
      </c>
      <c r="J336" s="4" t="s">
        <v>1931</v>
      </c>
      <c r="K336" s="4" t="s">
        <v>5297</v>
      </c>
      <c r="L336" s="4" t="s">
        <v>1889</v>
      </c>
      <c r="M336" s="8" t="s">
        <v>3195</v>
      </c>
      <c r="N336" s="4" t="s">
        <v>1890</v>
      </c>
      <c r="O336" s="8" t="s">
        <v>1935</v>
      </c>
      <c r="P336" s="4">
        <v>166</v>
      </c>
      <c r="Q336" s="4" t="s">
        <v>3324</v>
      </c>
      <c r="R336" s="10">
        <v>101</v>
      </c>
      <c r="S336" s="10">
        <v>89.69</v>
      </c>
      <c r="T336" s="10">
        <v>0</v>
      </c>
      <c r="U336" s="10">
        <f t="shared" si="44"/>
        <v>0</v>
      </c>
      <c r="V336" s="11"/>
      <c r="W336" s="11">
        <v>2015</v>
      </c>
      <c r="X336" s="4">
        <v>11</v>
      </c>
    </row>
    <row r="337" spans="1:24" s="23" customFormat="1" ht="76.5" customHeight="1" outlineLevel="1" x14ac:dyDescent="0.2">
      <c r="A337" s="1" t="s">
        <v>7350</v>
      </c>
      <c r="B337" s="15" t="s">
        <v>5277</v>
      </c>
      <c r="C337" s="4" t="s">
        <v>2977</v>
      </c>
      <c r="D337" s="4" t="s">
        <v>5893</v>
      </c>
      <c r="E337" s="4" t="s">
        <v>5894</v>
      </c>
      <c r="F337" s="4"/>
      <c r="G337" s="4" t="s">
        <v>1888</v>
      </c>
      <c r="H337" s="22">
        <v>1</v>
      </c>
      <c r="I337" s="4">
        <v>710000000</v>
      </c>
      <c r="J337" s="4" t="s">
        <v>1931</v>
      </c>
      <c r="K337" s="4" t="s">
        <v>7338</v>
      </c>
      <c r="L337" s="4" t="s">
        <v>1889</v>
      </c>
      <c r="M337" s="8" t="s">
        <v>3195</v>
      </c>
      <c r="N337" s="4" t="s">
        <v>1890</v>
      </c>
      <c r="O337" s="8" t="s">
        <v>1935</v>
      </c>
      <c r="P337" s="4">
        <v>166</v>
      </c>
      <c r="Q337" s="4" t="s">
        <v>3324</v>
      </c>
      <c r="R337" s="10">
        <v>101</v>
      </c>
      <c r="S337" s="10">
        <v>89.69</v>
      </c>
      <c r="T337" s="10">
        <v>0</v>
      </c>
      <c r="U337" s="10">
        <f t="shared" si="44"/>
        <v>0</v>
      </c>
      <c r="V337" s="11"/>
      <c r="W337" s="11">
        <v>2015</v>
      </c>
      <c r="X337" s="4">
        <v>11.22</v>
      </c>
    </row>
    <row r="338" spans="1:24" s="23" customFormat="1" ht="76.5" customHeight="1" outlineLevel="1" x14ac:dyDescent="0.2">
      <c r="A338" s="1" t="s">
        <v>8425</v>
      </c>
      <c r="B338" s="15" t="s">
        <v>5277</v>
      </c>
      <c r="C338" s="4" t="s">
        <v>2977</v>
      </c>
      <c r="D338" s="4" t="s">
        <v>5893</v>
      </c>
      <c r="E338" s="4" t="s">
        <v>5894</v>
      </c>
      <c r="F338" s="4"/>
      <c r="G338" s="4" t="s">
        <v>1888</v>
      </c>
      <c r="H338" s="22">
        <v>1</v>
      </c>
      <c r="I338" s="4">
        <v>710000000</v>
      </c>
      <c r="J338" s="4" t="s">
        <v>1931</v>
      </c>
      <c r="K338" s="4" t="s">
        <v>8400</v>
      </c>
      <c r="L338" s="4" t="s">
        <v>1889</v>
      </c>
      <c r="M338" s="8" t="s">
        <v>3195</v>
      </c>
      <c r="N338" s="4" t="s">
        <v>1890</v>
      </c>
      <c r="O338" s="8" t="s">
        <v>1935</v>
      </c>
      <c r="P338" s="4">
        <v>166</v>
      </c>
      <c r="Q338" s="4" t="s">
        <v>3324</v>
      </c>
      <c r="R338" s="10">
        <v>101</v>
      </c>
      <c r="S338" s="10">
        <v>89.69</v>
      </c>
      <c r="T338" s="10">
        <f t="shared" ref="T338" si="70">S338*R338</f>
        <v>9058.69</v>
      </c>
      <c r="U338" s="10">
        <f t="shared" ref="U338" si="71">T338*1.12</f>
        <v>10145.732800000002</v>
      </c>
      <c r="V338" s="11"/>
      <c r="W338" s="11">
        <v>2015</v>
      </c>
      <c r="X338" s="4"/>
    </row>
    <row r="339" spans="1:24" s="23" customFormat="1" ht="76.5" customHeight="1" outlineLevel="1" x14ac:dyDescent="0.2">
      <c r="A339" s="1" t="s">
        <v>4437</v>
      </c>
      <c r="B339" s="15" t="s">
        <v>5277</v>
      </c>
      <c r="C339" s="4" t="s">
        <v>6558</v>
      </c>
      <c r="D339" s="4" t="s">
        <v>1891</v>
      </c>
      <c r="E339" s="4" t="s">
        <v>6445</v>
      </c>
      <c r="F339" s="4" t="s">
        <v>3228</v>
      </c>
      <c r="G339" s="4" t="s">
        <v>1888</v>
      </c>
      <c r="H339" s="22">
        <v>0</v>
      </c>
      <c r="I339" s="4">
        <v>710000000</v>
      </c>
      <c r="J339" s="4" t="s">
        <v>1931</v>
      </c>
      <c r="K339" s="4" t="s">
        <v>5297</v>
      </c>
      <c r="L339" s="4" t="s">
        <v>1889</v>
      </c>
      <c r="M339" s="8" t="s">
        <v>3195</v>
      </c>
      <c r="N339" s="4" t="s">
        <v>1890</v>
      </c>
      <c r="O339" s="8" t="s">
        <v>1935</v>
      </c>
      <c r="P339" s="4">
        <v>166</v>
      </c>
      <c r="Q339" s="4" t="s">
        <v>3324</v>
      </c>
      <c r="R339" s="10">
        <v>337</v>
      </c>
      <c r="S339" s="10">
        <v>196.61</v>
      </c>
      <c r="T339" s="10">
        <v>0</v>
      </c>
      <c r="U339" s="10">
        <f t="shared" si="44"/>
        <v>0</v>
      </c>
      <c r="V339" s="11"/>
      <c r="W339" s="11">
        <v>2015</v>
      </c>
      <c r="X339" s="4" t="s">
        <v>6970</v>
      </c>
    </row>
    <row r="340" spans="1:24" s="23" customFormat="1" ht="76.5" customHeight="1" outlineLevel="1" x14ac:dyDescent="0.2">
      <c r="A340" s="1" t="s">
        <v>6963</v>
      </c>
      <c r="B340" s="15" t="s">
        <v>5277</v>
      </c>
      <c r="C340" s="4" t="s">
        <v>6964</v>
      </c>
      <c r="D340" s="4" t="s">
        <v>1891</v>
      </c>
      <c r="E340" s="4" t="s">
        <v>6965</v>
      </c>
      <c r="F340" s="4" t="s">
        <v>3228</v>
      </c>
      <c r="G340" s="4" t="s">
        <v>1888</v>
      </c>
      <c r="H340" s="22">
        <v>0</v>
      </c>
      <c r="I340" s="4">
        <v>710000000</v>
      </c>
      <c r="J340" s="4" t="s">
        <v>1931</v>
      </c>
      <c r="K340" s="4" t="s">
        <v>5297</v>
      </c>
      <c r="L340" s="4" t="s">
        <v>1889</v>
      </c>
      <c r="M340" s="8" t="s">
        <v>3195</v>
      </c>
      <c r="N340" s="4" t="s">
        <v>1890</v>
      </c>
      <c r="O340" s="8" t="s">
        <v>1935</v>
      </c>
      <c r="P340" s="4">
        <v>881</v>
      </c>
      <c r="Q340" s="4" t="s">
        <v>2746</v>
      </c>
      <c r="R340" s="10">
        <v>337</v>
      </c>
      <c r="S340" s="10">
        <v>196.61</v>
      </c>
      <c r="T340" s="10">
        <v>0</v>
      </c>
      <c r="U340" s="10">
        <f t="shared" ref="U340" si="72">T340*1.12</f>
        <v>0</v>
      </c>
      <c r="V340" s="11"/>
      <c r="W340" s="11">
        <v>2015</v>
      </c>
      <c r="X340" s="4">
        <v>11</v>
      </c>
    </row>
    <row r="341" spans="1:24" s="23" customFormat="1" ht="76.5" customHeight="1" outlineLevel="1" x14ac:dyDescent="0.2">
      <c r="A341" s="1" t="s">
        <v>7351</v>
      </c>
      <c r="B341" s="15" t="s">
        <v>5277</v>
      </c>
      <c r="C341" s="4" t="s">
        <v>6964</v>
      </c>
      <c r="D341" s="4" t="s">
        <v>1891</v>
      </c>
      <c r="E341" s="4" t="s">
        <v>6965</v>
      </c>
      <c r="F341" s="4" t="s">
        <v>3228</v>
      </c>
      <c r="G341" s="4" t="s">
        <v>1888</v>
      </c>
      <c r="H341" s="22">
        <v>0</v>
      </c>
      <c r="I341" s="4">
        <v>710000000</v>
      </c>
      <c r="J341" s="4" t="s">
        <v>1931</v>
      </c>
      <c r="K341" s="4" t="s">
        <v>7338</v>
      </c>
      <c r="L341" s="4" t="s">
        <v>1889</v>
      </c>
      <c r="M341" s="8" t="s">
        <v>3195</v>
      </c>
      <c r="N341" s="4" t="s">
        <v>1890</v>
      </c>
      <c r="O341" s="8" t="s">
        <v>1935</v>
      </c>
      <c r="P341" s="4">
        <v>881</v>
      </c>
      <c r="Q341" s="4" t="s">
        <v>2746</v>
      </c>
      <c r="R341" s="10">
        <v>337</v>
      </c>
      <c r="S341" s="10">
        <v>196.61</v>
      </c>
      <c r="T341" s="10">
        <v>0</v>
      </c>
      <c r="U341" s="10">
        <f t="shared" ref="U341" si="73">T341*1.12</f>
        <v>0</v>
      </c>
      <c r="V341" s="11"/>
      <c r="W341" s="11">
        <v>2015</v>
      </c>
      <c r="X341" s="4">
        <v>11.22</v>
      </c>
    </row>
    <row r="342" spans="1:24" s="23" customFormat="1" ht="76.5" customHeight="1" outlineLevel="1" x14ac:dyDescent="0.2">
      <c r="A342" s="1" t="s">
        <v>8426</v>
      </c>
      <c r="B342" s="15" t="s">
        <v>5277</v>
      </c>
      <c r="C342" s="4" t="s">
        <v>6964</v>
      </c>
      <c r="D342" s="4" t="s">
        <v>1891</v>
      </c>
      <c r="E342" s="4" t="s">
        <v>6965</v>
      </c>
      <c r="F342" s="4" t="s">
        <v>3228</v>
      </c>
      <c r="G342" s="4" t="s">
        <v>1888</v>
      </c>
      <c r="H342" s="22">
        <v>0</v>
      </c>
      <c r="I342" s="4">
        <v>710000000</v>
      </c>
      <c r="J342" s="4" t="s">
        <v>1931</v>
      </c>
      <c r="K342" s="4" t="s">
        <v>8400</v>
      </c>
      <c r="L342" s="4" t="s">
        <v>1889</v>
      </c>
      <c r="M342" s="8" t="s">
        <v>3195</v>
      </c>
      <c r="N342" s="4" t="s">
        <v>1890</v>
      </c>
      <c r="O342" s="8" t="s">
        <v>1935</v>
      </c>
      <c r="P342" s="4">
        <v>881</v>
      </c>
      <c r="Q342" s="4" t="s">
        <v>2746</v>
      </c>
      <c r="R342" s="10">
        <v>337</v>
      </c>
      <c r="S342" s="10">
        <v>196.61</v>
      </c>
      <c r="T342" s="10">
        <f t="shared" ref="T342" si="74">S342*R342</f>
        <v>66257.570000000007</v>
      </c>
      <c r="U342" s="10">
        <f t="shared" ref="U342" si="75">T342*1.12</f>
        <v>74208.478400000022</v>
      </c>
      <c r="V342" s="11"/>
      <c r="W342" s="11">
        <v>2015</v>
      </c>
      <c r="X342" s="4"/>
    </row>
    <row r="343" spans="1:24" s="23" customFormat="1" ht="153" customHeight="1" outlineLevel="1" x14ac:dyDescent="0.2">
      <c r="A343" s="1" t="s">
        <v>4438</v>
      </c>
      <c r="B343" s="15" t="s">
        <v>5277</v>
      </c>
      <c r="C343" s="4" t="s">
        <v>3229</v>
      </c>
      <c r="D343" s="4" t="s">
        <v>5855</v>
      </c>
      <c r="E343" s="4" t="s">
        <v>5856</v>
      </c>
      <c r="F343" s="4"/>
      <c r="G343" s="4" t="s">
        <v>1888</v>
      </c>
      <c r="H343" s="22">
        <v>0</v>
      </c>
      <c r="I343" s="4">
        <v>710000000</v>
      </c>
      <c r="J343" s="4" t="s">
        <v>1931</v>
      </c>
      <c r="K343" s="4" t="s">
        <v>5297</v>
      </c>
      <c r="L343" s="4" t="s">
        <v>1889</v>
      </c>
      <c r="M343" s="8" t="s">
        <v>3195</v>
      </c>
      <c r="N343" s="4" t="s">
        <v>1890</v>
      </c>
      <c r="O343" s="8" t="s">
        <v>1935</v>
      </c>
      <c r="P343" s="4">
        <v>166</v>
      </c>
      <c r="Q343" s="4" t="s">
        <v>3324</v>
      </c>
      <c r="R343" s="10">
        <v>145</v>
      </c>
      <c r="S343" s="10">
        <v>1250.8399999999999</v>
      </c>
      <c r="T343" s="10">
        <v>0</v>
      </c>
      <c r="U343" s="10">
        <f t="shared" si="44"/>
        <v>0</v>
      </c>
      <c r="V343" s="11"/>
      <c r="W343" s="11">
        <v>2015</v>
      </c>
      <c r="X343" s="4">
        <v>11</v>
      </c>
    </row>
    <row r="344" spans="1:24" s="23" customFormat="1" ht="153" customHeight="1" outlineLevel="1" x14ac:dyDescent="0.2">
      <c r="A344" s="1" t="s">
        <v>7352</v>
      </c>
      <c r="B344" s="15" t="s">
        <v>5277</v>
      </c>
      <c r="C344" s="4" t="s">
        <v>3229</v>
      </c>
      <c r="D344" s="4" t="s">
        <v>5855</v>
      </c>
      <c r="E344" s="4" t="s">
        <v>5856</v>
      </c>
      <c r="F344" s="4"/>
      <c r="G344" s="4" t="s">
        <v>1888</v>
      </c>
      <c r="H344" s="22">
        <v>0</v>
      </c>
      <c r="I344" s="4">
        <v>710000000</v>
      </c>
      <c r="J344" s="4" t="s">
        <v>1931</v>
      </c>
      <c r="K344" s="4" t="s">
        <v>7338</v>
      </c>
      <c r="L344" s="4" t="s">
        <v>1889</v>
      </c>
      <c r="M344" s="8" t="s">
        <v>3195</v>
      </c>
      <c r="N344" s="4" t="s">
        <v>1890</v>
      </c>
      <c r="O344" s="8" t="s">
        <v>1935</v>
      </c>
      <c r="P344" s="4">
        <v>166</v>
      </c>
      <c r="Q344" s="4" t="s">
        <v>3324</v>
      </c>
      <c r="R344" s="10">
        <v>145</v>
      </c>
      <c r="S344" s="10">
        <v>1250.8399999999999</v>
      </c>
      <c r="T344" s="10">
        <f t="shared" ref="T344" si="76">S344*R344</f>
        <v>181371.8</v>
      </c>
      <c r="U344" s="10">
        <f t="shared" ref="U344" si="77">T344*1.12</f>
        <v>203136.416</v>
      </c>
      <c r="V344" s="11"/>
      <c r="W344" s="11">
        <v>2015</v>
      </c>
      <c r="X344" s="4"/>
    </row>
    <row r="345" spans="1:24" s="23" customFormat="1" ht="127.5" customHeight="1" outlineLevel="1" x14ac:dyDescent="0.2">
      <c r="A345" s="1" t="s">
        <v>4439</v>
      </c>
      <c r="B345" s="15" t="s">
        <v>5277</v>
      </c>
      <c r="C345" s="4" t="s">
        <v>1892</v>
      </c>
      <c r="D345" s="4" t="s">
        <v>1893</v>
      </c>
      <c r="E345" s="4" t="s">
        <v>1894</v>
      </c>
      <c r="F345" s="4" t="s">
        <v>1895</v>
      </c>
      <c r="G345" s="4" t="s">
        <v>1888</v>
      </c>
      <c r="H345" s="22">
        <v>0</v>
      </c>
      <c r="I345" s="4">
        <v>710000000</v>
      </c>
      <c r="J345" s="4" t="s">
        <v>1931</v>
      </c>
      <c r="K345" s="4" t="s">
        <v>5297</v>
      </c>
      <c r="L345" s="4" t="s">
        <v>1889</v>
      </c>
      <c r="M345" s="8" t="s">
        <v>3195</v>
      </c>
      <c r="N345" s="4" t="s">
        <v>1890</v>
      </c>
      <c r="O345" s="8" t="s">
        <v>1935</v>
      </c>
      <c r="P345" s="4">
        <v>166</v>
      </c>
      <c r="Q345" s="4" t="s">
        <v>3324</v>
      </c>
      <c r="R345" s="10">
        <v>145</v>
      </c>
      <c r="S345" s="10">
        <v>1111.24</v>
      </c>
      <c r="T345" s="10">
        <v>0</v>
      </c>
      <c r="U345" s="10">
        <f t="shared" si="44"/>
        <v>0</v>
      </c>
      <c r="V345" s="11"/>
      <c r="W345" s="11">
        <v>2015</v>
      </c>
      <c r="X345" s="4" t="s">
        <v>6562</v>
      </c>
    </row>
    <row r="346" spans="1:24" s="23" customFormat="1" ht="127.5" customHeight="1" outlineLevel="1" x14ac:dyDescent="0.2">
      <c r="A346" s="1" t="s">
        <v>6940</v>
      </c>
      <c r="B346" s="15" t="s">
        <v>5277</v>
      </c>
      <c r="C346" s="4" t="s">
        <v>1892</v>
      </c>
      <c r="D346" s="4" t="s">
        <v>1893</v>
      </c>
      <c r="E346" s="4" t="s">
        <v>1894</v>
      </c>
      <c r="F346" s="4" t="s">
        <v>1895</v>
      </c>
      <c r="G346" s="4" t="s">
        <v>1888</v>
      </c>
      <c r="H346" s="22">
        <v>0</v>
      </c>
      <c r="I346" s="4">
        <v>710000000</v>
      </c>
      <c r="J346" s="4" t="s">
        <v>1931</v>
      </c>
      <c r="K346" s="4" t="s">
        <v>5297</v>
      </c>
      <c r="L346" s="4" t="s">
        <v>1889</v>
      </c>
      <c r="M346" s="8" t="s">
        <v>3195</v>
      </c>
      <c r="N346" s="4" t="s">
        <v>1890</v>
      </c>
      <c r="O346" s="8" t="s">
        <v>1935</v>
      </c>
      <c r="P346" s="4">
        <v>166</v>
      </c>
      <c r="Q346" s="4" t="s">
        <v>3324</v>
      </c>
      <c r="R346" s="10">
        <v>188</v>
      </c>
      <c r="S346" s="10">
        <v>1111.24</v>
      </c>
      <c r="T346" s="10">
        <v>0</v>
      </c>
      <c r="U346" s="10">
        <f t="shared" ref="U346" si="78">T346*1.12</f>
        <v>0</v>
      </c>
      <c r="V346" s="11"/>
      <c r="W346" s="11">
        <v>2015</v>
      </c>
      <c r="X346" s="4">
        <v>11</v>
      </c>
    </row>
    <row r="347" spans="1:24" s="23" customFormat="1" ht="127.5" customHeight="1" outlineLevel="1" x14ac:dyDescent="0.2">
      <c r="A347" s="1" t="s">
        <v>7353</v>
      </c>
      <c r="B347" s="15" t="s">
        <v>5277</v>
      </c>
      <c r="C347" s="4" t="s">
        <v>1892</v>
      </c>
      <c r="D347" s="4" t="s">
        <v>1893</v>
      </c>
      <c r="E347" s="4" t="s">
        <v>1894</v>
      </c>
      <c r="F347" s="4" t="s">
        <v>1895</v>
      </c>
      <c r="G347" s="4" t="s">
        <v>1888</v>
      </c>
      <c r="H347" s="22">
        <v>0</v>
      </c>
      <c r="I347" s="4">
        <v>710000000</v>
      </c>
      <c r="J347" s="4" t="s">
        <v>1931</v>
      </c>
      <c r="K347" s="4" t="s">
        <v>7338</v>
      </c>
      <c r="L347" s="4" t="s">
        <v>1889</v>
      </c>
      <c r="M347" s="8" t="s">
        <v>3195</v>
      </c>
      <c r="N347" s="4" t="s">
        <v>1890</v>
      </c>
      <c r="O347" s="8" t="s">
        <v>1935</v>
      </c>
      <c r="P347" s="4">
        <v>166</v>
      </c>
      <c r="Q347" s="4" t="s">
        <v>3324</v>
      </c>
      <c r="R347" s="10">
        <v>188</v>
      </c>
      <c r="S347" s="10">
        <v>1111.24</v>
      </c>
      <c r="T347" s="10">
        <f t="shared" ref="T347" si="79">S347*R347</f>
        <v>208913.12</v>
      </c>
      <c r="U347" s="10">
        <f t="shared" ref="U347" si="80">T347*1.12</f>
        <v>233982.69440000001</v>
      </c>
      <c r="V347" s="11"/>
      <c r="W347" s="11">
        <v>2015</v>
      </c>
      <c r="X347" s="4"/>
    </row>
    <row r="348" spans="1:24" s="23" customFormat="1" ht="76.5" customHeight="1" outlineLevel="1" x14ac:dyDescent="0.2">
      <c r="A348" s="1" t="s">
        <v>4440</v>
      </c>
      <c r="B348" s="15" t="s">
        <v>5277</v>
      </c>
      <c r="C348" s="4" t="s">
        <v>1896</v>
      </c>
      <c r="D348" s="4" t="s">
        <v>1897</v>
      </c>
      <c r="E348" s="4" t="s">
        <v>1898</v>
      </c>
      <c r="F348" s="4"/>
      <c r="G348" s="4" t="s">
        <v>1888</v>
      </c>
      <c r="H348" s="22">
        <v>1</v>
      </c>
      <c r="I348" s="4">
        <v>710000000</v>
      </c>
      <c r="J348" s="4" t="s">
        <v>1931</v>
      </c>
      <c r="K348" s="4" t="s">
        <v>5297</v>
      </c>
      <c r="L348" s="4" t="s">
        <v>1889</v>
      </c>
      <c r="M348" s="8" t="s">
        <v>3195</v>
      </c>
      <c r="N348" s="4" t="s">
        <v>1890</v>
      </c>
      <c r="O348" s="8" t="s">
        <v>1935</v>
      </c>
      <c r="P348" s="8">
        <v>796</v>
      </c>
      <c r="Q348" s="8" t="s">
        <v>3196</v>
      </c>
      <c r="R348" s="10">
        <v>125</v>
      </c>
      <c r="S348" s="10">
        <v>3592.86</v>
      </c>
      <c r="T348" s="10">
        <v>0</v>
      </c>
      <c r="U348" s="10">
        <f t="shared" si="44"/>
        <v>0</v>
      </c>
      <c r="V348" s="11"/>
      <c r="W348" s="11">
        <v>2015</v>
      </c>
      <c r="X348" s="4">
        <v>11</v>
      </c>
    </row>
    <row r="349" spans="1:24" s="23" customFormat="1" ht="76.5" customHeight="1" outlineLevel="1" x14ac:dyDescent="0.2">
      <c r="A349" s="1" t="s">
        <v>7354</v>
      </c>
      <c r="B349" s="15" t="s">
        <v>5277</v>
      </c>
      <c r="C349" s="4" t="s">
        <v>1896</v>
      </c>
      <c r="D349" s="4" t="s">
        <v>1897</v>
      </c>
      <c r="E349" s="4" t="s">
        <v>1898</v>
      </c>
      <c r="F349" s="4"/>
      <c r="G349" s="4" t="s">
        <v>1888</v>
      </c>
      <c r="H349" s="22">
        <v>1</v>
      </c>
      <c r="I349" s="4">
        <v>710000000</v>
      </c>
      <c r="J349" s="4" t="s">
        <v>1931</v>
      </c>
      <c r="K349" s="4" t="s">
        <v>7338</v>
      </c>
      <c r="L349" s="4" t="s">
        <v>1889</v>
      </c>
      <c r="M349" s="8" t="s">
        <v>3195</v>
      </c>
      <c r="N349" s="4" t="s">
        <v>1890</v>
      </c>
      <c r="O349" s="8" t="s">
        <v>1935</v>
      </c>
      <c r="P349" s="8">
        <v>796</v>
      </c>
      <c r="Q349" s="8" t="s">
        <v>3196</v>
      </c>
      <c r="R349" s="10">
        <v>125</v>
      </c>
      <c r="S349" s="10">
        <v>3592.86</v>
      </c>
      <c r="T349" s="10">
        <f t="shared" ref="T349" si="81">S349*R349</f>
        <v>449107.5</v>
      </c>
      <c r="U349" s="10">
        <f t="shared" ref="U349" si="82">T349*1.12</f>
        <v>503000.4</v>
      </c>
      <c r="V349" s="11"/>
      <c r="W349" s="11">
        <v>2015</v>
      </c>
      <c r="X349" s="4"/>
    </row>
    <row r="350" spans="1:24" s="23" customFormat="1" ht="165.75" customHeight="1" outlineLevel="1" x14ac:dyDescent="0.2">
      <c r="A350" s="1" t="s">
        <v>4441</v>
      </c>
      <c r="B350" s="15" t="s">
        <v>5277</v>
      </c>
      <c r="C350" s="4" t="s">
        <v>2980</v>
      </c>
      <c r="D350" s="4" t="s">
        <v>5897</v>
      </c>
      <c r="E350" s="4" t="s">
        <v>5898</v>
      </c>
      <c r="F350" s="4"/>
      <c r="G350" s="4" t="s">
        <v>1888</v>
      </c>
      <c r="H350" s="22">
        <v>1</v>
      </c>
      <c r="I350" s="4">
        <v>710000000</v>
      </c>
      <c r="J350" s="4" t="s">
        <v>1931</v>
      </c>
      <c r="K350" s="4" t="s">
        <v>5297</v>
      </c>
      <c r="L350" s="4" t="s">
        <v>1889</v>
      </c>
      <c r="M350" s="8" t="s">
        <v>3195</v>
      </c>
      <c r="N350" s="4" t="s">
        <v>1890</v>
      </c>
      <c r="O350" s="8" t="s">
        <v>1935</v>
      </c>
      <c r="P350" s="4">
        <v>166</v>
      </c>
      <c r="Q350" s="4" t="s">
        <v>3324</v>
      </c>
      <c r="R350" s="10">
        <v>1172</v>
      </c>
      <c r="S350" s="10">
        <v>874.24</v>
      </c>
      <c r="T350" s="10">
        <v>0</v>
      </c>
      <c r="U350" s="10">
        <f t="shared" si="44"/>
        <v>0</v>
      </c>
      <c r="V350" s="11"/>
      <c r="W350" s="11">
        <v>2015</v>
      </c>
      <c r="X350" s="4">
        <v>11</v>
      </c>
    </row>
    <row r="351" spans="1:24" s="23" customFormat="1" ht="165.75" customHeight="1" outlineLevel="1" x14ac:dyDescent="0.2">
      <c r="A351" s="1" t="s">
        <v>7355</v>
      </c>
      <c r="B351" s="15" t="s">
        <v>5277</v>
      </c>
      <c r="C351" s="4" t="s">
        <v>2980</v>
      </c>
      <c r="D351" s="4" t="s">
        <v>5897</v>
      </c>
      <c r="E351" s="4" t="s">
        <v>5898</v>
      </c>
      <c r="F351" s="4"/>
      <c r="G351" s="4" t="s">
        <v>1888</v>
      </c>
      <c r="H351" s="22">
        <v>1</v>
      </c>
      <c r="I351" s="4">
        <v>710000000</v>
      </c>
      <c r="J351" s="4" t="s">
        <v>1931</v>
      </c>
      <c r="K351" s="4" t="s">
        <v>7338</v>
      </c>
      <c r="L351" s="4" t="s">
        <v>1889</v>
      </c>
      <c r="M351" s="8" t="s">
        <v>3195</v>
      </c>
      <c r="N351" s="4" t="s">
        <v>1890</v>
      </c>
      <c r="O351" s="8" t="s">
        <v>1935</v>
      </c>
      <c r="P351" s="4">
        <v>166</v>
      </c>
      <c r="Q351" s="4" t="s">
        <v>3324</v>
      </c>
      <c r="R351" s="10">
        <v>1172</v>
      </c>
      <c r="S351" s="10">
        <v>874.24</v>
      </c>
      <c r="T351" s="10">
        <f t="shared" ref="T351" si="83">S351*R351</f>
        <v>1024609.28</v>
      </c>
      <c r="U351" s="10">
        <f t="shared" ref="U351" si="84">T351*1.12</f>
        <v>1147562.3936000001</v>
      </c>
      <c r="V351" s="11"/>
      <c r="W351" s="11">
        <v>2015</v>
      </c>
      <c r="X351" s="4"/>
    </row>
    <row r="352" spans="1:24" s="23" customFormat="1" ht="76.5" customHeight="1" outlineLevel="1" x14ac:dyDescent="0.2">
      <c r="A352" s="1" t="s">
        <v>4442</v>
      </c>
      <c r="B352" s="15" t="s">
        <v>5277</v>
      </c>
      <c r="C352" s="4" t="s">
        <v>2978</v>
      </c>
      <c r="D352" s="4" t="s">
        <v>6446</v>
      </c>
      <c r="E352" s="4" t="s">
        <v>5895</v>
      </c>
      <c r="F352" s="4"/>
      <c r="G352" s="4" t="s">
        <v>1888</v>
      </c>
      <c r="H352" s="22">
        <v>0</v>
      </c>
      <c r="I352" s="4">
        <v>710000000</v>
      </c>
      <c r="J352" s="4" t="s">
        <v>1931</v>
      </c>
      <c r="K352" s="4" t="s">
        <v>5297</v>
      </c>
      <c r="L352" s="4" t="s">
        <v>1889</v>
      </c>
      <c r="M352" s="8" t="s">
        <v>3195</v>
      </c>
      <c r="N352" s="4" t="s">
        <v>1890</v>
      </c>
      <c r="O352" s="8" t="s">
        <v>1935</v>
      </c>
      <c r="P352" s="4">
        <v>166</v>
      </c>
      <c r="Q352" s="4" t="s">
        <v>3324</v>
      </c>
      <c r="R352" s="10">
        <v>161</v>
      </c>
      <c r="S352" s="10">
        <v>1090.54</v>
      </c>
      <c r="T352" s="10">
        <v>0</v>
      </c>
      <c r="U352" s="10">
        <f t="shared" si="44"/>
        <v>0</v>
      </c>
      <c r="V352" s="11"/>
      <c r="W352" s="11">
        <v>2015</v>
      </c>
      <c r="X352" s="4">
        <v>11</v>
      </c>
    </row>
    <row r="353" spans="1:24" s="23" customFormat="1" ht="76.5" customHeight="1" outlineLevel="1" x14ac:dyDescent="0.2">
      <c r="A353" s="1" t="s">
        <v>7356</v>
      </c>
      <c r="B353" s="15" t="s">
        <v>5277</v>
      </c>
      <c r="C353" s="4" t="s">
        <v>2978</v>
      </c>
      <c r="D353" s="4" t="s">
        <v>6446</v>
      </c>
      <c r="E353" s="4" t="s">
        <v>5895</v>
      </c>
      <c r="F353" s="4"/>
      <c r="G353" s="4" t="s">
        <v>1888</v>
      </c>
      <c r="H353" s="22">
        <v>0</v>
      </c>
      <c r="I353" s="4">
        <v>710000000</v>
      </c>
      <c r="J353" s="4" t="s">
        <v>1931</v>
      </c>
      <c r="K353" s="4" t="s">
        <v>7338</v>
      </c>
      <c r="L353" s="4" t="s">
        <v>1889</v>
      </c>
      <c r="M353" s="8" t="s">
        <v>3195</v>
      </c>
      <c r="N353" s="4" t="s">
        <v>1890</v>
      </c>
      <c r="O353" s="8" t="s">
        <v>1935</v>
      </c>
      <c r="P353" s="4">
        <v>166</v>
      </c>
      <c r="Q353" s="4" t="s">
        <v>3324</v>
      </c>
      <c r="R353" s="10">
        <v>161</v>
      </c>
      <c r="S353" s="10">
        <v>1090.54</v>
      </c>
      <c r="T353" s="10">
        <f t="shared" ref="T353" si="85">S353*R353</f>
        <v>175576.94</v>
      </c>
      <c r="U353" s="10">
        <f t="shared" ref="U353" si="86">T353*1.12</f>
        <v>196646.17280000003</v>
      </c>
      <c r="V353" s="11"/>
      <c r="W353" s="11">
        <v>2015</v>
      </c>
      <c r="X353" s="4"/>
    </row>
    <row r="354" spans="1:24" s="23" customFormat="1" ht="76.5" customHeight="1" outlineLevel="1" x14ac:dyDescent="0.2">
      <c r="A354" s="1" t="s">
        <v>4443</v>
      </c>
      <c r="B354" s="15" t="s">
        <v>5277</v>
      </c>
      <c r="C354" s="4" t="s">
        <v>2979</v>
      </c>
      <c r="D354" s="4" t="s">
        <v>6446</v>
      </c>
      <c r="E354" s="4" t="s">
        <v>5896</v>
      </c>
      <c r="F354" s="4"/>
      <c r="G354" s="4" t="s">
        <v>1888</v>
      </c>
      <c r="H354" s="22">
        <v>0</v>
      </c>
      <c r="I354" s="4">
        <v>710000000</v>
      </c>
      <c r="J354" s="4" t="s">
        <v>1931</v>
      </c>
      <c r="K354" s="4" t="s">
        <v>5297</v>
      </c>
      <c r="L354" s="4" t="s">
        <v>1889</v>
      </c>
      <c r="M354" s="8" t="s">
        <v>3195</v>
      </c>
      <c r="N354" s="4" t="s">
        <v>1890</v>
      </c>
      <c r="O354" s="8" t="s">
        <v>1935</v>
      </c>
      <c r="P354" s="4">
        <v>166</v>
      </c>
      <c r="Q354" s="4" t="s">
        <v>3324</v>
      </c>
      <c r="R354" s="10">
        <v>160</v>
      </c>
      <c r="S354" s="10">
        <v>1090.54</v>
      </c>
      <c r="T354" s="10">
        <v>0</v>
      </c>
      <c r="U354" s="10">
        <f t="shared" si="44"/>
        <v>0</v>
      </c>
      <c r="V354" s="11"/>
      <c r="W354" s="11">
        <v>2015</v>
      </c>
      <c r="X354" s="4">
        <v>11</v>
      </c>
    </row>
    <row r="355" spans="1:24" s="23" customFormat="1" ht="76.5" customHeight="1" outlineLevel="1" x14ac:dyDescent="0.2">
      <c r="A355" s="1" t="s">
        <v>7357</v>
      </c>
      <c r="B355" s="15" t="s">
        <v>5277</v>
      </c>
      <c r="C355" s="4" t="s">
        <v>2979</v>
      </c>
      <c r="D355" s="4" t="s">
        <v>6446</v>
      </c>
      <c r="E355" s="4" t="s">
        <v>5896</v>
      </c>
      <c r="F355" s="4"/>
      <c r="G355" s="4" t="s">
        <v>1888</v>
      </c>
      <c r="H355" s="22">
        <v>0</v>
      </c>
      <c r="I355" s="4">
        <v>710000000</v>
      </c>
      <c r="J355" s="4" t="s">
        <v>1931</v>
      </c>
      <c r="K355" s="4" t="s">
        <v>7338</v>
      </c>
      <c r="L355" s="4" t="s">
        <v>1889</v>
      </c>
      <c r="M355" s="8" t="s">
        <v>3195</v>
      </c>
      <c r="N355" s="4" t="s">
        <v>1890</v>
      </c>
      <c r="O355" s="8" t="s">
        <v>1935</v>
      </c>
      <c r="P355" s="4">
        <v>166</v>
      </c>
      <c r="Q355" s="4" t="s">
        <v>3324</v>
      </c>
      <c r="R355" s="10">
        <v>160</v>
      </c>
      <c r="S355" s="10">
        <v>1090.54</v>
      </c>
      <c r="T355" s="10">
        <f t="shared" ref="T355" si="87">S355*R355</f>
        <v>174486.39999999999</v>
      </c>
      <c r="U355" s="10">
        <f t="shared" ref="U355" si="88">T355*1.12</f>
        <v>195424.76800000001</v>
      </c>
      <c r="V355" s="11"/>
      <c r="W355" s="11">
        <v>2015</v>
      </c>
      <c r="X355" s="4"/>
    </row>
    <row r="356" spans="1:24" s="23" customFormat="1" ht="76.5" customHeight="1" outlineLevel="1" x14ac:dyDescent="0.2">
      <c r="A356" s="1" t="s">
        <v>4444</v>
      </c>
      <c r="B356" s="15" t="s">
        <v>5277</v>
      </c>
      <c r="C356" s="4" t="s">
        <v>1899</v>
      </c>
      <c r="D356" s="4" t="s">
        <v>1809</v>
      </c>
      <c r="E356" s="4" t="s">
        <v>7556</v>
      </c>
      <c r="F356" s="4" t="s">
        <v>1810</v>
      </c>
      <c r="G356" s="4" t="s">
        <v>1888</v>
      </c>
      <c r="H356" s="22">
        <v>1</v>
      </c>
      <c r="I356" s="4">
        <v>710000000</v>
      </c>
      <c r="J356" s="4" t="s">
        <v>1931</v>
      </c>
      <c r="K356" s="4" t="s">
        <v>5297</v>
      </c>
      <c r="L356" s="4" t="s">
        <v>1889</v>
      </c>
      <c r="M356" s="8" t="s">
        <v>3195</v>
      </c>
      <c r="N356" s="4" t="s">
        <v>1890</v>
      </c>
      <c r="O356" s="8" t="s">
        <v>1935</v>
      </c>
      <c r="P356" s="8">
        <v>796</v>
      </c>
      <c r="Q356" s="8" t="s">
        <v>3196</v>
      </c>
      <c r="R356" s="10">
        <v>10410</v>
      </c>
      <c r="S356" s="10">
        <v>71.430000000000007</v>
      </c>
      <c r="T356" s="10">
        <v>0</v>
      </c>
      <c r="U356" s="10">
        <f t="shared" si="44"/>
        <v>0</v>
      </c>
      <c r="V356" s="11"/>
      <c r="W356" s="11">
        <v>2015</v>
      </c>
      <c r="X356" s="4">
        <v>11</v>
      </c>
    </row>
    <row r="357" spans="1:24" s="23" customFormat="1" ht="76.5" customHeight="1" outlineLevel="1" x14ac:dyDescent="0.2">
      <c r="A357" s="1" t="s">
        <v>7358</v>
      </c>
      <c r="B357" s="15" t="s">
        <v>5277</v>
      </c>
      <c r="C357" s="4" t="s">
        <v>1899</v>
      </c>
      <c r="D357" s="4" t="s">
        <v>1809</v>
      </c>
      <c r="E357" s="4" t="s">
        <v>7556</v>
      </c>
      <c r="F357" s="4" t="s">
        <v>1810</v>
      </c>
      <c r="G357" s="4" t="s">
        <v>1888</v>
      </c>
      <c r="H357" s="22">
        <v>1</v>
      </c>
      <c r="I357" s="4">
        <v>710000000</v>
      </c>
      <c r="J357" s="4" t="s">
        <v>1931</v>
      </c>
      <c r="K357" s="4" t="s">
        <v>7338</v>
      </c>
      <c r="L357" s="4" t="s">
        <v>1889</v>
      </c>
      <c r="M357" s="8" t="s">
        <v>3195</v>
      </c>
      <c r="N357" s="4" t="s">
        <v>1890</v>
      </c>
      <c r="O357" s="8" t="s">
        <v>1935</v>
      </c>
      <c r="P357" s="8">
        <v>796</v>
      </c>
      <c r="Q357" s="8" t="s">
        <v>3196</v>
      </c>
      <c r="R357" s="10">
        <v>10410</v>
      </c>
      <c r="S357" s="10">
        <v>71.430000000000007</v>
      </c>
      <c r="T357" s="10">
        <f t="shared" ref="T357" si="89">S357*R357</f>
        <v>743586.3</v>
      </c>
      <c r="U357" s="10">
        <f t="shared" ref="U357" si="90">T357*1.12</f>
        <v>832816.65600000008</v>
      </c>
      <c r="V357" s="11"/>
      <c r="W357" s="11">
        <v>2015</v>
      </c>
      <c r="X357" s="4"/>
    </row>
    <row r="358" spans="1:24" s="23" customFormat="1" ht="76.5" customHeight="1" outlineLevel="1" x14ac:dyDescent="0.2">
      <c r="A358" s="1" t="s">
        <v>4445</v>
      </c>
      <c r="B358" s="15" t="s">
        <v>5277</v>
      </c>
      <c r="C358" s="4" t="s">
        <v>6447</v>
      </c>
      <c r="D358" s="4" t="s">
        <v>6448</v>
      </c>
      <c r="E358" s="4" t="s">
        <v>5821</v>
      </c>
      <c r="F358" s="4" t="s">
        <v>3207</v>
      </c>
      <c r="G358" s="4" t="s">
        <v>1888</v>
      </c>
      <c r="H358" s="22">
        <v>0</v>
      </c>
      <c r="I358" s="4">
        <v>710000000</v>
      </c>
      <c r="J358" s="4" t="s">
        <v>1931</v>
      </c>
      <c r="K358" s="4" t="s">
        <v>5297</v>
      </c>
      <c r="L358" s="4" t="s">
        <v>1889</v>
      </c>
      <c r="M358" s="8" t="s">
        <v>3195</v>
      </c>
      <c r="N358" s="4" t="s">
        <v>1890</v>
      </c>
      <c r="O358" s="8" t="s">
        <v>1935</v>
      </c>
      <c r="P358" s="8">
        <v>881</v>
      </c>
      <c r="Q358" s="8" t="s">
        <v>2746</v>
      </c>
      <c r="R358" s="10">
        <v>2</v>
      </c>
      <c r="S358" s="10">
        <v>11571.5</v>
      </c>
      <c r="T358" s="10">
        <v>0</v>
      </c>
      <c r="U358" s="10">
        <f t="shared" si="44"/>
        <v>0</v>
      </c>
      <c r="V358" s="11"/>
      <c r="W358" s="11">
        <v>2015</v>
      </c>
      <c r="X358" s="4">
        <v>11</v>
      </c>
    </row>
    <row r="359" spans="1:24" s="23" customFormat="1" ht="76.5" customHeight="1" outlineLevel="1" x14ac:dyDescent="0.2">
      <c r="A359" s="1" t="s">
        <v>7359</v>
      </c>
      <c r="B359" s="15" t="s">
        <v>5277</v>
      </c>
      <c r="C359" s="4" t="s">
        <v>6447</v>
      </c>
      <c r="D359" s="4" t="s">
        <v>6448</v>
      </c>
      <c r="E359" s="4" t="s">
        <v>5821</v>
      </c>
      <c r="F359" s="4" t="s">
        <v>3207</v>
      </c>
      <c r="G359" s="4" t="s">
        <v>1888</v>
      </c>
      <c r="H359" s="22">
        <v>0</v>
      </c>
      <c r="I359" s="4">
        <v>710000000</v>
      </c>
      <c r="J359" s="4" t="s">
        <v>1931</v>
      </c>
      <c r="K359" s="4" t="s">
        <v>7338</v>
      </c>
      <c r="L359" s="4" t="s">
        <v>1889</v>
      </c>
      <c r="M359" s="8" t="s">
        <v>3195</v>
      </c>
      <c r="N359" s="4" t="s">
        <v>1890</v>
      </c>
      <c r="O359" s="8" t="s">
        <v>1935</v>
      </c>
      <c r="P359" s="8">
        <v>881</v>
      </c>
      <c r="Q359" s="8" t="s">
        <v>2746</v>
      </c>
      <c r="R359" s="10">
        <v>2</v>
      </c>
      <c r="S359" s="10">
        <v>11571.5</v>
      </c>
      <c r="T359" s="10">
        <f t="shared" ref="T359" si="91">S359*R359</f>
        <v>23143</v>
      </c>
      <c r="U359" s="10">
        <f t="shared" ref="U359" si="92">T359*1.12</f>
        <v>25920.160000000003</v>
      </c>
      <c r="V359" s="11"/>
      <c r="W359" s="11">
        <v>2015</v>
      </c>
      <c r="X359" s="4"/>
    </row>
    <row r="360" spans="1:24" s="23" customFormat="1" ht="76.5" customHeight="1" outlineLevel="1" x14ac:dyDescent="0.2">
      <c r="A360" s="1" t="s">
        <v>4446</v>
      </c>
      <c r="B360" s="15" t="s">
        <v>5277</v>
      </c>
      <c r="C360" s="4" t="s">
        <v>3248</v>
      </c>
      <c r="D360" s="4" t="s">
        <v>5899</v>
      </c>
      <c r="E360" s="4" t="s">
        <v>5900</v>
      </c>
      <c r="F360" s="4"/>
      <c r="G360" s="4" t="s">
        <v>1888</v>
      </c>
      <c r="H360" s="22">
        <v>1</v>
      </c>
      <c r="I360" s="4">
        <v>710000000</v>
      </c>
      <c r="J360" s="4" t="s">
        <v>1931</v>
      </c>
      <c r="K360" s="4" t="s">
        <v>5297</v>
      </c>
      <c r="L360" s="4" t="s">
        <v>1889</v>
      </c>
      <c r="M360" s="8" t="s">
        <v>3195</v>
      </c>
      <c r="N360" s="4" t="s">
        <v>1890</v>
      </c>
      <c r="O360" s="8" t="s">
        <v>1935</v>
      </c>
      <c r="P360" s="4">
        <v>166</v>
      </c>
      <c r="Q360" s="4" t="s">
        <v>3324</v>
      </c>
      <c r="R360" s="10">
        <v>5007</v>
      </c>
      <c r="S360" s="10">
        <v>80.819999999999993</v>
      </c>
      <c r="T360" s="10">
        <v>0</v>
      </c>
      <c r="U360" s="10">
        <f t="shared" si="44"/>
        <v>0</v>
      </c>
      <c r="V360" s="11"/>
      <c r="W360" s="11">
        <v>2015</v>
      </c>
      <c r="X360" s="4">
        <v>11</v>
      </c>
    </row>
    <row r="361" spans="1:24" s="23" customFormat="1" ht="76.5" customHeight="1" outlineLevel="1" x14ac:dyDescent="0.2">
      <c r="A361" s="1" t="s">
        <v>7360</v>
      </c>
      <c r="B361" s="15" t="s">
        <v>5277</v>
      </c>
      <c r="C361" s="4" t="s">
        <v>3248</v>
      </c>
      <c r="D361" s="4" t="s">
        <v>5899</v>
      </c>
      <c r="E361" s="4" t="s">
        <v>5900</v>
      </c>
      <c r="F361" s="4"/>
      <c r="G361" s="4" t="s">
        <v>1888</v>
      </c>
      <c r="H361" s="22">
        <v>1</v>
      </c>
      <c r="I361" s="4">
        <v>710000000</v>
      </c>
      <c r="J361" s="4" t="s">
        <v>1931</v>
      </c>
      <c r="K361" s="4" t="s">
        <v>7338</v>
      </c>
      <c r="L361" s="4" t="s">
        <v>1889</v>
      </c>
      <c r="M361" s="8" t="s">
        <v>3195</v>
      </c>
      <c r="N361" s="4" t="s">
        <v>1890</v>
      </c>
      <c r="O361" s="8" t="s">
        <v>1935</v>
      </c>
      <c r="P361" s="4">
        <v>166</v>
      </c>
      <c r="Q361" s="4" t="s">
        <v>3324</v>
      </c>
      <c r="R361" s="10">
        <v>5007</v>
      </c>
      <c r="S361" s="10">
        <v>80.819999999999993</v>
      </c>
      <c r="T361" s="10">
        <v>0</v>
      </c>
      <c r="U361" s="10">
        <f t="shared" ref="U361" si="93">T361*1.12</f>
        <v>0</v>
      </c>
      <c r="V361" s="11"/>
      <c r="W361" s="11">
        <v>2015</v>
      </c>
      <c r="X361" s="4">
        <v>11.22</v>
      </c>
    </row>
    <row r="362" spans="1:24" s="23" customFormat="1" ht="76.5" customHeight="1" outlineLevel="1" x14ac:dyDescent="0.2">
      <c r="A362" s="1" t="s">
        <v>8427</v>
      </c>
      <c r="B362" s="15" t="s">
        <v>5277</v>
      </c>
      <c r="C362" s="4" t="s">
        <v>3248</v>
      </c>
      <c r="D362" s="4" t="s">
        <v>5899</v>
      </c>
      <c r="E362" s="4" t="s">
        <v>5900</v>
      </c>
      <c r="F362" s="4"/>
      <c r="G362" s="4" t="s">
        <v>1888</v>
      </c>
      <c r="H362" s="22">
        <v>1</v>
      </c>
      <c r="I362" s="4">
        <v>710000000</v>
      </c>
      <c r="J362" s="4" t="s">
        <v>1931</v>
      </c>
      <c r="K362" s="4" t="s">
        <v>8400</v>
      </c>
      <c r="L362" s="4" t="s">
        <v>1889</v>
      </c>
      <c r="M362" s="8" t="s">
        <v>3195</v>
      </c>
      <c r="N362" s="4" t="s">
        <v>1890</v>
      </c>
      <c r="O362" s="8" t="s">
        <v>1935</v>
      </c>
      <c r="P362" s="4">
        <v>166</v>
      </c>
      <c r="Q362" s="4" t="s">
        <v>3324</v>
      </c>
      <c r="R362" s="10">
        <v>5007</v>
      </c>
      <c r="S362" s="10">
        <v>80.819999999999993</v>
      </c>
      <c r="T362" s="10">
        <f t="shared" ref="T362" si="94">S362*R362</f>
        <v>404665.74</v>
      </c>
      <c r="U362" s="10">
        <f t="shared" ref="U362" si="95">T362*1.12</f>
        <v>453225.62880000001</v>
      </c>
      <c r="V362" s="11"/>
      <c r="W362" s="11">
        <v>2015</v>
      </c>
      <c r="X362" s="4"/>
    </row>
    <row r="363" spans="1:24" s="23" customFormat="1" ht="76.5" customHeight="1" outlineLevel="1" x14ac:dyDescent="0.2">
      <c r="A363" s="1" t="s">
        <v>4447</v>
      </c>
      <c r="B363" s="15" t="s">
        <v>5277</v>
      </c>
      <c r="C363" s="4" t="s">
        <v>1900</v>
      </c>
      <c r="D363" s="4" t="s">
        <v>1901</v>
      </c>
      <c r="E363" s="4" t="s">
        <v>6450</v>
      </c>
      <c r="F363" s="4"/>
      <c r="G363" s="4" t="s">
        <v>1888</v>
      </c>
      <c r="H363" s="22">
        <v>1</v>
      </c>
      <c r="I363" s="4">
        <v>710000000</v>
      </c>
      <c r="J363" s="4" t="s">
        <v>1931</v>
      </c>
      <c r="K363" s="4" t="s">
        <v>5297</v>
      </c>
      <c r="L363" s="4" t="s">
        <v>1889</v>
      </c>
      <c r="M363" s="8" t="s">
        <v>3195</v>
      </c>
      <c r="N363" s="4" t="s">
        <v>1890</v>
      </c>
      <c r="O363" s="8" t="s">
        <v>1935</v>
      </c>
      <c r="P363" s="4">
        <v>166</v>
      </c>
      <c r="Q363" s="4" t="s">
        <v>3324</v>
      </c>
      <c r="R363" s="10">
        <v>16695</v>
      </c>
      <c r="S363" s="10">
        <v>77.459999999999994</v>
      </c>
      <c r="T363" s="10">
        <v>0</v>
      </c>
      <c r="U363" s="10">
        <f t="shared" si="44"/>
        <v>0</v>
      </c>
      <c r="V363" s="11"/>
      <c r="W363" s="11">
        <v>2015</v>
      </c>
      <c r="X363" s="4">
        <v>11</v>
      </c>
    </row>
    <row r="364" spans="1:24" s="23" customFormat="1" ht="76.5" customHeight="1" outlineLevel="1" x14ac:dyDescent="0.2">
      <c r="A364" s="1" t="s">
        <v>7361</v>
      </c>
      <c r="B364" s="15" t="s">
        <v>5277</v>
      </c>
      <c r="C364" s="4" t="s">
        <v>1900</v>
      </c>
      <c r="D364" s="4" t="s">
        <v>1901</v>
      </c>
      <c r="E364" s="4" t="s">
        <v>6450</v>
      </c>
      <c r="F364" s="4"/>
      <c r="G364" s="4" t="s">
        <v>1888</v>
      </c>
      <c r="H364" s="22">
        <v>1</v>
      </c>
      <c r="I364" s="4">
        <v>710000000</v>
      </c>
      <c r="J364" s="4" t="s">
        <v>1931</v>
      </c>
      <c r="K364" s="4" t="s">
        <v>7338</v>
      </c>
      <c r="L364" s="4" t="s">
        <v>1889</v>
      </c>
      <c r="M364" s="8" t="s">
        <v>3195</v>
      </c>
      <c r="N364" s="4" t="s">
        <v>1890</v>
      </c>
      <c r="O364" s="8" t="s">
        <v>1935</v>
      </c>
      <c r="P364" s="4">
        <v>166</v>
      </c>
      <c r="Q364" s="4" t="s">
        <v>3324</v>
      </c>
      <c r="R364" s="10">
        <v>16695</v>
      </c>
      <c r="S364" s="10">
        <v>77.459999999999994</v>
      </c>
      <c r="T364" s="10">
        <v>0</v>
      </c>
      <c r="U364" s="10">
        <f t="shared" ref="U364" si="96">T364*1.12</f>
        <v>0</v>
      </c>
      <c r="V364" s="11"/>
      <c r="W364" s="11">
        <v>2015</v>
      </c>
      <c r="X364" s="4">
        <v>11.22</v>
      </c>
    </row>
    <row r="365" spans="1:24" s="23" customFormat="1" ht="76.5" customHeight="1" outlineLevel="1" x14ac:dyDescent="0.2">
      <c r="A365" s="1" t="s">
        <v>8428</v>
      </c>
      <c r="B365" s="15" t="s">
        <v>5277</v>
      </c>
      <c r="C365" s="4" t="s">
        <v>1900</v>
      </c>
      <c r="D365" s="4" t="s">
        <v>1901</v>
      </c>
      <c r="E365" s="4" t="s">
        <v>6450</v>
      </c>
      <c r="F365" s="4"/>
      <c r="G365" s="4" t="s">
        <v>1888</v>
      </c>
      <c r="H365" s="22">
        <v>1</v>
      </c>
      <c r="I365" s="4">
        <v>710000000</v>
      </c>
      <c r="J365" s="4" t="s">
        <v>1931</v>
      </c>
      <c r="K365" s="4" t="s">
        <v>8400</v>
      </c>
      <c r="L365" s="4" t="s">
        <v>1889</v>
      </c>
      <c r="M365" s="8" t="s">
        <v>3195</v>
      </c>
      <c r="N365" s="4" t="s">
        <v>1890</v>
      </c>
      <c r="O365" s="8" t="s">
        <v>1935</v>
      </c>
      <c r="P365" s="4">
        <v>166</v>
      </c>
      <c r="Q365" s="4" t="s">
        <v>3324</v>
      </c>
      <c r="R365" s="10">
        <v>16695</v>
      </c>
      <c r="S365" s="10">
        <v>77.459999999999994</v>
      </c>
      <c r="T365" s="10">
        <f t="shared" ref="T365" si="97">S365*R365</f>
        <v>1293194.7</v>
      </c>
      <c r="U365" s="10">
        <f t="shared" ref="U365" si="98">T365*1.12</f>
        <v>1448378.064</v>
      </c>
      <c r="V365" s="11"/>
      <c r="W365" s="11">
        <v>2015</v>
      </c>
      <c r="X365" s="4"/>
    </row>
    <row r="366" spans="1:24" s="23" customFormat="1" ht="175.5" customHeight="1" outlineLevel="1" x14ac:dyDescent="0.2">
      <c r="A366" s="1" t="s">
        <v>4448</v>
      </c>
      <c r="B366" s="15" t="s">
        <v>5277</v>
      </c>
      <c r="C366" s="4" t="s">
        <v>1902</v>
      </c>
      <c r="D366" s="4" t="s">
        <v>5813</v>
      </c>
      <c r="E366" s="4" t="s">
        <v>6449</v>
      </c>
      <c r="F366" s="4" t="s">
        <v>3201</v>
      </c>
      <c r="G366" s="4" t="s">
        <v>1888</v>
      </c>
      <c r="H366" s="22">
        <v>1</v>
      </c>
      <c r="I366" s="4">
        <v>710000000</v>
      </c>
      <c r="J366" s="4" t="s">
        <v>1931</v>
      </c>
      <c r="K366" s="4" t="s">
        <v>5297</v>
      </c>
      <c r="L366" s="4" t="s">
        <v>1889</v>
      </c>
      <c r="M366" s="8" t="s">
        <v>3195</v>
      </c>
      <c r="N366" s="4" t="s">
        <v>1890</v>
      </c>
      <c r="O366" s="8" t="s">
        <v>1935</v>
      </c>
      <c r="P366" s="4">
        <v>112</v>
      </c>
      <c r="Q366" s="4" t="s">
        <v>3026</v>
      </c>
      <c r="R366" s="10">
        <v>60</v>
      </c>
      <c r="S366" s="10">
        <v>169.65</v>
      </c>
      <c r="T366" s="10">
        <v>0</v>
      </c>
      <c r="U366" s="10">
        <f t="shared" si="44"/>
        <v>0</v>
      </c>
      <c r="V366" s="11"/>
      <c r="W366" s="11">
        <v>2015</v>
      </c>
      <c r="X366" s="4">
        <v>11</v>
      </c>
    </row>
    <row r="367" spans="1:24" s="23" customFormat="1" ht="175.5" customHeight="1" outlineLevel="1" x14ac:dyDescent="0.2">
      <c r="A367" s="1" t="s">
        <v>7362</v>
      </c>
      <c r="B367" s="15" t="s">
        <v>5277</v>
      </c>
      <c r="C367" s="4" t="s">
        <v>1902</v>
      </c>
      <c r="D367" s="4" t="s">
        <v>5813</v>
      </c>
      <c r="E367" s="4" t="s">
        <v>6449</v>
      </c>
      <c r="F367" s="4" t="s">
        <v>3201</v>
      </c>
      <c r="G367" s="4" t="s">
        <v>1888</v>
      </c>
      <c r="H367" s="22">
        <v>1</v>
      </c>
      <c r="I367" s="4">
        <v>710000000</v>
      </c>
      <c r="J367" s="4" t="s">
        <v>1931</v>
      </c>
      <c r="K367" s="4" t="s">
        <v>7338</v>
      </c>
      <c r="L367" s="4" t="s">
        <v>1889</v>
      </c>
      <c r="M367" s="8" t="s">
        <v>3195</v>
      </c>
      <c r="N367" s="4" t="s">
        <v>1890</v>
      </c>
      <c r="O367" s="8" t="s">
        <v>1935</v>
      </c>
      <c r="P367" s="4">
        <v>112</v>
      </c>
      <c r="Q367" s="4" t="s">
        <v>3026</v>
      </c>
      <c r="R367" s="10">
        <v>60</v>
      </c>
      <c r="S367" s="10">
        <v>169.65</v>
      </c>
      <c r="T367" s="10">
        <v>0</v>
      </c>
      <c r="U367" s="10">
        <f t="shared" ref="U367" si="99">T367*1.12</f>
        <v>0</v>
      </c>
      <c r="V367" s="11"/>
      <c r="W367" s="11">
        <v>2015</v>
      </c>
      <c r="X367" s="4">
        <v>11.22</v>
      </c>
    </row>
    <row r="368" spans="1:24" s="23" customFormat="1" ht="175.5" customHeight="1" outlineLevel="1" x14ac:dyDescent="0.2">
      <c r="A368" s="1" t="s">
        <v>8429</v>
      </c>
      <c r="B368" s="15" t="s">
        <v>5277</v>
      </c>
      <c r="C368" s="4" t="s">
        <v>1902</v>
      </c>
      <c r="D368" s="4" t="s">
        <v>5813</v>
      </c>
      <c r="E368" s="4" t="s">
        <v>6449</v>
      </c>
      <c r="F368" s="4" t="s">
        <v>3201</v>
      </c>
      <c r="G368" s="4" t="s">
        <v>1888</v>
      </c>
      <c r="H368" s="22">
        <v>1</v>
      </c>
      <c r="I368" s="4">
        <v>710000000</v>
      </c>
      <c r="J368" s="4" t="s">
        <v>1931</v>
      </c>
      <c r="K368" s="4" t="s">
        <v>8400</v>
      </c>
      <c r="L368" s="4" t="s">
        <v>1889</v>
      </c>
      <c r="M368" s="8" t="s">
        <v>3195</v>
      </c>
      <c r="N368" s="4" t="s">
        <v>1890</v>
      </c>
      <c r="O368" s="8" t="s">
        <v>1935</v>
      </c>
      <c r="P368" s="4">
        <v>112</v>
      </c>
      <c r="Q368" s="4" t="s">
        <v>3026</v>
      </c>
      <c r="R368" s="10">
        <v>60</v>
      </c>
      <c r="S368" s="10">
        <v>169.65</v>
      </c>
      <c r="T368" s="10">
        <f t="shared" ref="T368" si="100">S368*R368</f>
        <v>10179</v>
      </c>
      <c r="U368" s="10">
        <f t="shared" ref="U368" si="101">T368*1.12</f>
        <v>11400.480000000001</v>
      </c>
      <c r="V368" s="11"/>
      <c r="W368" s="11">
        <v>2015</v>
      </c>
      <c r="X368" s="4"/>
    </row>
    <row r="369" spans="1:24" s="23" customFormat="1" ht="76.5" customHeight="1" outlineLevel="1" x14ac:dyDescent="0.2">
      <c r="A369" s="1" t="s">
        <v>4449</v>
      </c>
      <c r="B369" s="15" t="s">
        <v>5277</v>
      </c>
      <c r="C369" s="4" t="s">
        <v>3886</v>
      </c>
      <c r="D369" s="4" t="s">
        <v>3887</v>
      </c>
      <c r="E369" s="4" t="s">
        <v>3888</v>
      </c>
      <c r="F369" s="4"/>
      <c r="G369" s="4" t="s">
        <v>1888</v>
      </c>
      <c r="H369" s="22">
        <v>0</v>
      </c>
      <c r="I369" s="4">
        <v>710000000</v>
      </c>
      <c r="J369" s="4" t="s">
        <v>1931</v>
      </c>
      <c r="K369" s="4" t="s">
        <v>5297</v>
      </c>
      <c r="L369" s="4" t="s">
        <v>1889</v>
      </c>
      <c r="M369" s="8" t="s">
        <v>3195</v>
      </c>
      <c r="N369" s="4" t="s">
        <v>1890</v>
      </c>
      <c r="O369" s="8" t="s">
        <v>1935</v>
      </c>
      <c r="P369" s="4">
        <v>166</v>
      </c>
      <c r="Q369" s="4" t="s">
        <v>3324</v>
      </c>
      <c r="R369" s="10">
        <v>102</v>
      </c>
      <c r="S369" s="10">
        <v>161.41</v>
      </c>
      <c r="T369" s="10">
        <v>0</v>
      </c>
      <c r="U369" s="10">
        <f t="shared" si="44"/>
        <v>0</v>
      </c>
      <c r="V369" s="11"/>
      <c r="W369" s="11">
        <v>2015</v>
      </c>
      <c r="X369" s="4">
        <v>11</v>
      </c>
    </row>
    <row r="370" spans="1:24" s="23" customFormat="1" ht="76.5" customHeight="1" outlineLevel="1" x14ac:dyDescent="0.2">
      <c r="A370" s="1" t="s">
        <v>7363</v>
      </c>
      <c r="B370" s="15" t="s">
        <v>5277</v>
      </c>
      <c r="C370" s="4" t="s">
        <v>3886</v>
      </c>
      <c r="D370" s="4" t="s">
        <v>3887</v>
      </c>
      <c r="E370" s="4" t="s">
        <v>3888</v>
      </c>
      <c r="F370" s="4"/>
      <c r="G370" s="4" t="s">
        <v>1888</v>
      </c>
      <c r="H370" s="22">
        <v>0</v>
      </c>
      <c r="I370" s="4">
        <v>710000000</v>
      </c>
      <c r="J370" s="4" t="s">
        <v>1931</v>
      </c>
      <c r="K370" s="4" t="s">
        <v>7338</v>
      </c>
      <c r="L370" s="4" t="s">
        <v>1889</v>
      </c>
      <c r="M370" s="8" t="s">
        <v>3195</v>
      </c>
      <c r="N370" s="4" t="s">
        <v>1890</v>
      </c>
      <c r="O370" s="8" t="s">
        <v>1935</v>
      </c>
      <c r="P370" s="4">
        <v>166</v>
      </c>
      <c r="Q370" s="4" t="s">
        <v>3324</v>
      </c>
      <c r="R370" s="10">
        <v>102</v>
      </c>
      <c r="S370" s="10">
        <v>161.41</v>
      </c>
      <c r="T370" s="10">
        <f t="shared" ref="T370" si="102">S370*R370</f>
        <v>16463.82</v>
      </c>
      <c r="U370" s="10">
        <f t="shared" ref="U370" si="103">T370*1.12</f>
        <v>18439.4784</v>
      </c>
      <c r="V370" s="11"/>
      <c r="W370" s="11">
        <v>2015</v>
      </c>
      <c r="X370" s="4"/>
    </row>
    <row r="371" spans="1:24" s="23" customFormat="1" ht="76.5" customHeight="1" outlineLevel="1" x14ac:dyDescent="0.2">
      <c r="A371" s="1" t="s">
        <v>4450</v>
      </c>
      <c r="B371" s="15" t="s">
        <v>5277</v>
      </c>
      <c r="C371" s="4" t="s">
        <v>3238</v>
      </c>
      <c r="D371" s="4" t="s">
        <v>3239</v>
      </c>
      <c r="E371" s="4" t="s">
        <v>5873</v>
      </c>
      <c r="F371" s="4"/>
      <c r="G371" s="4" t="s">
        <v>1888</v>
      </c>
      <c r="H371" s="22">
        <v>0</v>
      </c>
      <c r="I371" s="4">
        <v>710000000</v>
      </c>
      <c r="J371" s="4" t="s">
        <v>1931</v>
      </c>
      <c r="K371" s="4" t="s">
        <v>5297</v>
      </c>
      <c r="L371" s="4" t="s">
        <v>1889</v>
      </c>
      <c r="M371" s="8" t="s">
        <v>3195</v>
      </c>
      <c r="N371" s="4" t="s">
        <v>1890</v>
      </c>
      <c r="O371" s="8" t="s">
        <v>1935</v>
      </c>
      <c r="P371" s="4">
        <v>166</v>
      </c>
      <c r="Q371" s="4" t="s">
        <v>3324</v>
      </c>
      <c r="R371" s="10">
        <v>300</v>
      </c>
      <c r="S371" s="10">
        <v>44.64</v>
      </c>
      <c r="T371" s="10">
        <v>0</v>
      </c>
      <c r="U371" s="10">
        <f t="shared" si="44"/>
        <v>0</v>
      </c>
      <c r="V371" s="11"/>
      <c r="W371" s="11">
        <v>2015</v>
      </c>
      <c r="X371" s="4">
        <v>11</v>
      </c>
    </row>
    <row r="372" spans="1:24" s="23" customFormat="1" ht="76.5" customHeight="1" outlineLevel="1" x14ac:dyDescent="0.2">
      <c r="A372" s="1" t="s">
        <v>7364</v>
      </c>
      <c r="B372" s="15" t="s">
        <v>5277</v>
      </c>
      <c r="C372" s="4" t="s">
        <v>3238</v>
      </c>
      <c r="D372" s="4" t="s">
        <v>3239</v>
      </c>
      <c r="E372" s="4" t="s">
        <v>5873</v>
      </c>
      <c r="F372" s="4"/>
      <c r="G372" s="4" t="s">
        <v>1888</v>
      </c>
      <c r="H372" s="22">
        <v>0</v>
      </c>
      <c r="I372" s="4">
        <v>710000000</v>
      </c>
      <c r="J372" s="4" t="s">
        <v>1931</v>
      </c>
      <c r="K372" s="4" t="s">
        <v>7338</v>
      </c>
      <c r="L372" s="4" t="s">
        <v>1889</v>
      </c>
      <c r="M372" s="8" t="s">
        <v>3195</v>
      </c>
      <c r="N372" s="4" t="s">
        <v>1890</v>
      </c>
      <c r="O372" s="8" t="s">
        <v>1935</v>
      </c>
      <c r="P372" s="4">
        <v>166</v>
      </c>
      <c r="Q372" s="4" t="s">
        <v>3324</v>
      </c>
      <c r="R372" s="10">
        <v>300</v>
      </c>
      <c r="S372" s="10">
        <v>44.64</v>
      </c>
      <c r="T372" s="10">
        <v>0</v>
      </c>
      <c r="U372" s="10">
        <f t="shared" ref="U372" si="104">T372*1.12</f>
        <v>0</v>
      </c>
      <c r="V372" s="11"/>
      <c r="W372" s="11">
        <v>2015</v>
      </c>
      <c r="X372" s="4">
        <v>11.22</v>
      </c>
    </row>
    <row r="373" spans="1:24" s="23" customFormat="1" ht="76.5" customHeight="1" outlineLevel="1" x14ac:dyDescent="0.2">
      <c r="A373" s="1" t="s">
        <v>8430</v>
      </c>
      <c r="B373" s="15" t="s">
        <v>5277</v>
      </c>
      <c r="C373" s="4" t="s">
        <v>3238</v>
      </c>
      <c r="D373" s="4" t="s">
        <v>3239</v>
      </c>
      <c r="E373" s="4" t="s">
        <v>5873</v>
      </c>
      <c r="F373" s="4"/>
      <c r="G373" s="4" t="s">
        <v>1888</v>
      </c>
      <c r="H373" s="22">
        <v>0</v>
      </c>
      <c r="I373" s="4">
        <v>710000000</v>
      </c>
      <c r="J373" s="4" t="s">
        <v>1931</v>
      </c>
      <c r="K373" s="4" t="s">
        <v>8400</v>
      </c>
      <c r="L373" s="4" t="s">
        <v>1889</v>
      </c>
      <c r="M373" s="8" t="s">
        <v>3195</v>
      </c>
      <c r="N373" s="4" t="s">
        <v>1890</v>
      </c>
      <c r="O373" s="8" t="s">
        <v>1935</v>
      </c>
      <c r="P373" s="4">
        <v>166</v>
      </c>
      <c r="Q373" s="4" t="s">
        <v>3324</v>
      </c>
      <c r="R373" s="10">
        <v>300</v>
      </c>
      <c r="S373" s="10">
        <v>44.64</v>
      </c>
      <c r="T373" s="10">
        <f t="shared" ref="T373" si="105">S373*R373</f>
        <v>13392</v>
      </c>
      <c r="U373" s="10">
        <f t="shared" ref="U373" si="106">T373*1.12</f>
        <v>14999.04</v>
      </c>
      <c r="V373" s="11"/>
      <c r="W373" s="11">
        <v>2015</v>
      </c>
      <c r="X373" s="4"/>
    </row>
    <row r="374" spans="1:24" s="23" customFormat="1" ht="114.75" customHeight="1" outlineLevel="1" x14ac:dyDescent="0.2">
      <c r="A374" s="1" t="s">
        <v>4451</v>
      </c>
      <c r="B374" s="15" t="s">
        <v>5277</v>
      </c>
      <c r="C374" s="4" t="s">
        <v>3215</v>
      </c>
      <c r="D374" s="4" t="s">
        <v>5838</v>
      </c>
      <c r="E374" s="4" t="s">
        <v>5839</v>
      </c>
      <c r="F374" s="4" t="s">
        <v>3881</v>
      </c>
      <c r="G374" s="4" t="s">
        <v>1888</v>
      </c>
      <c r="H374" s="22">
        <v>1</v>
      </c>
      <c r="I374" s="4">
        <v>710000000</v>
      </c>
      <c r="J374" s="4" t="s">
        <v>1931</v>
      </c>
      <c r="K374" s="4" t="s">
        <v>5297</v>
      </c>
      <c r="L374" s="4" t="s">
        <v>1889</v>
      </c>
      <c r="M374" s="8" t="s">
        <v>3195</v>
      </c>
      <c r="N374" s="4" t="s">
        <v>1890</v>
      </c>
      <c r="O374" s="8" t="s">
        <v>1935</v>
      </c>
      <c r="P374" s="4">
        <v>166</v>
      </c>
      <c r="Q374" s="4" t="s">
        <v>3324</v>
      </c>
      <c r="R374" s="10">
        <v>215</v>
      </c>
      <c r="S374" s="10">
        <v>893.33</v>
      </c>
      <c r="T374" s="10">
        <v>0</v>
      </c>
      <c r="U374" s="10">
        <f t="shared" si="44"/>
        <v>0</v>
      </c>
      <c r="V374" s="11"/>
      <c r="W374" s="11">
        <v>2015</v>
      </c>
      <c r="X374" s="4" t="s">
        <v>6562</v>
      </c>
    </row>
    <row r="375" spans="1:24" s="23" customFormat="1" ht="114.75" customHeight="1" outlineLevel="1" x14ac:dyDescent="0.2">
      <c r="A375" s="1" t="s">
        <v>6902</v>
      </c>
      <c r="B375" s="15" t="s">
        <v>5277</v>
      </c>
      <c r="C375" s="4" t="s">
        <v>3215</v>
      </c>
      <c r="D375" s="4" t="s">
        <v>5838</v>
      </c>
      <c r="E375" s="4" t="s">
        <v>5839</v>
      </c>
      <c r="F375" s="4" t="s">
        <v>3881</v>
      </c>
      <c r="G375" s="4" t="s">
        <v>1888</v>
      </c>
      <c r="H375" s="22">
        <v>1</v>
      </c>
      <c r="I375" s="4">
        <v>710000000</v>
      </c>
      <c r="J375" s="4" t="s">
        <v>1931</v>
      </c>
      <c r="K375" s="4" t="s">
        <v>5297</v>
      </c>
      <c r="L375" s="4" t="s">
        <v>1889</v>
      </c>
      <c r="M375" s="8" t="s">
        <v>3195</v>
      </c>
      <c r="N375" s="4" t="s">
        <v>1890</v>
      </c>
      <c r="O375" s="8" t="s">
        <v>1935</v>
      </c>
      <c r="P375" s="4">
        <v>166</v>
      </c>
      <c r="Q375" s="4" t="s">
        <v>3324</v>
      </c>
      <c r="R375" s="10">
        <f>215-20</f>
        <v>195</v>
      </c>
      <c r="S375" s="10">
        <v>893.33</v>
      </c>
      <c r="T375" s="10">
        <v>0</v>
      </c>
      <c r="U375" s="10">
        <f t="shared" ref="U375" si="107">T375*1.12</f>
        <v>0</v>
      </c>
      <c r="V375" s="11"/>
      <c r="W375" s="11">
        <v>2015</v>
      </c>
      <c r="X375" s="4">
        <v>11</v>
      </c>
    </row>
    <row r="376" spans="1:24" s="23" customFormat="1" ht="114.75" customHeight="1" outlineLevel="1" x14ac:dyDescent="0.2">
      <c r="A376" s="1" t="s">
        <v>7365</v>
      </c>
      <c r="B376" s="15" t="s">
        <v>5277</v>
      </c>
      <c r="C376" s="4" t="s">
        <v>3215</v>
      </c>
      <c r="D376" s="4" t="s">
        <v>5838</v>
      </c>
      <c r="E376" s="4" t="s">
        <v>5839</v>
      </c>
      <c r="F376" s="4" t="s">
        <v>3881</v>
      </c>
      <c r="G376" s="4" t="s">
        <v>1888</v>
      </c>
      <c r="H376" s="22">
        <v>1</v>
      </c>
      <c r="I376" s="4">
        <v>710000000</v>
      </c>
      <c r="J376" s="4" t="s">
        <v>1931</v>
      </c>
      <c r="K376" s="4" t="s">
        <v>7338</v>
      </c>
      <c r="L376" s="4" t="s">
        <v>1889</v>
      </c>
      <c r="M376" s="8" t="s">
        <v>3195</v>
      </c>
      <c r="N376" s="4" t="s">
        <v>1890</v>
      </c>
      <c r="O376" s="8" t="s">
        <v>1935</v>
      </c>
      <c r="P376" s="4">
        <v>166</v>
      </c>
      <c r="Q376" s="4" t="s">
        <v>3324</v>
      </c>
      <c r="R376" s="10">
        <f>215-20</f>
        <v>195</v>
      </c>
      <c r="S376" s="10">
        <v>893.33</v>
      </c>
      <c r="T376" s="10">
        <f t="shared" ref="T376" si="108">S376*R376</f>
        <v>174199.35</v>
      </c>
      <c r="U376" s="10">
        <f t="shared" ref="U376" si="109">T376*1.12</f>
        <v>195103.27200000003</v>
      </c>
      <c r="V376" s="11"/>
      <c r="W376" s="11">
        <v>2015</v>
      </c>
      <c r="X376" s="4"/>
    </row>
    <row r="377" spans="1:24" s="23" customFormat="1" ht="114.75" customHeight="1" outlineLevel="1" x14ac:dyDescent="0.2">
      <c r="A377" s="1" t="s">
        <v>4452</v>
      </c>
      <c r="B377" s="15" t="s">
        <v>5277</v>
      </c>
      <c r="C377" s="4" t="s">
        <v>3216</v>
      </c>
      <c r="D377" s="4" t="s">
        <v>5838</v>
      </c>
      <c r="E377" s="4" t="s">
        <v>5840</v>
      </c>
      <c r="F377" s="4" t="s">
        <v>3882</v>
      </c>
      <c r="G377" s="4" t="s">
        <v>1888</v>
      </c>
      <c r="H377" s="22">
        <v>1</v>
      </c>
      <c r="I377" s="4">
        <v>710000000</v>
      </c>
      <c r="J377" s="4" t="s">
        <v>1931</v>
      </c>
      <c r="K377" s="4" t="s">
        <v>5297</v>
      </c>
      <c r="L377" s="4" t="s">
        <v>1889</v>
      </c>
      <c r="M377" s="8" t="s">
        <v>3195</v>
      </c>
      <c r="N377" s="4" t="s">
        <v>1890</v>
      </c>
      <c r="O377" s="8" t="s">
        <v>1935</v>
      </c>
      <c r="P377" s="4">
        <v>166</v>
      </c>
      <c r="Q377" s="4" t="s">
        <v>3324</v>
      </c>
      <c r="R377" s="10">
        <v>1022</v>
      </c>
      <c r="S377" s="10">
        <v>1151.97</v>
      </c>
      <c r="T377" s="10">
        <v>0</v>
      </c>
      <c r="U377" s="10">
        <f t="shared" si="44"/>
        <v>0</v>
      </c>
      <c r="V377" s="11"/>
      <c r="W377" s="11">
        <v>2015</v>
      </c>
      <c r="X377" s="4" t="s">
        <v>6562</v>
      </c>
    </row>
    <row r="378" spans="1:24" s="23" customFormat="1" ht="114.75" customHeight="1" outlineLevel="1" x14ac:dyDescent="0.2">
      <c r="A378" s="1" t="s">
        <v>6903</v>
      </c>
      <c r="B378" s="15" t="s">
        <v>5277</v>
      </c>
      <c r="C378" s="4" t="s">
        <v>3216</v>
      </c>
      <c r="D378" s="4" t="s">
        <v>5838</v>
      </c>
      <c r="E378" s="4" t="s">
        <v>5840</v>
      </c>
      <c r="F378" s="4" t="s">
        <v>3882</v>
      </c>
      <c r="G378" s="4" t="s">
        <v>1888</v>
      </c>
      <c r="H378" s="22">
        <v>1</v>
      </c>
      <c r="I378" s="4">
        <v>710000000</v>
      </c>
      <c r="J378" s="4" t="s">
        <v>1931</v>
      </c>
      <c r="K378" s="4" t="s">
        <v>5297</v>
      </c>
      <c r="L378" s="4" t="s">
        <v>1889</v>
      </c>
      <c r="M378" s="8" t="s">
        <v>3195</v>
      </c>
      <c r="N378" s="4" t="s">
        <v>1890</v>
      </c>
      <c r="O378" s="8" t="s">
        <v>1935</v>
      </c>
      <c r="P378" s="4">
        <v>166</v>
      </c>
      <c r="Q378" s="4" t="s">
        <v>3324</v>
      </c>
      <c r="R378" s="10">
        <f>1022-60</f>
        <v>962</v>
      </c>
      <c r="S378" s="10">
        <v>1151.97</v>
      </c>
      <c r="T378" s="10">
        <v>0</v>
      </c>
      <c r="U378" s="10">
        <f t="shared" ref="U378" si="110">T378*1.12</f>
        <v>0</v>
      </c>
      <c r="V378" s="11"/>
      <c r="W378" s="11">
        <v>2015</v>
      </c>
      <c r="X378" s="4">
        <v>11</v>
      </c>
    </row>
    <row r="379" spans="1:24" s="23" customFormat="1" ht="114.75" customHeight="1" outlineLevel="1" x14ac:dyDescent="0.2">
      <c r="A379" s="1" t="s">
        <v>7366</v>
      </c>
      <c r="B379" s="15" t="s">
        <v>5277</v>
      </c>
      <c r="C379" s="4" t="s">
        <v>3216</v>
      </c>
      <c r="D379" s="4" t="s">
        <v>5838</v>
      </c>
      <c r="E379" s="4" t="s">
        <v>5840</v>
      </c>
      <c r="F379" s="4" t="s">
        <v>3882</v>
      </c>
      <c r="G379" s="4" t="s">
        <v>1888</v>
      </c>
      <c r="H379" s="22">
        <v>1</v>
      </c>
      <c r="I379" s="4">
        <v>710000000</v>
      </c>
      <c r="J379" s="4" t="s">
        <v>1931</v>
      </c>
      <c r="K379" s="4" t="s">
        <v>7338</v>
      </c>
      <c r="L379" s="4" t="s">
        <v>1889</v>
      </c>
      <c r="M379" s="8" t="s">
        <v>3195</v>
      </c>
      <c r="N379" s="4" t="s">
        <v>1890</v>
      </c>
      <c r="O379" s="8" t="s">
        <v>1935</v>
      </c>
      <c r="P379" s="4">
        <v>166</v>
      </c>
      <c r="Q379" s="4" t="s">
        <v>3324</v>
      </c>
      <c r="R379" s="10">
        <f>1022-60</f>
        <v>962</v>
      </c>
      <c r="S379" s="10">
        <v>1151.97</v>
      </c>
      <c r="T379" s="10">
        <f t="shared" ref="T379" si="111">S379*R379</f>
        <v>1108195.1400000001</v>
      </c>
      <c r="U379" s="10">
        <f t="shared" ref="U379" si="112">T379*1.12</f>
        <v>1241178.5568000004</v>
      </c>
      <c r="V379" s="11"/>
      <c r="W379" s="11">
        <v>2015</v>
      </c>
      <c r="X379" s="4"/>
    </row>
    <row r="380" spans="1:24" s="23" customFormat="1" ht="76.5" customHeight="1" outlineLevel="1" x14ac:dyDescent="0.2">
      <c r="A380" s="1" t="s">
        <v>4453</v>
      </c>
      <c r="B380" s="15" t="s">
        <v>5277</v>
      </c>
      <c r="C380" s="4" t="s">
        <v>3225</v>
      </c>
      <c r="D380" s="4" t="s">
        <v>5850</v>
      </c>
      <c r="E380" s="4" t="s">
        <v>5851</v>
      </c>
      <c r="F380" s="4"/>
      <c r="G380" s="4" t="s">
        <v>1888</v>
      </c>
      <c r="H380" s="22">
        <v>0</v>
      </c>
      <c r="I380" s="4">
        <v>710000000</v>
      </c>
      <c r="J380" s="4" t="s">
        <v>1931</v>
      </c>
      <c r="K380" s="4" t="s">
        <v>5297</v>
      </c>
      <c r="L380" s="4" t="s">
        <v>1889</v>
      </c>
      <c r="M380" s="8" t="s">
        <v>3195</v>
      </c>
      <c r="N380" s="4" t="s">
        <v>1890</v>
      </c>
      <c r="O380" s="8" t="s">
        <v>1935</v>
      </c>
      <c r="P380" s="4">
        <v>166</v>
      </c>
      <c r="Q380" s="4" t="s">
        <v>3324</v>
      </c>
      <c r="R380" s="10">
        <v>453</v>
      </c>
      <c r="S380" s="10">
        <v>1072</v>
      </c>
      <c r="T380" s="10">
        <v>0</v>
      </c>
      <c r="U380" s="10">
        <f t="shared" si="44"/>
        <v>0</v>
      </c>
      <c r="V380" s="11"/>
      <c r="W380" s="11">
        <v>2015</v>
      </c>
      <c r="X380" s="4">
        <v>11</v>
      </c>
    </row>
    <row r="381" spans="1:24" s="23" customFormat="1" ht="76.5" customHeight="1" outlineLevel="1" x14ac:dyDescent="0.2">
      <c r="A381" s="1" t="s">
        <v>7367</v>
      </c>
      <c r="B381" s="15" t="s">
        <v>5277</v>
      </c>
      <c r="C381" s="4" t="s">
        <v>3225</v>
      </c>
      <c r="D381" s="4" t="s">
        <v>5850</v>
      </c>
      <c r="E381" s="4" t="s">
        <v>5851</v>
      </c>
      <c r="F381" s="4"/>
      <c r="G381" s="4" t="s">
        <v>1888</v>
      </c>
      <c r="H381" s="22">
        <v>0</v>
      </c>
      <c r="I381" s="4">
        <v>710000000</v>
      </c>
      <c r="J381" s="4" t="s">
        <v>1931</v>
      </c>
      <c r="K381" s="4" t="s">
        <v>7338</v>
      </c>
      <c r="L381" s="4" t="s">
        <v>1889</v>
      </c>
      <c r="M381" s="8" t="s">
        <v>3195</v>
      </c>
      <c r="N381" s="4" t="s">
        <v>1890</v>
      </c>
      <c r="O381" s="8" t="s">
        <v>1935</v>
      </c>
      <c r="P381" s="4">
        <v>166</v>
      </c>
      <c r="Q381" s="4" t="s">
        <v>3324</v>
      </c>
      <c r="R381" s="10">
        <v>453</v>
      </c>
      <c r="S381" s="10">
        <v>1072</v>
      </c>
      <c r="T381" s="10">
        <f t="shared" ref="T381" si="113">S381*R381</f>
        <v>485616</v>
      </c>
      <c r="U381" s="10">
        <f t="shared" ref="U381" si="114">T381*1.12</f>
        <v>543889.92000000004</v>
      </c>
      <c r="V381" s="11"/>
      <c r="W381" s="11">
        <v>2015</v>
      </c>
      <c r="X381" s="4"/>
    </row>
    <row r="382" spans="1:24" s="23" customFormat="1" ht="76.5" customHeight="1" outlineLevel="1" x14ac:dyDescent="0.2">
      <c r="A382" s="1" t="s">
        <v>4454</v>
      </c>
      <c r="B382" s="15" t="s">
        <v>5277</v>
      </c>
      <c r="C382" s="4" t="s">
        <v>1903</v>
      </c>
      <c r="D382" s="4" t="s">
        <v>1790</v>
      </c>
      <c r="E382" s="4" t="s">
        <v>1904</v>
      </c>
      <c r="F382" s="4" t="s">
        <v>5784</v>
      </c>
      <c r="G382" s="4" t="s">
        <v>1888</v>
      </c>
      <c r="H382" s="22">
        <v>0</v>
      </c>
      <c r="I382" s="4">
        <v>710000000</v>
      </c>
      <c r="J382" s="4" t="s">
        <v>1931</v>
      </c>
      <c r="K382" s="4" t="s">
        <v>5297</v>
      </c>
      <c r="L382" s="4" t="s">
        <v>1889</v>
      </c>
      <c r="M382" s="8" t="s">
        <v>3195</v>
      </c>
      <c r="N382" s="4" t="s">
        <v>1890</v>
      </c>
      <c r="O382" s="8" t="s">
        <v>1935</v>
      </c>
      <c r="P382" s="4">
        <v>881</v>
      </c>
      <c r="Q382" s="4" t="s">
        <v>2746</v>
      </c>
      <c r="R382" s="10">
        <v>94</v>
      </c>
      <c r="S382" s="10">
        <v>3226.73</v>
      </c>
      <c r="T382" s="10">
        <v>0</v>
      </c>
      <c r="U382" s="10">
        <f t="shared" si="44"/>
        <v>0</v>
      </c>
      <c r="V382" s="11"/>
      <c r="W382" s="11">
        <v>2015</v>
      </c>
      <c r="X382" s="4">
        <v>11</v>
      </c>
    </row>
    <row r="383" spans="1:24" s="23" customFormat="1" ht="76.5" customHeight="1" outlineLevel="1" x14ac:dyDescent="0.2">
      <c r="A383" s="1" t="s">
        <v>7368</v>
      </c>
      <c r="B383" s="15" t="s">
        <v>5277</v>
      </c>
      <c r="C383" s="4" t="s">
        <v>1903</v>
      </c>
      <c r="D383" s="4" t="s">
        <v>1790</v>
      </c>
      <c r="E383" s="4" t="s">
        <v>1904</v>
      </c>
      <c r="F383" s="4" t="s">
        <v>5784</v>
      </c>
      <c r="G383" s="4" t="s">
        <v>1888</v>
      </c>
      <c r="H383" s="22">
        <v>0</v>
      </c>
      <c r="I383" s="4">
        <v>710000000</v>
      </c>
      <c r="J383" s="4" t="s">
        <v>1931</v>
      </c>
      <c r="K383" s="4" t="s">
        <v>7338</v>
      </c>
      <c r="L383" s="4" t="s">
        <v>1889</v>
      </c>
      <c r="M383" s="8" t="s">
        <v>3195</v>
      </c>
      <c r="N383" s="4" t="s">
        <v>1890</v>
      </c>
      <c r="O383" s="8" t="s">
        <v>1935</v>
      </c>
      <c r="P383" s="4">
        <v>881</v>
      </c>
      <c r="Q383" s="4" t="s">
        <v>2746</v>
      </c>
      <c r="R383" s="10">
        <v>94</v>
      </c>
      <c r="S383" s="10">
        <v>3226.73</v>
      </c>
      <c r="T383" s="10">
        <f t="shared" ref="T383" si="115">S383*R383</f>
        <v>303312.62</v>
      </c>
      <c r="U383" s="10">
        <f t="shared" ref="U383" si="116">T383*1.12</f>
        <v>339710.13440000004</v>
      </c>
      <c r="V383" s="11"/>
      <c r="W383" s="11">
        <v>2015</v>
      </c>
      <c r="X383" s="4"/>
    </row>
    <row r="384" spans="1:24" s="23" customFormat="1" ht="76.5" customHeight="1" outlineLevel="1" x14ac:dyDescent="0.2">
      <c r="A384" s="1" t="s">
        <v>4455</v>
      </c>
      <c r="B384" s="15" t="s">
        <v>5277</v>
      </c>
      <c r="C384" s="4" t="s">
        <v>1905</v>
      </c>
      <c r="D384" s="4" t="s">
        <v>5822</v>
      </c>
      <c r="E384" s="4" t="s">
        <v>5823</v>
      </c>
      <c r="F384" s="4" t="s">
        <v>3880</v>
      </c>
      <c r="G384" s="4" t="s">
        <v>1888</v>
      </c>
      <c r="H384" s="22">
        <v>0</v>
      </c>
      <c r="I384" s="4">
        <v>710000000</v>
      </c>
      <c r="J384" s="4" t="s">
        <v>1931</v>
      </c>
      <c r="K384" s="4" t="s">
        <v>5297</v>
      </c>
      <c r="L384" s="4" t="s">
        <v>1889</v>
      </c>
      <c r="M384" s="8" t="s">
        <v>3195</v>
      </c>
      <c r="N384" s="4" t="s">
        <v>1890</v>
      </c>
      <c r="O384" s="8" t="s">
        <v>1935</v>
      </c>
      <c r="P384" s="4">
        <v>166</v>
      </c>
      <c r="Q384" s="4" t="s">
        <v>3324</v>
      </c>
      <c r="R384" s="10">
        <v>126</v>
      </c>
      <c r="S384" s="10">
        <v>133.57</v>
      </c>
      <c r="T384" s="10">
        <v>0</v>
      </c>
      <c r="U384" s="10">
        <f t="shared" si="44"/>
        <v>0</v>
      </c>
      <c r="V384" s="11"/>
      <c r="W384" s="11">
        <v>2015</v>
      </c>
      <c r="X384" s="4" t="s">
        <v>6969</v>
      </c>
    </row>
    <row r="385" spans="1:24" s="23" customFormat="1" ht="76.5" customHeight="1" outlineLevel="1" x14ac:dyDescent="0.2">
      <c r="A385" s="1" t="s">
        <v>6966</v>
      </c>
      <c r="B385" s="15" t="s">
        <v>5277</v>
      </c>
      <c r="C385" s="4" t="s">
        <v>6967</v>
      </c>
      <c r="D385" s="4" t="s">
        <v>6968</v>
      </c>
      <c r="E385" s="4" t="s">
        <v>5823</v>
      </c>
      <c r="F385" s="4" t="s">
        <v>3880</v>
      </c>
      <c r="G385" s="4" t="s">
        <v>1888</v>
      </c>
      <c r="H385" s="22">
        <v>0</v>
      </c>
      <c r="I385" s="4">
        <v>710000000</v>
      </c>
      <c r="J385" s="4" t="s">
        <v>1931</v>
      </c>
      <c r="K385" s="4" t="s">
        <v>5297</v>
      </c>
      <c r="L385" s="4" t="s">
        <v>1889</v>
      </c>
      <c r="M385" s="8" t="s">
        <v>3195</v>
      </c>
      <c r="N385" s="4" t="s">
        <v>1890</v>
      </c>
      <c r="O385" s="8" t="s">
        <v>1935</v>
      </c>
      <c r="P385" s="4">
        <v>778</v>
      </c>
      <c r="Q385" s="4" t="s">
        <v>3327</v>
      </c>
      <c r="R385" s="10">
        <v>126</v>
      </c>
      <c r="S385" s="10">
        <v>133.57</v>
      </c>
      <c r="T385" s="10">
        <v>0</v>
      </c>
      <c r="U385" s="10">
        <f t="shared" ref="U385" si="117">T385*1.12</f>
        <v>0</v>
      </c>
      <c r="V385" s="11"/>
      <c r="W385" s="11">
        <v>2015</v>
      </c>
      <c r="X385" s="4">
        <v>11</v>
      </c>
    </row>
    <row r="386" spans="1:24" s="23" customFormat="1" ht="76.5" customHeight="1" outlineLevel="1" x14ac:dyDescent="0.2">
      <c r="A386" s="1" t="s">
        <v>7369</v>
      </c>
      <c r="B386" s="15" t="s">
        <v>5277</v>
      </c>
      <c r="C386" s="4" t="s">
        <v>6967</v>
      </c>
      <c r="D386" s="4" t="s">
        <v>6968</v>
      </c>
      <c r="E386" s="4" t="s">
        <v>5823</v>
      </c>
      <c r="F386" s="4" t="s">
        <v>3880</v>
      </c>
      <c r="G386" s="4" t="s">
        <v>1888</v>
      </c>
      <c r="H386" s="22">
        <v>0</v>
      </c>
      <c r="I386" s="4">
        <v>710000000</v>
      </c>
      <c r="J386" s="4" t="s">
        <v>1931</v>
      </c>
      <c r="K386" s="4" t="s">
        <v>7338</v>
      </c>
      <c r="L386" s="4" t="s">
        <v>1889</v>
      </c>
      <c r="M386" s="8" t="s">
        <v>3195</v>
      </c>
      <c r="N386" s="4" t="s">
        <v>1890</v>
      </c>
      <c r="O386" s="8" t="s">
        <v>1935</v>
      </c>
      <c r="P386" s="4">
        <v>778</v>
      </c>
      <c r="Q386" s="4" t="s">
        <v>3327</v>
      </c>
      <c r="R386" s="10">
        <v>126</v>
      </c>
      <c r="S386" s="10">
        <v>133.57</v>
      </c>
      <c r="T386" s="10">
        <f t="shared" ref="T386" si="118">S386*R386</f>
        <v>16829.82</v>
      </c>
      <c r="U386" s="10">
        <f t="shared" ref="U386" si="119">T386*1.12</f>
        <v>18849.398400000002</v>
      </c>
      <c r="V386" s="11"/>
      <c r="W386" s="11">
        <v>2015</v>
      </c>
      <c r="X386" s="4"/>
    </row>
    <row r="387" spans="1:24" s="23" customFormat="1" ht="89.25" customHeight="1" outlineLevel="1" x14ac:dyDescent="0.2">
      <c r="A387" s="1" t="s">
        <v>4456</v>
      </c>
      <c r="B387" s="15" t="s">
        <v>5277</v>
      </c>
      <c r="C387" s="4" t="s">
        <v>1791</v>
      </c>
      <c r="D387" s="4" t="s">
        <v>5785</v>
      </c>
      <c r="E387" s="4" t="s">
        <v>5786</v>
      </c>
      <c r="F387" s="4" t="s">
        <v>5787</v>
      </c>
      <c r="G387" s="4" t="s">
        <v>1888</v>
      </c>
      <c r="H387" s="22">
        <v>1</v>
      </c>
      <c r="I387" s="4">
        <v>710000000</v>
      </c>
      <c r="J387" s="4" t="s">
        <v>1931</v>
      </c>
      <c r="K387" s="4" t="s">
        <v>5297</v>
      </c>
      <c r="L387" s="4" t="s">
        <v>1889</v>
      </c>
      <c r="M387" s="8" t="s">
        <v>3195</v>
      </c>
      <c r="N387" s="4" t="s">
        <v>1890</v>
      </c>
      <c r="O387" s="8" t="s">
        <v>1935</v>
      </c>
      <c r="P387" s="4">
        <v>166</v>
      </c>
      <c r="Q387" s="4" t="s">
        <v>3324</v>
      </c>
      <c r="R387" s="10">
        <v>26</v>
      </c>
      <c r="S387" s="10">
        <v>151.77000000000001</v>
      </c>
      <c r="T387" s="10">
        <v>0</v>
      </c>
      <c r="U387" s="10">
        <f t="shared" si="44"/>
        <v>0</v>
      </c>
      <c r="V387" s="11"/>
      <c r="W387" s="11">
        <v>2015</v>
      </c>
      <c r="X387" s="4">
        <v>11</v>
      </c>
    </row>
    <row r="388" spans="1:24" s="23" customFormat="1" ht="89.25" customHeight="1" outlineLevel="1" x14ac:dyDescent="0.2">
      <c r="A388" s="1" t="s">
        <v>7370</v>
      </c>
      <c r="B388" s="15" t="s">
        <v>5277</v>
      </c>
      <c r="C388" s="4" t="s">
        <v>1791</v>
      </c>
      <c r="D388" s="4" t="s">
        <v>5785</v>
      </c>
      <c r="E388" s="4" t="s">
        <v>5786</v>
      </c>
      <c r="F388" s="4" t="s">
        <v>5787</v>
      </c>
      <c r="G388" s="4" t="s">
        <v>1888</v>
      </c>
      <c r="H388" s="22">
        <v>1</v>
      </c>
      <c r="I388" s="4">
        <v>710000000</v>
      </c>
      <c r="J388" s="4" t="s">
        <v>1931</v>
      </c>
      <c r="K388" s="4" t="s">
        <v>7338</v>
      </c>
      <c r="L388" s="4" t="s">
        <v>1889</v>
      </c>
      <c r="M388" s="8" t="s">
        <v>3195</v>
      </c>
      <c r="N388" s="4" t="s">
        <v>1890</v>
      </c>
      <c r="O388" s="8" t="s">
        <v>1935</v>
      </c>
      <c r="P388" s="4">
        <v>166</v>
      </c>
      <c r="Q388" s="4" t="s">
        <v>3324</v>
      </c>
      <c r="R388" s="10">
        <v>26</v>
      </c>
      <c r="S388" s="10">
        <v>151.77000000000001</v>
      </c>
      <c r="T388" s="10">
        <v>0</v>
      </c>
      <c r="U388" s="10">
        <f t="shared" ref="U388" si="120">T388*1.12</f>
        <v>0</v>
      </c>
      <c r="V388" s="11"/>
      <c r="W388" s="11">
        <v>2015</v>
      </c>
      <c r="X388" s="4">
        <v>11.22</v>
      </c>
    </row>
    <row r="389" spans="1:24" s="23" customFormat="1" ht="89.25" customHeight="1" outlineLevel="1" x14ac:dyDescent="0.2">
      <c r="A389" s="1" t="s">
        <v>8431</v>
      </c>
      <c r="B389" s="15" t="s">
        <v>5277</v>
      </c>
      <c r="C389" s="4" t="s">
        <v>1791</v>
      </c>
      <c r="D389" s="4" t="s">
        <v>5785</v>
      </c>
      <c r="E389" s="4" t="s">
        <v>5786</v>
      </c>
      <c r="F389" s="4" t="s">
        <v>5787</v>
      </c>
      <c r="G389" s="4" t="s">
        <v>1888</v>
      </c>
      <c r="H389" s="22">
        <v>1</v>
      </c>
      <c r="I389" s="4">
        <v>710000000</v>
      </c>
      <c r="J389" s="4" t="s">
        <v>1931</v>
      </c>
      <c r="K389" s="4" t="s">
        <v>8400</v>
      </c>
      <c r="L389" s="4" t="s">
        <v>1889</v>
      </c>
      <c r="M389" s="8" t="s">
        <v>3195</v>
      </c>
      <c r="N389" s="4" t="s">
        <v>1890</v>
      </c>
      <c r="O389" s="8" t="s">
        <v>1935</v>
      </c>
      <c r="P389" s="4">
        <v>166</v>
      </c>
      <c r="Q389" s="4" t="s">
        <v>3324</v>
      </c>
      <c r="R389" s="10">
        <v>26</v>
      </c>
      <c r="S389" s="10">
        <v>151.77000000000001</v>
      </c>
      <c r="T389" s="10">
        <f t="shared" ref="T389" si="121">S389*R389</f>
        <v>3946.0200000000004</v>
      </c>
      <c r="U389" s="10">
        <f t="shared" ref="U389" si="122">T389*1.12</f>
        <v>4419.5424000000012</v>
      </c>
      <c r="V389" s="11"/>
      <c r="W389" s="11">
        <v>2015</v>
      </c>
      <c r="X389" s="4"/>
    </row>
    <row r="390" spans="1:24" s="23" customFormat="1" ht="76.5" customHeight="1" outlineLevel="1" x14ac:dyDescent="0.2">
      <c r="A390" s="1" t="s">
        <v>4457</v>
      </c>
      <c r="B390" s="15" t="s">
        <v>5277</v>
      </c>
      <c r="C390" s="4" t="s">
        <v>1792</v>
      </c>
      <c r="D390" s="4" t="s">
        <v>5788</v>
      </c>
      <c r="E390" s="4" t="s">
        <v>5789</v>
      </c>
      <c r="F390" s="4"/>
      <c r="G390" s="4" t="s">
        <v>1888</v>
      </c>
      <c r="H390" s="22">
        <v>1</v>
      </c>
      <c r="I390" s="4">
        <v>710000000</v>
      </c>
      <c r="J390" s="4" t="s">
        <v>1931</v>
      </c>
      <c r="K390" s="4" t="s">
        <v>5297</v>
      </c>
      <c r="L390" s="4" t="s">
        <v>1889</v>
      </c>
      <c r="M390" s="8" t="s">
        <v>3195</v>
      </c>
      <c r="N390" s="4" t="s">
        <v>1890</v>
      </c>
      <c r="O390" s="8" t="s">
        <v>1935</v>
      </c>
      <c r="P390" s="4">
        <v>166</v>
      </c>
      <c r="Q390" s="4" t="s">
        <v>3324</v>
      </c>
      <c r="R390" s="10">
        <v>609</v>
      </c>
      <c r="S390" s="10">
        <v>133.91999999999999</v>
      </c>
      <c r="T390" s="10">
        <v>0</v>
      </c>
      <c r="U390" s="10">
        <f t="shared" si="44"/>
        <v>0</v>
      </c>
      <c r="V390" s="11"/>
      <c r="W390" s="11">
        <v>2015</v>
      </c>
      <c r="X390" s="4">
        <v>11</v>
      </c>
    </row>
    <row r="391" spans="1:24" s="23" customFormat="1" ht="76.5" customHeight="1" outlineLevel="1" x14ac:dyDescent="0.2">
      <c r="A391" s="1" t="s">
        <v>7371</v>
      </c>
      <c r="B391" s="15" t="s">
        <v>5277</v>
      </c>
      <c r="C391" s="4" t="s">
        <v>1792</v>
      </c>
      <c r="D391" s="4" t="s">
        <v>5788</v>
      </c>
      <c r="E391" s="4" t="s">
        <v>5789</v>
      </c>
      <c r="F391" s="4"/>
      <c r="G391" s="4" t="s">
        <v>1888</v>
      </c>
      <c r="H391" s="22">
        <v>1</v>
      </c>
      <c r="I391" s="4">
        <v>710000000</v>
      </c>
      <c r="J391" s="4" t="s">
        <v>1931</v>
      </c>
      <c r="K391" s="4" t="s">
        <v>7338</v>
      </c>
      <c r="L391" s="4" t="s">
        <v>1889</v>
      </c>
      <c r="M391" s="8" t="s">
        <v>3195</v>
      </c>
      <c r="N391" s="4" t="s">
        <v>1890</v>
      </c>
      <c r="O391" s="8" t="s">
        <v>1935</v>
      </c>
      <c r="P391" s="4">
        <v>166</v>
      </c>
      <c r="Q391" s="4" t="s">
        <v>3324</v>
      </c>
      <c r="R391" s="10">
        <v>609</v>
      </c>
      <c r="S391" s="10">
        <v>133.91999999999999</v>
      </c>
      <c r="T391" s="10">
        <v>0</v>
      </c>
      <c r="U391" s="10">
        <f t="shared" ref="U391" si="123">T391*1.12</f>
        <v>0</v>
      </c>
      <c r="V391" s="11"/>
      <c r="W391" s="11">
        <v>2015</v>
      </c>
      <c r="X391" s="4">
        <v>11.22</v>
      </c>
    </row>
    <row r="392" spans="1:24" s="23" customFormat="1" ht="76.5" customHeight="1" outlineLevel="1" x14ac:dyDescent="0.2">
      <c r="A392" s="1" t="s">
        <v>8432</v>
      </c>
      <c r="B392" s="15" t="s">
        <v>5277</v>
      </c>
      <c r="C392" s="4" t="s">
        <v>1792</v>
      </c>
      <c r="D392" s="4" t="s">
        <v>5788</v>
      </c>
      <c r="E392" s="4" t="s">
        <v>5789</v>
      </c>
      <c r="F392" s="4"/>
      <c r="G392" s="4" t="s">
        <v>1888</v>
      </c>
      <c r="H392" s="22">
        <v>1</v>
      </c>
      <c r="I392" s="4">
        <v>710000000</v>
      </c>
      <c r="J392" s="4" t="s">
        <v>1931</v>
      </c>
      <c r="K392" s="4" t="s">
        <v>8400</v>
      </c>
      <c r="L392" s="4" t="s">
        <v>1889</v>
      </c>
      <c r="M392" s="8" t="s">
        <v>3195</v>
      </c>
      <c r="N392" s="4" t="s">
        <v>1890</v>
      </c>
      <c r="O392" s="8" t="s">
        <v>1935</v>
      </c>
      <c r="P392" s="4">
        <v>166</v>
      </c>
      <c r="Q392" s="4" t="s">
        <v>3324</v>
      </c>
      <c r="R392" s="10">
        <v>609</v>
      </c>
      <c r="S392" s="10">
        <v>133.91999999999999</v>
      </c>
      <c r="T392" s="10">
        <f t="shared" ref="T392" si="124">S392*R392</f>
        <v>81557.279999999999</v>
      </c>
      <c r="U392" s="10">
        <f t="shared" ref="U392" si="125">T392*1.12</f>
        <v>91344.153600000005</v>
      </c>
      <c r="V392" s="11"/>
      <c r="W392" s="11">
        <v>2015</v>
      </c>
      <c r="X392" s="4"/>
    </row>
    <row r="393" spans="1:24" s="23" customFormat="1" ht="76.5" customHeight="1" outlineLevel="1" x14ac:dyDescent="0.2">
      <c r="A393" s="1" t="s">
        <v>4458</v>
      </c>
      <c r="B393" s="15" t="s">
        <v>5277</v>
      </c>
      <c r="C393" s="4" t="s">
        <v>1793</v>
      </c>
      <c r="D393" s="4" t="s">
        <v>5790</v>
      </c>
      <c r="E393" s="4" t="s">
        <v>5791</v>
      </c>
      <c r="F393" s="4"/>
      <c r="G393" s="4" t="s">
        <v>1888</v>
      </c>
      <c r="H393" s="22">
        <v>1</v>
      </c>
      <c r="I393" s="4">
        <v>710000000</v>
      </c>
      <c r="J393" s="4" t="s">
        <v>1931</v>
      </c>
      <c r="K393" s="4" t="s">
        <v>5297</v>
      </c>
      <c r="L393" s="4" t="s">
        <v>1889</v>
      </c>
      <c r="M393" s="8" t="s">
        <v>3195</v>
      </c>
      <c r="N393" s="4" t="s">
        <v>1890</v>
      </c>
      <c r="O393" s="8" t="s">
        <v>1935</v>
      </c>
      <c r="P393" s="4">
        <v>166</v>
      </c>
      <c r="Q393" s="4" t="s">
        <v>3324</v>
      </c>
      <c r="R393" s="10">
        <v>336</v>
      </c>
      <c r="S393" s="10">
        <v>151.52000000000001</v>
      </c>
      <c r="T393" s="10">
        <v>0</v>
      </c>
      <c r="U393" s="10">
        <f t="shared" si="44"/>
        <v>0</v>
      </c>
      <c r="V393" s="11"/>
      <c r="W393" s="11">
        <v>2015</v>
      </c>
      <c r="X393" s="4">
        <v>11</v>
      </c>
    </row>
    <row r="394" spans="1:24" s="23" customFormat="1" ht="76.5" customHeight="1" outlineLevel="1" x14ac:dyDescent="0.2">
      <c r="A394" s="1" t="s">
        <v>7372</v>
      </c>
      <c r="B394" s="15" t="s">
        <v>5277</v>
      </c>
      <c r="C394" s="4" t="s">
        <v>1793</v>
      </c>
      <c r="D394" s="4" t="s">
        <v>5790</v>
      </c>
      <c r="E394" s="4" t="s">
        <v>5791</v>
      </c>
      <c r="F394" s="4"/>
      <c r="G394" s="4" t="s">
        <v>1888</v>
      </c>
      <c r="H394" s="22">
        <v>1</v>
      </c>
      <c r="I394" s="4">
        <v>710000000</v>
      </c>
      <c r="J394" s="4" t="s">
        <v>1931</v>
      </c>
      <c r="K394" s="4" t="s">
        <v>7338</v>
      </c>
      <c r="L394" s="4" t="s">
        <v>1889</v>
      </c>
      <c r="M394" s="8" t="s">
        <v>3195</v>
      </c>
      <c r="N394" s="4" t="s">
        <v>1890</v>
      </c>
      <c r="O394" s="8" t="s">
        <v>1935</v>
      </c>
      <c r="P394" s="4">
        <v>166</v>
      </c>
      <c r="Q394" s="4" t="s">
        <v>3324</v>
      </c>
      <c r="R394" s="10">
        <v>336</v>
      </c>
      <c r="S394" s="10">
        <v>151.52000000000001</v>
      </c>
      <c r="T394" s="10">
        <v>0</v>
      </c>
      <c r="U394" s="10">
        <f t="shared" ref="U394" si="126">T394*1.12</f>
        <v>0</v>
      </c>
      <c r="V394" s="11"/>
      <c r="W394" s="11">
        <v>2015</v>
      </c>
      <c r="X394" s="4">
        <v>11.22</v>
      </c>
    </row>
    <row r="395" spans="1:24" s="23" customFormat="1" ht="76.5" customHeight="1" outlineLevel="1" x14ac:dyDescent="0.2">
      <c r="A395" s="1" t="s">
        <v>8433</v>
      </c>
      <c r="B395" s="15" t="s">
        <v>5277</v>
      </c>
      <c r="C395" s="4" t="s">
        <v>1793</v>
      </c>
      <c r="D395" s="4" t="s">
        <v>5790</v>
      </c>
      <c r="E395" s="4" t="s">
        <v>5791</v>
      </c>
      <c r="F395" s="4"/>
      <c r="G395" s="4" t="s">
        <v>1888</v>
      </c>
      <c r="H395" s="22">
        <v>1</v>
      </c>
      <c r="I395" s="4">
        <v>710000000</v>
      </c>
      <c r="J395" s="4" t="s">
        <v>1931</v>
      </c>
      <c r="K395" s="4" t="s">
        <v>8400</v>
      </c>
      <c r="L395" s="4" t="s">
        <v>1889</v>
      </c>
      <c r="M395" s="8" t="s">
        <v>3195</v>
      </c>
      <c r="N395" s="4" t="s">
        <v>1890</v>
      </c>
      <c r="O395" s="8" t="s">
        <v>1935</v>
      </c>
      <c r="P395" s="4">
        <v>166</v>
      </c>
      <c r="Q395" s="4" t="s">
        <v>3324</v>
      </c>
      <c r="R395" s="10">
        <v>336</v>
      </c>
      <c r="S395" s="10">
        <v>151.52000000000001</v>
      </c>
      <c r="T395" s="10">
        <f t="shared" ref="T395" si="127">S395*R395</f>
        <v>50910.720000000001</v>
      </c>
      <c r="U395" s="10">
        <f t="shared" ref="U395" si="128">T395*1.12</f>
        <v>57020.006400000006</v>
      </c>
      <c r="V395" s="11"/>
      <c r="W395" s="11">
        <v>2015</v>
      </c>
      <c r="X395" s="4"/>
    </row>
    <row r="396" spans="1:24" s="23" customFormat="1" ht="76.5" customHeight="1" outlineLevel="1" x14ac:dyDescent="0.2">
      <c r="A396" s="1" t="s">
        <v>4459</v>
      </c>
      <c r="B396" s="15" t="s">
        <v>5277</v>
      </c>
      <c r="C396" s="4" t="s">
        <v>1794</v>
      </c>
      <c r="D396" s="4" t="s">
        <v>5792</v>
      </c>
      <c r="E396" s="4" t="s">
        <v>5793</v>
      </c>
      <c r="F396" s="4" t="s">
        <v>1795</v>
      </c>
      <c r="G396" s="4" t="s">
        <v>1888</v>
      </c>
      <c r="H396" s="22">
        <v>1</v>
      </c>
      <c r="I396" s="4">
        <v>710000000</v>
      </c>
      <c r="J396" s="4" t="s">
        <v>1931</v>
      </c>
      <c r="K396" s="4" t="s">
        <v>5297</v>
      </c>
      <c r="L396" s="4" t="s">
        <v>1889</v>
      </c>
      <c r="M396" s="8" t="s">
        <v>3195</v>
      </c>
      <c r="N396" s="4" t="s">
        <v>1890</v>
      </c>
      <c r="O396" s="8" t="s">
        <v>1935</v>
      </c>
      <c r="P396" s="4">
        <v>166</v>
      </c>
      <c r="Q396" s="4" t="s">
        <v>3324</v>
      </c>
      <c r="R396" s="10">
        <v>257</v>
      </c>
      <c r="S396" s="10">
        <v>107.25</v>
      </c>
      <c r="T396" s="10">
        <v>0</v>
      </c>
      <c r="U396" s="10">
        <f t="shared" si="44"/>
        <v>0</v>
      </c>
      <c r="V396" s="11"/>
      <c r="W396" s="11">
        <v>2015</v>
      </c>
      <c r="X396" s="4">
        <v>11</v>
      </c>
    </row>
    <row r="397" spans="1:24" s="23" customFormat="1" ht="76.5" customHeight="1" outlineLevel="1" x14ac:dyDescent="0.2">
      <c r="A397" s="1" t="s">
        <v>7373</v>
      </c>
      <c r="B397" s="15" t="s">
        <v>5277</v>
      </c>
      <c r="C397" s="4" t="s">
        <v>1794</v>
      </c>
      <c r="D397" s="4" t="s">
        <v>5792</v>
      </c>
      <c r="E397" s="4" t="s">
        <v>5793</v>
      </c>
      <c r="F397" s="4" t="s">
        <v>1795</v>
      </c>
      <c r="G397" s="4" t="s">
        <v>1888</v>
      </c>
      <c r="H397" s="22">
        <v>1</v>
      </c>
      <c r="I397" s="4">
        <v>710000000</v>
      </c>
      <c r="J397" s="4" t="s">
        <v>1931</v>
      </c>
      <c r="K397" s="4" t="s">
        <v>7338</v>
      </c>
      <c r="L397" s="4" t="s">
        <v>1889</v>
      </c>
      <c r="M397" s="8" t="s">
        <v>3195</v>
      </c>
      <c r="N397" s="4" t="s">
        <v>1890</v>
      </c>
      <c r="O397" s="8" t="s">
        <v>1935</v>
      </c>
      <c r="P397" s="4">
        <v>166</v>
      </c>
      <c r="Q397" s="4" t="s">
        <v>3324</v>
      </c>
      <c r="R397" s="10">
        <v>257</v>
      </c>
      <c r="S397" s="10">
        <v>107.25</v>
      </c>
      <c r="T397" s="10">
        <v>0</v>
      </c>
      <c r="U397" s="10">
        <f t="shared" ref="U397" si="129">T397*1.12</f>
        <v>0</v>
      </c>
      <c r="V397" s="11"/>
      <c r="W397" s="11">
        <v>2015</v>
      </c>
      <c r="X397" s="4">
        <v>11.22</v>
      </c>
    </row>
    <row r="398" spans="1:24" s="23" customFormat="1" ht="76.5" customHeight="1" outlineLevel="1" x14ac:dyDescent="0.2">
      <c r="A398" s="1" t="s">
        <v>8452</v>
      </c>
      <c r="B398" s="15" t="s">
        <v>5277</v>
      </c>
      <c r="C398" s="4" t="s">
        <v>1794</v>
      </c>
      <c r="D398" s="4" t="s">
        <v>5792</v>
      </c>
      <c r="E398" s="4" t="s">
        <v>5793</v>
      </c>
      <c r="F398" s="4" t="s">
        <v>1795</v>
      </c>
      <c r="G398" s="4" t="s">
        <v>1888</v>
      </c>
      <c r="H398" s="22">
        <v>1</v>
      </c>
      <c r="I398" s="4">
        <v>710000000</v>
      </c>
      <c r="J398" s="4" t="s">
        <v>1931</v>
      </c>
      <c r="K398" s="4" t="s">
        <v>8400</v>
      </c>
      <c r="L398" s="4" t="s">
        <v>1889</v>
      </c>
      <c r="M398" s="8" t="s">
        <v>3195</v>
      </c>
      <c r="N398" s="4" t="s">
        <v>1890</v>
      </c>
      <c r="O398" s="8" t="s">
        <v>1935</v>
      </c>
      <c r="P398" s="4">
        <v>166</v>
      </c>
      <c r="Q398" s="4" t="s">
        <v>3324</v>
      </c>
      <c r="R398" s="10">
        <v>257</v>
      </c>
      <c r="S398" s="10">
        <v>107.25</v>
      </c>
      <c r="T398" s="10">
        <f t="shared" ref="T398" si="130">S398*R398</f>
        <v>27563.25</v>
      </c>
      <c r="U398" s="10">
        <f t="shared" ref="U398" si="131">T398*1.12</f>
        <v>30870.840000000004</v>
      </c>
      <c r="V398" s="11"/>
      <c r="W398" s="11">
        <v>2015</v>
      </c>
      <c r="X398" s="4"/>
    </row>
    <row r="399" spans="1:24" s="23" customFormat="1" ht="76.5" customHeight="1" outlineLevel="1" x14ac:dyDescent="0.2">
      <c r="A399" s="1" t="s">
        <v>4460</v>
      </c>
      <c r="B399" s="15" t="s">
        <v>5277</v>
      </c>
      <c r="C399" s="4" t="s">
        <v>1796</v>
      </c>
      <c r="D399" s="4" t="s">
        <v>5794</v>
      </c>
      <c r="E399" s="4" t="s">
        <v>5795</v>
      </c>
      <c r="F399" s="4" t="s">
        <v>1797</v>
      </c>
      <c r="G399" s="4" t="s">
        <v>1888</v>
      </c>
      <c r="H399" s="22">
        <v>1</v>
      </c>
      <c r="I399" s="4">
        <v>710000000</v>
      </c>
      <c r="J399" s="4" t="s">
        <v>1931</v>
      </c>
      <c r="K399" s="4" t="s">
        <v>5297</v>
      </c>
      <c r="L399" s="4" t="s">
        <v>1889</v>
      </c>
      <c r="M399" s="8" t="s">
        <v>3195</v>
      </c>
      <c r="N399" s="4" t="s">
        <v>1890</v>
      </c>
      <c r="O399" s="8" t="s">
        <v>1935</v>
      </c>
      <c r="P399" s="4">
        <v>166</v>
      </c>
      <c r="Q399" s="4" t="s">
        <v>3324</v>
      </c>
      <c r="R399" s="10">
        <v>38</v>
      </c>
      <c r="S399" s="10">
        <v>79.790000000000006</v>
      </c>
      <c r="T399" s="10">
        <v>0</v>
      </c>
      <c r="U399" s="10">
        <f t="shared" si="44"/>
        <v>0</v>
      </c>
      <c r="V399" s="11"/>
      <c r="W399" s="11">
        <v>2015</v>
      </c>
      <c r="X399" s="4">
        <v>11</v>
      </c>
    </row>
    <row r="400" spans="1:24" s="23" customFormat="1" ht="76.5" customHeight="1" outlineLevel="1" x14ac:dyDescent="0.2">
      <c r="A400" s="1" t="s">
        <v>7374</v>
      </c>
      <c r="B400" s="15" t="s">
        <v>5277</v>
      </c>
      <c r="C400" s="4" t="s">
        <v>1796</v>
      </c>
      <c r="D400" s="4" t="s">
        <v>5794</v>
      </c>
      <c r="E400" s="4" t="s">
        <v>5795</v>
      </c>
      <c r="F400" s="4" t="s">
        <v>1797</v>
      </c>
      <c r="G400" s="4" t="s">
        <v>1888</v>
      </c>
      <c r="H400" s="22">
        <v>1</v>
      </c>
      <c r="I400" s="4">
        <v>710000000</v>
      </c>
      <c r="J400" s="4" t="s">
        <v>1931</v>
      </c>
      <c r="K400" s="4" t="s">
        <v>7338</v>
      </c>
      <c r="L400" s="4" t="s">
        <v>1889</v>
      </c>
      <c r="M400" s="8" t="s">
        <v>3195</v>
      </c>
      <c r="N400" s="4" t="s">
        <v>1890</v>
      </c>
      <c r="O400" s="8" t="s">
        <v>1935</v>
      </c>
      <c r="P400" s="4">
        <v>166</v>
      </c>
      <c r="Q400" s="4" t="s">
        <v>3324</v>
      </c>
      <c r="R400" s="10">
        <v>38</v>
      </c>
      <c r="S400" s="10">
        <v>79.790000000000006</v>
      </c>
      <c r="T400" s="10">
        <v>0</v>
      </c>
      <c r="U400" s="10">
        <f t="shared" ref="U400" si="132">T400*1.12</f>
        <v>0</v>
      </c>
      <c r="V400" s="11"/>
      <c r="W400" s="11">
        <v>2015</v>
      </c>
      <c r="X400" s="4">
        <v>11.22</v>
      </c>
    </row>
    <row r="401" spans="1:24" s="23" customFormat="1" ht="76.5" customHeight="1" outlineLevel="1" x14ac:dyDescent="0.2">
      <c r="A401" s="1" t="s">
        <v>8434</v>
      </c>
      <c r="B401" s="15" t="s">
        <v>5277</v>
      </c>
      <c r="C401" s="4" t="s">
        <v>1796</v>
      </c>
      <c r="D401" s="4" t="s">
        <v>5794</v>
      </c>
      <c r="E401" s="4" t="s">
        <v>5795</v>
      </c>
      <c r="F401" s="4" t="s">
        <v>1797</v>
      </c>
      <c r="G401" s="4" t="s">
        <v>1888</v>
      </c>
      <c r="H401" s="22">
        <v>1</v>
      </c>
      <c r="I401" s="4">
        <v>710000000</v>
      </c>
      <c r="J401" s="4" t="s">
        <v>1931</v>
      </c>
      <c r="K401" s="4" t="s">
        <v>8400</v>
      </c>
      <c r="L401" s="4" t="s">
        <v>1889</v>
      </c>
      <c r="M401" s="8" t="s">
        <v>3195</v>
      </c>
      <c r="N401" s="4" t="s">
        <v>1890</v>
      </c>
      <c r="O401" s="8" t="s">
        <v>1935</v>
      </c>
      <c r="P401" s="4">
        <v>166</v>
      </c>
      <c r="Q401" s="4" t="s">
        <v>3324</v>
      </c>
      <c r="R401" s="10">
        <v>38</v>
      </c>
      <c r="S401" s="10">
        <v>79.790000000000006</v>
      </c>
      <c r="T401" s="10">
        <f t="shared" ref="T401" si="133">S401*R401</f>
        <v>3032.0200000000004</v>
      </c>
      <c r="U401" s="10">
        <f t="shared" ref="U401" si="134">T401*1.12</f>
        <v>3395.8624000000009</v>
      </c>
      <c r="V401" s="11"/>
      <c r="W401" s="11">
        <v>2015</v>
      </c>
      <c r="X401" s="4"/>
    </row>
    <row r="402" spans="1:24" s="23" customFormat="1" ht="102" customHeight="1" outlineLevel="1" x14ac:dyDescent="0.2">
      <c r="A402" s="1" t="s">
        <v>4461</v>
      </c>
      <c r="B402" s="15" t="s">
        <v>5277</v>
      </c>
      <c r="C402" s="4" t="s">
        <v>1800</v>
      </c>
      <c r="D402" s="4" t="s">
        <v>5798</v>
      </c>
      <c r="E402" s="4" t="s">
        <v>5799</v>
      </c>
      <c r="F402" s="4"/>
      <c r="G402" s="4" t="s">
        <v>1888</v>
      </c>
      <c r="H402" s="22">
        <v>1</v>
      </c>
      <c r="I402" s="4">
        <v>710000000</v>
      </c>
      <c r="J402" s="4" t="s">
        <v>1931</v>
      </c>
      <c r="K402" s="4" t="s">
        <v>5297</v>
      </c>
      <c r="L402" s="4" t="s">
        <v>1889</v>
      </c>
      <c r="M402" s="8" t="s">
        <v>3195</v>
      </c>
      <c r="N402" s="4" t="s">
        <v>1890</v>
      </c>
      <c r="O402" s="8" t="s">
        <v>1935</v>
      </c>
      <c r="P402" s="4">
        <v>166</v>
      </c>
      <c r="Q402" s="4" t="s">
        <v>3324</v>
      </c>
      <c r="R402" s="10">
        <v>1509</v>
      </c>
      <c r="S402" s="10">
        <v>178.51</v>
      </c>
      <c r="T402" s="10">
        <v>0</v>
      </c>
      <c r="U402" s="10">
        <f t="shared" si="44"/>
        <v>0</v>
      </c>
      <c r="V402" s="11"/>
      <c r="W402" s="11">
        <v>2015</v>
      </c>
      <c r="X402" s="4">
        <v>11</v>
      </c>
    </row>
    <row r="403" spans="1:24" s="23" customFormat="1" ht="102" customHeight="1" outlineLevel="1" x14ac:dyDescent="0.2">
      <c r="A403" s="1" t="s">
        <v>7375</v>
      </c>
      <c r="B403" s="15" t="s">
        <v>5277</v>
      </c>
      <c r="C403" s="4" t="s">
        <v>1800</v>
      </c>
      <c r="D403" s="4" t="s">
        <v>5798</v>
      </c>
      <c r="E403" s="4" t="s">
        <v>5799</v>
      </c>
      <c r="F403" s="4"/>
      <c r="G403" s="4" t="s">
        <v>1888</v>
      </c>
      <c r="H403" s="22">
        <v>1</v>
      </c>
      <c r="I403" s="4">
        <v>710000000</v>
      </c>
      <c r="J403" s="4" t="s">
        <v>1931</v>
      </c>
      <c r="K403" s="4" t="s">
        <v>7338</v>
      </c>
      <c r="L403" s="4" t="s">
        <v>1889</v>
      </c>
      <c r="M403" s="8" t="s">
        <v>3195</v>
      </c>
      <c r="N403" s="4" t="s">
        <v>1890</v>
      </c>
      <c r="O403" s="8" t="s">
        <v>1935</v>
      </c>
      <c r="P403" s="4">
        <v>166</v>
      </c>
      <c r="Q403" s="4" t="s">
        <v>3324</v>
      </c>
      <c r="R403" s="10">
        <v>1509</v>
      </c>
      <c r="S403" s="10">
        <v>178.51</v>
      </c>
      <c r="T403" s="10">
        <f t="shared" ref="T403" si="135">S403*R403</f>
        <v>269371.58999999997</v>
      </c>
      <c r="U403" s="10">
        <f t="shared" ref="U403" si="136">T403*1.12</f>
        <v>301696.18079999997</v>
      </c>
      <c r="V403" s="11"/>
      <c r="W403" s="11">
        <v>2015</v>
      </c>
      <c r="X403" s="4"/>
    </row>
    <row r="404" spans="1:24" s="23" customFormat="1" ht="76.5" customHeight="1" outlineLevel="1" x14ac:dyDescent="0.2">
      <c r="A404" s="1" t="s">
        <v>4462</v>
      </c>
      <c r="B404" s="15" t="s">
        <v>5277</v>
      </c>
      <c r="C404" s="4" t="s">
        <v>1798</v>
      </c>
      <c r="D404" s="4" t="s">
        <v>5796</v>
      </c>
      <c r="E404" s="4" t="s">
        <v>5797</v>
      </c>
      <c r="F404" s="4" t="s">
        <v>1799</v>
      </c>
      <c r="G404" s="4" t="s">
        <v>1888</v>
      </c>
      <c r="H404" s="22">
        <v>1</v>
      </c>
      <c r="I404" s="4">
        <v>710000000</v>
      </c>
      <c r="J404" s="4" t="s">
        <v>1931</v>
      </c>
      <c r="K404" s="4" t="s">
        <v>5297</v>
      </c>
      <c r="L404" s="4" t="s">
        <v>1889</v>
      </c>
      <c r="M404" s="8" t="s">
        <v>3195</v>
      </c>
      <c r="N404" s="4" t="s">
        <v>1890</v>
      </c>
      <c r="O404" s="8" t="s">
        <v>1935</v>
      </c>
      <c r="P404" s="4">
        <v>166</v>
      </c>
      <c r="Q404" s="4" t="s">
        <v>3324</v>
      </c>
      <c r="R404" s="10">
        <v>155</v>
      </c>
      <c r="S404" s="10">
        <v>81.27</v>
      </c>
      <c r="T404" s="10">
        <v>0</v>
      </c>
      <c r="U404" s="10">
        <f t="shared" si="44"/>
        <v>0</v>
      </c>
      <c r="V404" s="11"/>
      <c r="W404" s="11">
        <v>2015</v>
      </c>
      <c r="X404" s="4">
        <v>11</v>
      </c>
    </row>
    <row r="405" spans="1:24" s="23" customFormat="1" ht="76.5" customHeight="1" outlineLevel="1" x14ac:dyDescent="0.2">
      <c r="A405" s="1" t="s">
        <v>7376</v>
      </c>
      <c r="B405" s="15" t="s">
        <v>5277</v>
      </c>
      <c r="C405" s="4" t="s">
        <v>1798</v>
      </c>
      <c r="D405" s="4" t="s">
        <v>5796</v>
      </c>
      <c r="E405" s="4" t="s">
        <v>5797</v>
      </c>
      <c r="F405" s="4" t="s">
        <v>1799</v>
      </c>
      <c r="G405" s="4" t="s">
        <v>1888</v>
      </c>
      <c r="H405" s="22">
        <v>1</v>
      </c>
      <c r="I405" s="4">
        <v>710000000</v>
      </c>
      <c r="J405" s="4" t="s">
        <v>1931</v>
      </c>
      <c r="K405" s="4" t="s">
        <v>7338</v>
      </c>
      <c r="L405" s="4" t="s">
        <v>1889</v>
      </c>
      <c r="M405" s="8" t="s">
        <v>3195</v>
      </c>
      <c r="N405" s="4" t="s">
        <v>1890</v>
      </c>
      <c r="O405" s="8" t="s">
        <v>1935</v>
      </c>
      <c r="P405" s="4">
        <v>166</v>
      </c>
      <c r="Q405" s="4" t="s">
        <v>3324</v>
      </c>
      <c r="R405" s="10">
        <v>155</v>
      </c>
      <c r="S405" s="10">
        <v>81.27</v>
      </c>
      <c r="T405" s="10">
        <v>0</v>
      </c>
      <c r="U405" s="10">
        <f t="shared" ref="U405" si="137">T405*1.12</f>
        <v>0</v>
      </c>
      <c r="V405" s="11"/>
      <c r="W405" s="11">
        <v>2015</v>
      </c>
      <c r="X405" s="4">
        <v>11.22</v>
      </c>
    </row>
    <row r="406" spans="1:24" s="23" customFormat="1" ht="76.5" customHeight="1" outlineLevel="1" x14ac:dyDescent="0.2">
      <c r="A406" s="1" t="s">
        <v>8435</v>
      </c>
      <c r="B406" s="15" t="s">
        <v>5277</v>
      </c>
      <c r="C406" s="4" t="s">
        <v>1798</v>
      </c>
      <c r="D406" s="4" t="s">
        <v>5796</v>
      </c>
      <c r="E406" s="4" t="s">
        <v>5797</v>
      </c>
      <c r="F406" s="4" t="s">
        <v>1799</v>
      </c>
      <c r="G406" s="4" t="s">
        <v>1888</v>
      </c>
      <c r="H406" s="22">
        <v>1</v>
      </c>
      <c r="I406" s="4">
        <v>710000000</v>
      </c>
      <c r="J406" s="4" t="s">
        <v>1931</v>
      </c>
      <c r="K406" s="4" t="s">
        <v>8400</v>
      </c>
      <c r="L406" s="4" t="s">
        <v>1889</v>
      </c>
      <c r="M406" s="8" t="s">
        <v>3195</v>
      </c>
      <c r="N406" s="4" t="s">
        <v>1890</v>
      </c>
      <c r="O406" s="8" t="s">
        <v>1935</v>
      </c>
      <c r="P406" s="4">
        <v>166</v>
      </c>
      <c r="Q406" s="4" t="s">
        <v>3324</v>
      </c>
      <c r="R406" s="10">
        <v>155</v>
      </c>
      <c r="S406" s="10">
        <v>81.27</v>
      </c>
      <c r="T406" s="10">
        <f t="shared" ref="T406" si="138">S406*R406</f>
        <v>12596.849999999999</v>
      </c>
      <c r="U406" s="10">
        <f t="shared" ref="U406" si="139">T406*1.12</f>
        <v>14108.472</v>
      </c>
      <c r="V406" s="11"/>
      <c r="W406" s="11">
        <v>2015</v>
      </c>
      <c r="X406" s="4"/>
    </row>
    <row r="407" spans="1:24" s="23" customFormat="1" ht="102" customHeight="1" outlineLevel="1" x14ac:dyDescent="0.2">
      <c r="A407" s="1" t="s">
        <v>4463</v>
      </c>
      <c r="B407" s="15" t="s">
        <v>5277</v>
      </c>
      <c r="C407" s="4" t="s">
        <v>3234</v>
      </c>
      <c r="D407" s="4" t="s">
        <v>5864</v>
      </c>
      <c r="E407" s="4" t="s">
        <v>5865</v>
      </c>
      <c r="F407" s="4"/>
      <c r="G407" s="4" t="s">
        <v>1888</v>
      </c>
      <c r="H407" s="22">
        <v>0</v>
      </c>
      <c r="I407" s="4">
        <v>710000000</v>
      </c>
      <c r="J407" s="4" t="s">
        <v>1931</v>
      </c>
      <c r="K407" s="4" t="s">
        <v>5297</v>
      </c>
      <c r="L407" s="4" t="s">
        <v>1889</v>
      </c>
      <c r="M407" s="8" t="s">
        <v>3195</v>
      </c>
      <c r="N407" s="4" t="s">
        <v>1890</v>
      </c>
      <c r="O407" s="8" t="s">
        <v>1935</v>
      </c>
      <c r="P407" s="4">
        <v>166</v>
      </c>
      <c r="Q407" s="4" t="s">
        <v>3324</v>
      </c>
      <c r="R407" s="10">
        <v>283</v>
      </c>
      <c r="S407" s="10">
        <v>224.05</v>
      </c>
      <c r="T407" s="10">
        <v>0</v>
      </c>
      <c r="U407" s="10">
        <f t="shared" si="44"/>
        <v>0</v>
      </c>
      <c r="V407" s="11"/>
      <c r="W407" s="11">
        <v>2015</v>
      </c>
      <c r="X407" s="4">
        <v>11</v>
      </c>
    </row>
    <row r="408" spans="1:24" s="23" customFormat="1" ht="102" customHeight="1" outlineLevel="1" x14ac:dyDescent="0.2">
      <c r="A408" s="1" t="s">
        <v>7377</v>
      </c>
      <c r="B408" s="15" t="s">
        <v>5277</v>
      </c>
      <c r="C408" s="4" t="s">
        <v>3234</v>
      </c>
      <c r="D408" s="4" t="s">
        <v>5864</v>
      </c>
      <c r="E408" s="4" t="s">
        <v>5865</v>
      </c>
      <c r="F408" s="4"/>
      <c r="G408" s="4" t="s">
        <v>1888</v>
      </c>
      <c r="H408" s="22">
        <v>0</v>
      </c>
      <c r="I408" s="4">
        <v>710000000</v>
      </c>
      <c r="J408" s="4" t="s">
        <v>1931</v>
      </c>
      <c r="K408" s="4" t="s">
        <v>7338</v>
      </c>
      <c r="L408" s="4" t="s">
        <v>1889</v>
      </c>
      <c r="M408" s="8" t="s">
        <v>3195</v>
      </c>
      <c r="N408" s="4" t="s">
        <v>1890</v>
      </c>
      <c r="O408" s="8" t="s">
        <v>1935</v>
      </c>
      <c r="P408" s="4">
        <v>166</v>
      </c>
      <c r="Q408" s="4" t="s">
        <v>3324</v>
      </c>
      <c r="R408" s="10">
        <v>283</v>
      </c>
      <c r="S408" s="10">
        <v>224.05</v>
      </c>
      <c r="T408" s="10">
        <v>0</v>
      </c>
      <c r="U408" s="10">
        <f t="shared" ref="U408" si="140">T408*1.12</f>
        <v>0</v>
      </c>
      <c r="V408" s="11"/>
      <c r="W408" s="11">
        <v>2015</v>
      </c>
      <c r="X408" s="4">
        <v>11.22</v>
      </c>
    </row>
    <row r="409" spans="1:24" s="23" customFormat="1" ht="102" customHeight="1" outlineLevel="1" x14ac:dyDescent="0.2">
      <c r="A409" s="1" t="s">
        <v>8436</v>
      </c>
      <c r="B409" s="15" t="s">
        <v>5277</v>
      </c>
      <c r="C409" s="4" t="s">
        <v>3234</v>
      </c>
      <c r="D409" s="4" t="s">
        <v>5864</v>
      </c>
      <c r="E409" s="4" t="s">
        <v>5865</v>
      </c>
      <c r="F409" s="4"/>
      <c r="G409" s="4" t="s">
        <v>1888</v>
      </c>
      <c r="H409" s="22">
        <v>0</v>
      </c>
      <c r="I409" s="4">
        <v>710000000</v>
      </c>
      <c r="J409" s="4" t="s">
        <v>1931</v>
      </c>
      <c r="K409" s="4" t="s">
        <v>8400</v>
      </c>
      <c r="L409" s="4" t="s">
        <v>1889</v>
      </c>
      <c r="M409" s="8" t="s">
        <v>3195</v>
      </c>
      <c r="N409" s="4" t="s">
        <v>1890</v>
      </c>
      <c r="O409" s="8" t="s">
        <v>1935</v>
      </c>
      <c r="P409" s="4">
        <v>166</v>
      </c>
      <c r="Q409" s="4" t="s">
        <v>3324</v>
      </c>
      <c r="R409" s="10">
        <v>283</v>
      </c>
      <c r="S409" s="10">
        <v>224.05</v>
      </c>
      <c r="T409" s="10">
        <f t="shared" ref="T409" si="141">S409*R409</f>
        <v>63406.15</v>
      </c>
      <c r="U409" s="10">
        <f t="shared" ref="U409" si="142">T409*1.12</f>
        <v>71014.888000000006</v>
      </c>
      <c r="V409" s="11"/>
      <c r="W409" s="11">
        <v>2015</v>
      </c>
      <c r="X409" s="4"/>
    </row>
    <row r="410" spans="1:24" s="23" customFormat="1" ht="76.5" customHeight="1" outlineLevel="1" x14ac:dyDescent="0.2">
      <c r="A410" s="1" t="s">
        <v>4464</v>
      </c>
      <c r="B410" s="15" t="s">
        <v>5277</v>
      </c>
      <c r="C410" s="4" t="s">
        <v>3206</v>
      </c>
      <c r="D410" s="4" t="s">
        <v>5819</v>
      </c>
      <c r="E410" s="4" t="s">
        <v>5820</v>
      </c>
      <c r="F410" s="4"/>
      <c r="G410" s="4" t="s">
        <v>1888</v>
      </c>
      <c r="H410" s="22">
        <v>1</v>
      </c>
      <c r="I410" s="4">
        <v>710000000</v>
      </c>
      <c r="J410" s="4" t="s">
        <v>1931</v>
      </c>
      <c r="K410" s="4" t="s">
        <v>5297</v>
      </c>
      <c r="L410" s="4" t="s">
        <v>1889</v>
      </c>
      <c r="M410" s="8" t="s">
        <v>3195</v>
      </c>
      <c r="N410" s="4" t="s">
        <v>1890</v>
      </c>
      <c r="O410" s="8" t="s">
        <v>1935</v>
      </c>
      <c r="P410" s="4">
        <v>112</v>
      </c>
      <c r="Q410" s="4" t="s">
        <v>3026</v>
      </c>
      <c r="R410" s="10">
        <v>6846</v>
      </c>
      <c r="S410" s="10">
        <v>446.43</v>
      </c>
      <c r="T410" s="10">
        <v>0</v>
      </c>
      <c r="U410" s="10">
        <f t="shared" si="44"/>
        <v>0</v>
      </c>
      <c r="V410" s="11"/>
      <c r="W410" s="11">
        <v>2015</v>
      </c>
      <c r="X410" s="4">
        <v>11</v>
      </c>
    </row>
    <row r="411" spans="1:24" s="23" customFormat="1" ht="76.5" customHeight="1" outlineLevel="1" x14ac:dyDescent="0.2">
      <c r="A411" s="1" t="s">
        <v>7378</v>
      </c>
      <c r="B411" s="15" t="s">
        <v>5277</v>
      </c>
      <c r="C411" s="4" t="s">
        <v>3206</v>
      </c>
      <c r="D411" s="4" t="s">
        <v>5819</v>
      </c>
      <c r="E411" s="4" t="s">
        <v>5820</v>
      </c>
      <c r="F411" s="4"/>
      <c r="G411" s="4" t="s">
        <v>1888</v>
      </c>
      <c r="H411" s="22">
        <v>1</v>
      </c>
      <c r="I411" s="4">
        <v>710000000</v>
      </c>
      <c r="J411" s="4" t="s">
        <v>1931</v>
      </c>
      <c r="K411" s="4" t="s">
        <v>7338</v>
      </c>
      <c r="L411" s="4" t="s">
        <v>1889</v>
      </c>
      <c r="M411" s="8" t="s">
        <v>3195</v>
      </c>
      <c r="N411" s="4" t="s">
        <v>1890</v>
      </c>
      <c r="O411" s="8" t="s">
        <v>1935</v>
      </c>
      <c r="P411" s="4">
        <v>112</v>
      </c>
      <c r="Q411" s="4" t="s">
        <v>3026</v>
      </c>
      <c r="R411" s="10">
        <v>6846</v>
      </c>
      <c r="S411" s="10">
        <v>446.43</v>
      </c>
      <c r="T411" s="10">
        <f t="shared" ref="T411" si="143">S411*R411</f>
        <v>3056259.7800000003</v>
      </c>
      <c r="U411" s="10">
        <f t="shared" ref="U411" si="144">T411*1.12</f>
        <v>3423010.9536000006</v>
      </c>
      <c r="V411" s="11"/>
      <c r="W411" s="11">
        <v>2015</v>
      </c>
      <c r="X411" s="4"/>
    </row>
    <row r="412" spans="1:24" s="23" customFormat="1" ht="191.25" customHeight="1" outlineLevel="1" x14ac:dyDescent="0.2">
      <c r="A412" s="1" t="s">
        <v>4465</v>
      </c>
      <c r="B412" s="15" t="s">
        <v>5277</v>
      </c>
      <c r="C412" s="4" t="s">
        <v>3211</v>
      </c>
      <c r="D412" s="4" t="s">
        <v>5830</v>
      </c>
      <c r="E412" s="4" t="s">
        <v>5831</v>
      </c>
      <c r="F412" s="4"/>
      <c r="G412" s="4" t="s">
        <v>1888</v>
      </c>
      <c r="H412" s="22">
        <v>1</v>
      </c>
      <c r="I412" s="4">
        <v>710000000</v>
      </c>
      <c r="J412" s="4" t="s">
        <v>1931</v>
      </c>
      <c r="K412" s="4" t="s">
        <v>5297</v>
      </c>
      <c r="L412" s="4" t="s">
        <v>1889</v>
      </c>
      <c r="M412" s="8" t="s">
        <v>3195</v>
      </c>
      <c r="N412" s="4" t="s">
        <v>1890</v>
      </c>
      <c r="O412" s="8" t="s">
        <v>1935</v>
      </c>
      <c r="P412" s="4">
        <v>166</v>
      </c>
      <c r="Q412" s="4" t="s">
        <v>3324</v>
      </c>
      <c r="R412" s="10">
        <v>4158</v>
      </c>
      <c r="S412" s="10">
        <v>446.3</v>
      </c>
      <c r="T412" s="10">
        <v>0</v>
      </c>
      <c r="U412" s="10">
        <f t="shared" si="44"/>
        <v>0</v>
      </c>
      <c r="V412" s="11"/>
      <c r="W412" s="11">
        <v>2015</v>
      </c>
      <c r="X412" s="4">
        <v>11</v>
      </c>
    </row>
    <row r="413" spans="1:24" s="23" customFormat="1" ht="191.25" customHeight="1" outlineLevel="1" x14ac:dyDescent="0.2">
      <c r="A413" s="1" t="s">
        <v>7379</v>
      </c>
      <c r="B413" s="15" t="s">
        <v>5277</v>
      </c>
      <c r="C413" s="4" t="s">
        <v>3211</v>
      </c>
      <c r="D413" s="4" t="s">
        <v>5830</v>
      </c>
      <c r="E413" s="4" t="s">
        <v>5831</v>
      </c>
      <c r="F413" s="4"/>
      <c r="G413" s="4" t="s">
        <v>1888</v>
      </c>
      <c r="H413" s="22">
        <v>1</v>
      </c>
      <c r="I413" s="4">
        <v>710000000</v>
      </c>
      <c r="J413" s="4" t="s">
        <v>1931</v>
      </c>
      <c r="K413" s="4" t="s">
        <v>7338</v>
      </c>
      <c r="L413" s="4" t="s">
        <v>1889</v>
      </c>
      <c r="M413" s="8" t="s">
        <v>3195</v>
      </c>
      <c r="N413" s="4" t="s">
        <v>1890</v>
      </c>
      <c r="O413" s="8" t="s">
        <v>1935</v>
      </c>
      <c r="P413" s="4">
        <v>166</v>
      </c>
      <c r="Q413" s="4" t="s">
        <v>3324</v>
      </c>
      <c r="R413" s="10">
        <v>4158</v>
      </c>
      <c r="S413" s="10">
        <v>446.3</v>
      </c>
      <c r="T413" s="10">
        <f t="shared" ref="T413" si="145">S413*R413</f>
        <v>1855715.4000000001</v>
      </c>
      <c r="U413" s="10">
        <f t="shared" ref="U413" si="146">T413*1.12</f>
        <v>2078401.2480000004</v>
      </c>
      <c r="V413" s="11"/>
      <c r="W413" s="11">
        <v>2015</v>
      </c>
      <c r="X413" s="4"/>
    </row>
    <row r="414" spans="1:24" s="23" customFormat="1" ht="76.5" customHeight="1" outlineLevel="1" x14ac:dyDescent="0.2">
      <c r="A414" s="1" t="s">
        <v>4466</v>
      </c>
      <c r="B414" s="15" t="s">
        <v>5277</v>
      </c>
      <c r="C414" s="4" t="s">
        <v>1906</v>
      </c>
      <c r="D414" s="4" t="s">
        <v>1907</v>
      </c>
      <c r="E414" s="4" t="s">
        <v>1908</v>
      </c>
      <c r="F414" s="4"/>
      <c r="G414" s="4" t="s">
        <v>1888</v>
      </c>
      <c r="H414" s="22">
        <v>1</v>
      </c>
      <c r="I414" s="4">
        <v>710000000</v>
      </c>
      <c r="J414" s="4" t="s">
        <v>1931</v>
      </c>
      <c r="K414" s="4" t="s">
        <v>5297</v>
      </c>
      <c r="L414" s="4" t="s">
        <v>1889</v>
      </c>
      <c r="M414" s="8" t="s">
        <v>3195</v>
      </c>
      <c r="N414" s="4" t="s">
        <v>1890</v>
      </c>
      <c r="O414" s="8" t="s">
        <v>1935</v>
      </c>
      <c r="P414" s="4">
        <v>166</v>
      </c>
      <c r="Q414" s="4" t="s">
        <v>3324</v>
      </c>
      <c r="R414" s="10">
        <v>41</v>
      </c>
      <c r="S414" s="10">
        <v>495.85</v>
      </c>
      <c r="T414" s="10">
        <v>0</v>
      </c>
      <c r="U414" s="10">
        <f t="shared" si="44"/>
        <v>0</v>
      </c>
      <c r="V414" s="11"/>
      <c r="W414" s="11">
        <v>2015</v>
      </c>
      <c r="X414" s="4">
        <v>11</v>
      </c>
    </row>
    <row r="415" spans="1:24" s="23" customFormat="1" ht="76.5" customHeight="1" outlineLevel="1" x14ac:dyDescent="0.2">
      <c r="A415" s="1" t="s">
        <v>7380</v>
      </c>
      <c r="B415" s="15" t="s">
        <v>5277</v>
      </c>
      <c r="C415" s="4" t="s">
        <v>1906</v>
      </c>
      <c r="D415" s="4" t="s">
        <v>1907</v>
      </c>
      <c r="E415" s="4" t="s">
        <v>1908</v>
      </c>
      <c r="F415" s="4"/>
      <c r="G415" s="4" t="s">
        <v>1888</v>
      </c>
      <c r="H415" s="22">
        <v>1</v>
      </c>
      <c r="I415" s="4">
        <v>710000000</v>
      </c>
      <c r="J415" s="4" t="s">
        <v>1931</v>
      </c>
      <c r="K415" s="4" t="s">
        <v>7338</v>
      </c>
      <c r="L415" s="4" t="s">
        <v>1889</v>
      </c>
      <c r="M415" s="8" t="s">
        <v>3195</v>
      </c>
      <c r="N415" s="4" t="s">
        <v>1890</v>
      </c>
      <c r="O415" s="8" t="s">
        <v>1935</v>
      </c>
      <c r="P415" s="4">
        <v>166</v>
      </c>
      <c r="Q415" s="4" t="s">
        <v>3324</v>
      </c>
      <c r="R415" s="10">
        <v>41</v>
      </c>
      <c r="S415" s="10">
        <v>495.85</v>
      </c>
      <c r="T415" s="10">
        <v>0</v>
      </c>
      <c r="U415" s="10">
        <f t="shared" ref="U415" si="147">T415*1.12</f>
        <v>0</v>
      </c>
      <c r="V415" s="11"/>
      <c r="W415" s="11">
        <v>2015</v>
      </c>
      <c r="X415" s="4">
        <v>11.22</v>
      </c>
    </row>
    <row r="416" spans="1:24" s="23" customFormat="1" ht="76.5" customHeight="1" outlineLevel="1" x14ac:dyDescent="0.2">
      <c r="A416" s="1" t="s">
        <v>8437</v>
      </c>
      <c r="B416" s="15" t="s">
        <v>5277</v>
      </c>
      <c r="C416" s="4" t="s">
        <v>1906</v>
      </c>
      <c r="D416" s="4" t="s">
        <v>1907</v>
      </c>
      <c r="E416" s="4" t="s">
        <v>1908</v>
      </c>
      <c r="F416" s="4"/>
      <c r="G416" s="4" t="s">
        <v>1888</v>
      </c>
      <c r="H416" s="22">
        <v>1</v>
      </c>
      <c r="I416" s="4">
        <v>710000000</v>
      </c>
      <c r="J416" s="4" t="s">
        <v>1931</v>
      </c>
      <c r="K416" s="4" t="s">
        <v>8400</v>
      </c>
      <c r="L416" s="4" t="s">
        <v>1889</v>
      </c>
      <c r="M416" s="8" t="s">
        <v>3195</v>
      </c>
      <c r="N416" s="4" t="s">
        <v>1890</v>
      </c>
      <c r="O416" s="8" t="s">
        <v>1935</v>
      </c>
      <c r="P416" s="4">
        <v>166</v>
      </c>
      <c r="Q416" s="4" t="s">
        <v>3324</v>
      </c>
      <c r="R416" s="10">
        <v>41</v>
      </c>
      <c r="S416" s="10">
        <v>495.85</v>
      </c>
      <c r="T416" s="10">
        <f t="shared" ref="T416" si="148">S416*R416</f>
        <v>20329.850000000002</v>
      </c>
      <c r="U416" s="10">
        <f t="shared" ref="U416" si="149">T416*1.12</f>
        <v>22769.432000000004</v>
      </c>
      <c r="V416" s="11"/>
      <c r="W416" s="11">
        <v>2015</v>
      </c>
      <c r="X416" s="4"/>
    </row>
    <row r="417" spans="1:24" s="23" customFormat="1" ht="140.25" customHeight="1" outlineLevel="1" x14ac:dyDescent="0.2">
      <c r="A417" s="1" t="s">
        <v>4467</v>
      </c>
      <c r="B417" s="15" t="s">
        <v>5277</v>
      </c>
      <c r="C417" s="4" t="s">
        <v>3240</v>
      </c>
      <c r="D417" s="4" t="s">
        <v>5874</v>
      </c>
      <c r="E417" s="4" t="s">
        <v>5875</v>
      </c>
      <c r="F417" s="4"/>
      <c r="G417" s="4" t="s">
        <v>1888</v>
      </c>
      <c r="H417" s="22">
        <v>0</v>
      </c>
      <c r="I417" s="4">
        <v>710000000</v>
      </c>
      <c r="J417" s="4" t="s">
        <v>1931</v>
      </c>
      <c r="K417" s="4" t="s">
        <v>5297</v>
      </c>
      <c r="L417" s="4" t="s">
        <v>1889</v>
      </c>
      <c r="M417" s="8" t="s">
        <v>3195</v>
      </c>
      <c r="N417" s="4" t="s">
        <v>1890</v>
      </c>
      <c r="O417" s="8" t="s">
        <v>1935</v>
      </c>
      <c r="P417" s="4">
        <v>166</v>
      </c>
      <c r="Q417" s="4" t="s">
        <v>3324</v>
      </c>
      <c r="R417" s="10">
        <v>87</v>
      </c>
      <c r="S417" s="10">
        <v>312.5</v>
      </c>
      <c r="T417" s="10">
        <v>0</v>
      </c>
      <c r="U417" s="10">
        <f t="shared" si="44"/>
        <v>0</v>
      </c>
      <c r="V417" s="11"/>
      <c r="W417" s="11">
        <v>2015</v>
      </c>
      <c r="X417" s="4" t="s">
        <v>6582</v>
      </c>
    </row>
    <row r="418" spans="1:24" s="23" customFormat="1" ht="140.25" customHeight="1" outlineLevel="1" x14ac:dyDescent="0.2">
      <c r="A418" s="1" t="s">
        <v>6942</v>
      </c>
      <c r="B418" s="15" t="s">
        <v>5277</v>
      </c>
      <c r="C418" s="4" t="s">
        <v>3240</v>
      </c>
      <c r="D418" s="4" t="s">
        <v>5874</v>
      </c>
      <c r="E418" s="4" t="s">
        <v>5875</v>
      </c>
      <c r="F418" s="4"/>
      <c r="G418" s="4" t="s">
        <v>1888</v>
      </c>
      <c r="H418" s="22">
        <v>0</v>
      </c>
      <c r="I418" s="4">
        <v>710000000</v>
      </c>
      <c r="J418" s="4" t="s">
        <v>1931</v>
      </c>
      <c r="K418" s="4" t="s">
        <v>5297</v>
      </c>
      <c r="L418" s="4" t="s">
        <v>1889</v>
      </c>
      <c r="M418" s="8" t="s">
        <v>3195</v>
      </c>
      <c r="N418" s="4" t="s">
        <v>1890</v>
      </c>
      <c r="O418" s="8" t="s">
        <v>1935</v>
      </c>
      <c r="P418" s="4">
        <v>166</v>
      </c>
      <c r="Q418" s="4" t="s">
        <v>3324</v>
      </c>
      <c r="R418" s="10">
        <v>87</v>
      </c>
      <c r="S418" s="10">
        <v>600.84</v>
      </c>
      <c r="T418" s="10">
        <v>0</v>
      </c>
      <c r="U418" s="10">
        <f t="shared" ref="U418" si="150">T418*1.12</f>
        <v>0</v>
      </c>
      <c r="V418" s="11"/>
      <c r="W418" s="11">
        <v>2015</v>
      </c>
      <c r="X418" s="4">
        <v>11</v>
      </c>
    </row>
    <row r="419" spans="1:24" s="23" customFormat="1" ht="140.25" customHeight="1" outlineLevel="1" x14ac:dyDescent="0.2">
      <c r="A419" s="1" t="s">
        <v>7381</v>
      </c>
      <c r="B419" s="15" t="s">
        <v>5277</v>
      </c>
      <c r="C419" s="4" t="s">
        <v>3240</v>
      </c>
      <c r="D419" s="4" t="s">
        <v>5874</v>
      </c>
      <c r="E419" s="4" t="s">
        <v>5875</v>
      </c>
      <c r="F419" s="4"/>
      <c r="G419" s="4" t="s">
        <v>1888</v>
      </c>
      <c r="H419" s="22">
        <v>0</v>
      </c>
      <c r="I419" s="4">
        <v>710000000</v>
      </c>
      <c r="J419" s="4" t="s">
        <v>1931</v>
      </c>
      <c r="K419" s="4" t="s">
        <v>7338</v>
      </c>
      <c r="L419" s="4" t="s">
        <v>1889</v>
      </c>
      <c r="M419" s="8" t="s">
        <v>3195</v>
      </c>
      <c r="N419" s="4" t="s">
        <v>1890</v>
      </c>
      <c r="O419" s="8" t="s">
        <v>1935</v>
      </c>
      <c r="P419" s="4">
        <v>166</v>
      </c>
      <c r="Q419" s="4" t="s">
        <v>3324</v>
      </c>
      <c r="R419" s="10">
        <v>87</v>
      </c>
      <c r="S419" s="10">
        <v>600.84</v>
      </c>
      <c r="T419" s="10">
        <f t="shared" ref="T419" si="151">S419*R419</f>
        <v>52273.08</v>
      </c>
      <c r="U419" s="10">
        <f t="shared" ref="U419" si="152">T419*1.12</f>
        <v>58545.849600000009</v>
      </c>
      <c r="V419" s="11"/>
      <c r="W419" s="11">
        <v>2015</v>
      </c>
      <c r="X419" s="4"/>
    </row>
    <row r="420" spans="1:24" s="23" customFormat="1" ht="76.5" customHeight="1" outlineLevel="1" x14ac:dyDescent="0.2">
      <c r="A420" s="1" t="s">
        <v>4468</v>
      </c>
      <c r="B420" s="15" t="s">
        <v>5277</v>
      </c>
      <c r="C420" s="4" t="s">
        <v>2967</v>
      </c>
      <c r="D420" s="4" t="s">
        <v>2968</v>
      </c>
      <c r="E420" s="4" t="s">
        <v>5878</v>
      </c>
      <c r="F420" s="4" t="s">
        <v>2969</v>
      </c>
      <c r="G420" s="4" t="s">
        <v>1888</v>
      </c>
      <c r="H420" s="22">
        <v>0</v>
      </c>
      <c r="I420" s="4">
        <v>710000000</v>
      </c>
      <c r="J420" s="4" t="s">
        <v>1931</v>
      </c>
      <c r="K420" s="4" t="s">
        <v>5297</v>
      </c>
      <c r="L420" s="4" t="s">
        <v>1889</v>
      </c>
      <c r="M420" s="8" t="s">
        <v>3195</v>
      </c>
      <c r="N420" s="4" t="s">
        <v>1890</v>
      </c>
      <c r="O420" s="8" t="s">
        <v>1935</v>
      </c>
      <c r="P420" s="4">
        <v>166</v>
      </c>
      <c r="Q420" s="4" t="s">
        <v>3324</v>
      </c>
      <c r="R420" s="10">
        <v>130</v>
      </c>
      <c r="S420" s="10">
        <v>606.64</v>
      </c>
      <c r="T420" s="10">
        <v>0</v>
      </c>
      <c r="U420" s="10">
        <f t="shared" si="44"/>
        <v>0</v>
      </c>
      <c r="V420" s="11"/>
      <c r="W420" s="11">
        <v>2015</v>
      </c>
      <c r="X420" s="4">
        <v>11</v>
      </c>
    </row>
    <row r="421" spans="1:24" s="23" customFormat="1" ht="76.5" customHeight="1" outlineLevel="1" x14ac:dyDescent="0.2">
      <c r="A421" s="1" t="s">
        <v>7411</v>
      </c>
      <c r="B421" s="15" t="s">
        <v>5277</v>
      </c>
      <c r="C421" s="4" t="s">
        <v>2967</v>
      </c>
      <c r="D421" s="4" t="s">
        <v>2968</v>
      </c>
      <c r="E421" s="4" t="s">
        <v>5878</v>
      </c>
      <c r="F421" s="4" t="s">
        <v>2969</v>
      </c>
      <c r="G421" s="4" t="s">
        <v>1888</v>
      </c>
      <c r="H421" s="22">
        <v>0</v>
      </c>
      <c r="I421" s="4">
        <v>710000000</v>
      </c>
      <c r="J421" s="4" t="s">
        <v>1931</v>
      </c>
      <c r="K421" s="4" t="s">
        <v>7338</v>
      </c>
      <c r="L421" s="4" t="s">
        <v>1889</v>
      </c>
      <c r="M421" s="8" t="s">
        <v>3195</v>
      </c>
      <c r="N421" s="4" t="s">
        <v>1890</v>
      </c>
      <c r="O421" s="8" t="s">
        <v>1935</v>
      </c>
      <c r="P421" s="4">
        <v>166</v>
      </c>
      <c r="Q421" s="4" t="s">
        <v>3324</v>
      </c>
      <c r="R421" s="10">
        <v>130</v>
      </c>
      <c r="S421" s="10">
        <v>606.64</v>
      </c>
      <c r="T421" s="10">
        <f t="shared" ref="T421" si="153">S421*R421</f>
        <v>78863.199999999997</v>
      </c>
      <c r="U421" s="10">
        <f t="shared" ref="U421" si="154">T421*1.12</f>
        <v>88326.784</v>
      </c>
      <c r="V421" s="11"/>
      <c r="W421" s="11">
        <v>2015</v>
      </c>
      <c r="X421" s="4"/>
    </row>
    <row r="422" spans="1:24" s="23" customFormat="1" ht="76.5" customHeight="1" outlineLevel="1" x14ac:dyDescent="0.2">
      <c r="A422" s="1" t="s">
        <v>4469</v>
      </c>
      <c r="B422" s="15" t="s">
        <v>5277</v>
      </c>
      <c r="C422" s="4" t="s">
        <v>3559</v>
      </c>
      <c r="D422" s="4" t="s">
        <v>5901</v>
      </c>
      <c r="E422" s="4" t="s">
        <v>5902</v>
      </c>
      <c r="F422" s="4" t="s">
        <v>3558</v>
      </c>
      <c r="G422" s="4" t="s">
        <v>1888</v>
      </c>
      <c r="H422" s="22">
        <v>1</v>
      </c>
      <c r="I422" s="4">
        <v>710000000</v>
      </c>
      <c r="J422" s="4" t="s">
        <v>1931</v>
      </c>
      <c r="K422" s="4" t="s">
        <v>5297</v>
      </c>
      <c r="L422" s="4" t="s">
        <v>1889</v>
      </c>
      <c r="M422" s="8" t="s">
        <v>3195</v>
      </c>
      <c r="N422" s="4" t="s">
        <v>1890</v>
      </c>
      <c r="O422" s="8" t="s">
        <v>1935</v>
      </c>
      <c r="P422" s="4">
        <v>166</v>
      </c>
      <c r="Q422" s="4" t="s">
        <v>3324</v>
      </c>
      <c r="R422" s="10">
        <v>5059</v>
      </c>
      <c r="S422" s="10">
        <v>104.34</v>
      </c>
      <c r="T422" s="10">
        <v>0</v>
      </c>
      <c r="U422" s="10">
        <f t="shared" si="44"/>
        <v>0</v>
      </c>
      <c r="V422" s="11"/>
      <c r="W422" s="11">
        <v>2015</v>
      </c>
      <c r="X422" s="4">
        <v>11</v>
      </c>
    </row>
    <row r="423" spans="1:24" s="23" customFormat="1" ht="76.5" customHeight="1" outlineLevel="1" x14ac:dyDescent="0.2">
      <c r="A423" s="1" t="s">
        <v>7412</v>
      </c>
      <c r="B423" s="15" t="s">
        <v>5277</v>
      </c>
      <c r="C423" s="4" t="s">
        <v>3559</v>
      </c>
      <c r="D423" s="4" t="s">
        <v>5901</v>
      </c>
      <c r="E423" s="4" t="s">
        <v>5902</v>
      </c>
      <c r="F423" s="4" t="s">
        <v>3558</v>
      </c>
      <c r="G423" s="4" t="s">
        <v>1888</v>
      </c>
      <c r="H423" s="22">
        <v>1</v>
      </c>
      <c r="I423" s="4">
        <v>710000000</v>
      </c>
      <c r="J423" s="4" t="s">
        <v>1931</v>
      </c>
      <c r="K423" s="4" t="s">
        <v>7338</v>
      </c>
      <c r="L423" s="4" t="s">
        <v>1889</v>
      </c>
      <c r="M423" s="8" t="s">
        <v>3195</v>
      </c>
      <c r="N423" s="4" t="s">
        <v>1890</v>
      </c>
      <c r="O423" s="8" t="s">
        <v>1935</v>
      </c>
      <c r="P423" s="4">
        <v>166</v>
      </c>
      <c r="Q423" s="4" t="s">
        <v>3324</v>
      </c>
      <c r="R423" s="10">
        <v>5059</v>
      </c>
      <c r="S423" s="10">
        <v>104.34</v>
      </c>
      <c r="T423" s="10">
        <f t="shared" ref="T423" si="155">S423*R423</f>
        <v>527856.06000000006</v>
      </c>
      <c r="U423" s="10">
        <f t="shared" ref="U423" si="156">T423*1.12</f>
        <v>591198.78720000014</v>
      </c>
      <c r="V423" s="11"/>
      <c r="W423" s="11">
        <v>2015</v>
      </c>
      <c r="X423" s="4"/>
    </row>
    <row r="424" spans="1:24" s="23" customFormat="1" ht="89.25" customHeight="1" outlineLevel="1" x14ac:dyDescent="0.2">
      <c r="A424" s="1" t="s">
        <v>4470</v>
      </c>
      <c r="B424" s="15" t="s">
        <v>5277</v>
      </c>
      <c r="C424" s="4" t="s">
        <v>3879</v>
      </c>
      <c r="D424" s="4" t="s">
        <v>1785</v>
      </c>
      <c r="E424" s="4" t="s">
        <v>5776</v>
      </c>
      <c r="F424" s="4" t="s">
        <v>5777</v>
      </c>
      <c r="G424" s="4" t="s">
        <v>1888</v>
      </c>
      <c r="H424" s="22">
        <v>1</v>
      </c>
      <c r="I424" s="4">
        <v>710000000</v>
      </c>
      <c r="J424" s="4" t="s">
        <v>1931</v>
      </c>
      <c r="K424" s="4" t="s">
        <v>5297</v>
      </c>
      <c r="L424" s="4" t="s">
        <v>1889</v>
      </c>
      <c r="M424" s="8" t="s">
        <v>3195</v>
      </c>
      <c r="N424" s="4" t="s">
        <v>1890</v>
      </c>
      <c r="O424" s="8" t="s">
        <v>1935</v>
      </c>
      <c r="P424" s="4">
        <v>166</v>
      </c>
      <c r="Q424" s="4" t="s">
        <v>3324</v>
      </c>
      <c r="R424" s="10">
        <v>918</v>
      </c>
      <c r="S424" s="10">
        <v>293.45999999999998</v>
      </c>
      <c r="T424" s="10">
        <v>0</v>
      </c>
      <c r="U424" s="10">
        <f t="shared" si="44"/>
        <v>0</v>
      </c>
      <c r="V424" s="11"/>
      <c r="W424" s="11">
        <v>2015</v>
      </c>
      <c r="X424" s="4" t="s">
        <v>6562</v>
      </c>
    </row>
    <row r="425" spans="1:24" s="23" customFormat="1" ht="89.25" customHeight="1" outlineLevel="1" x14ac:dyDescent="0.2">
      <c r="A425" s="1" t="s">
        <v>6938</v>
      </c>
      <c r="B425" s="15" t="s">
        <v>5277</v>
      </c>
      <c r="C425" s="4" t="s">
        <v>3879</v>
      </c>
      <c r="D425" s="4" t="s">
        <v>1785</v>
      </c>
      <c r="E425" s="4" t="s">
        <v>5776</v>
      </c>
      <c r="F425" s="4" t="s">
        <v>5777</v>
      </c>
      <c r="G425" s="4" t="s">
        <v>1888</v>
      </c>
      <c r="H425" s="22">
        <v>1</v>
      </c>
      <c r="I425" s="4">
        <v>710000000</v>
      </c>
      <c r="J425" s="4" t="s">
        <v>1931</v>
      </c>
      <c r="K425" s="4" t="s">
        <v>5297</v>
      </c>
      <c r="L425" s="4" t="s">
        <v>1889</v>
      </c>
      <c r="M425" s="8" t="s">
        <v>3195</v>
      </c>
      <c r="N425" s="4" t="s">
        <v>1890</v>
      </c>
      <c r="O425" s="8" t="s">
        <v>1935</v>
      </c>
      <c r="P425" s="4">
        <v>166</v>
      </c>
      <c r="Q425" s="4" t="s">
        <v>3324</v>
      </c>
      <c r="R425" s="10">
        <v>1277</v>
      </c>
      <c r="S425" s="10">
        <v>293.45999999999998</v>
      </c>
      <c r="T425" s="10">
        <v>0</v>
      </c>
      <c r="U425" s="10">
        <f t="shared" ref="U425" si="157">T425*1.12</f>
        <v>0</v>
      </c>
      <c r="V425" s="11"/>
      <c r="W425" s="11">
        <v>2015</v>
      </c>
      <c r="X425" s="4">
        <v>11</v>
      </c>
    </row>
    <row r="426" spans="1:24" s="23" customFormat="1" ht="89.25" customHeight="1" outlineLevel="1" x14ac:dyDescent="0.2">
      <c r="A426" s="1" t="s">
        <v>7413</v>
      </c>
      <c r="B426" s="15" t="s">
        <v>5277</v>
      </c>
      <c r="C426" s="4" t="s">
        <v>3879</v>
      </c>
      <c r="D426" s="4" t="s">
        <v>1785</v>
      </c>
      <c r="E426" s="4" t="s">
        <v>5776</v>
      </c>
      <c r="F426" s="4" t="s">
        <v>5777</v>
      </c>
      <c r="G426" s="4" t="s">
        <v>1888</v>
      </c>
      <c r="H426" s="22">
        <v>1</v>
      </c>
      <c r="I426" s="4">
        <v>710000000</v>
      </c>
      <c r="J426" s="4" t="s">
        <v>1931</v>
      </c>
      <c r="K426" s="4" t="s">
        <v>7338</v>
      </c>
      <c r="L426" s="4" t="s">
        <v>1889</v>
      </c>
      <c r="M426" s="8" t="s">
        <v>3195</v>
      </c>
      <c r="N426" s="4" t="s">
        <v>1890</v>
      </c>
      <c r="O426" s="8" t="s">
        <v>1935</v>
      </c>
      <c r="P426" s="4">
        <v>166</v>
      </c>
      <c r="Q426" s="4" t="s">
        <v>3324</v>
      </c>
      <c r="R426" s="10">
        <v>1277</v>
      </c>
      <c r="S426" s="10">
        <v>293.45999999999998</v>
      </c>
      <c r="T426" s="10">
        <f t="shared" ref="T426" si="158">S426*R426</f>
        <v>374748.42</v>
      </c>
      <c r="U426" s="10">
        <f t="shared" ref="U426" si="159">T426*1.12</f>
        <v>419718.2304</v>
      </c>
      <c r="V426" s="11"/>
      <c r="W426" s="11">
        <v>2015</v>
      </c>
      <c r="X426" s="4"/>
    </row>
    <row r="427" spans="1:24" s="23" customFormat="1" ht="76.5" customHeight="1" outlineLevel="1" x14ac:dyDescent="0.2">
      <c r="A427" s="1" t="s">
        <v>4471</v>
      </c>
      <c r="B427" s="15" t="s">
        <v>5277</v>
      </c>
      <c r="C427" s="4" t="s">
        <v>3222</v>
      </c>
      <c r="D427" s="4" t="s">
        <v>5844</v>
      </c>
      <c r="E427" s="4" t="s">
        <v>5845</v>
      </c>
      <c r="F427" s="4"/>
      <c r="G427" s="4" t="s">
        <v>1888</v>
      </c>
      <c r="H427" s="22">
        <v>0</v>
      </c>
      <c r="I427" s="4">
        <v>710000000</v>
      </c>
      <c r="J427" s="4" t="s">
        <v>1931</v>
      </c>
      <c r="K427" s="4" t="s">
        <v>5297</v>
      </c>
      <c r="L427" s="4" t="s">
        <v>1889</v>
      </c>
      <c r="M427" s="8" t="s">
        <v>3195</v>
      </c>
      <c r="N427" s="4" t="s">
        <v>1890</v>
      </c>
      <c r="O427" s="8" t="s">
        <v>1935</v>
      </c>
      <c r="P427" s="4">
        <v>166</v>
      </c>
      <c r="Q427" s="4" t="s">
        <v>3324</v>
      </c>
      <c r="R427" s="10">
        <v>785</v>
      </c>
      <c r="S427" s="10">
        <v>176.38</v>
      </c>
      <c r="T427" s="10">
        <v>0</v>
      </c>
      <c r="U427" s="10">
        <f t="shared" si="44"/>
        <v>0</v>
      </c>
      <c r="V427" s="11"/>
      <c r="W427" s="11">
        <v>2015</v>
      </c>
      <c r="X427" s="4" t="s">
        <v>6562</v>
      </c>
    </row>
    <row r="428" spans="1:24" s="23" customFormat="1" ht="76.5" customHeight="1" outlineLevel="1" x14ac:dyDescent="0.2">
      <c r="A428" s="1" t="s">
        <v>6939</v>
      </c>
      <c r="B428" s="15" t="s">
        <v>5277</v>
      </c>
      <c r="C428" s="4" t="s">
        <v>3222</v>
      </c>
      <c r="D428" s="4" t="s">
        <v>5844</v>
      </c>
      <c r="E428" s="4" t="s">
        <v>5845</v>
      </c>
      <c r="F428" s="4"/>
      <c r="G428" s="4" t="s">
        <v>1888</v>
      </c>
      <c r="H428" s="22">
        <v>0</v>
      </c>
      <c r="I428" s="4">
        <v>710000000</v>
      </c>
      <c r="J428" s="4" t="s">
        <v>1931</v>
      </c>
      <c r="K428" s="4" t="s">
        <v>5297</v>
      </c>
      <c r="L428" s="4" t="s">
        <v>1889</v>
      </c>
      <c r="M428" s="8" t="s">
        <v>3195</v>
      </c>
      <c r="N428" s="4" t="s">
        <v>1890</v>
      </c>
      <c r="O428" s="8" t="s">
        <v>1935</v>
      </c>
      <c r="P428" s="4">
        <v>166</v>
      </c>
      <c r="Q428" s="4" t="s">
        <v>3324</v>
      </c>
      <c r="R428" s="10">
        <v>918</v>
      </c>
      <c r="S428" s="10">
        <v>176.38</v>
      </c>
      <c r="T428" s="10">
        <v>0</v>
      </c>
      <c r="U428" s="10">
        <f t="shared" ref="U428" si="160">T428*1.12</f>
        <v>0</v>
      </c>
      <c r="V428" s="11"/>
      <c r="W428" s="11">
        <v>2015</v>
      </c>
      <c r="X428" s="4">
        <v>11</v>
      </c>
    </row>
    <row r="429" spans="1:24" s="23" customFormat="1" ht="76.5" customHeight="1" outlineLevel="1" x14ac:dyDescent="0.2">
      <c r="A429" s="1" t="s">
        <v>7414</v>
      </c>
      <c r="B429" s="15" t="s">
        <v>5277</v>
      </c>
      <c r="C429" s="4" t="s">
        <v>3222</v>
      </c>
      <c r="D429" s="4" t="s">
        <v>5844</v>
      </c>
      <c r="E429" s="4" t="s">
        <v>5845</v>
      </c>
      <c r="F429" s="4"/>
      <c r="G429" s="4" t="s">
        <v>1888</v>
      </c>
      <c r="H429" s="22">
        <v>0</v>
      </c>
      <c r="I429" s="4">
        <v>710000000</v>
      </c>
      <c r="J429" s="4" t="s">
        <v>1931</v>
      </c>
      <c r="K429" s="4" t="s">
        <v>7338</v>
      </c>
      <c r="L429" s="4" t="s">
        <v>1889</v>
      </c>
      <c r="M429" s="8" t="s">
        <v>3195</v>
      </c>
      <c r="N429" s="4" t="s">
        <v>1890</v>
      </c>
      <c r="O429" s="8" t="s">
        <v>1935</v>
      </c>
      <c r="P429" s="4">
        <v>166</v>
      </c>
      <c r="Q429" s="4" t="s">
        <v>3324</v>
      </c>
      <c r="R429" s="10">
        <v>918</v>
      </c>
      <c r="S429" s="10">
        <v>176.38</v>
      </c>
      <c r="T429" s="10">
        <f t="shared" ref="T429" si="161">S429*R429</f>
        <v>161916.84</v>
      </c>
      <c r="U429" s="10">
        <f t="shared" ref="U429" si="162">T429*1.12</f>
        <v>181346.86080000002</v>
      </c>
      <c r="V429" s="11"/>
      <c r="W429" s="11">
        <v>2015</v>
      </c>
      <c r="X429" s="4"/>
    </row>
    <row r="430" spans="1:24" s="23" customFormat="1" ht="76.5" customHeight="1" outlineLevel="1" x14ac:dyDescent="0.2">
      <c r="A430" s="1" t="s">
        <v>4472</v>
      </c>
      <c r="B430" s="15" t="s">
        <v>5277</v>
      </c>
      <c r="C430" s="4" t="s">
        <v>3544</v>
      </c>
      <c r="D430" s="4" t="s">
        <v>3545</v>
      </c>
      <c r="E430" s="4" t="s">
        <v>5771</v>
      </c>
      <c r="F430" s="4"/>
      <c r="G430" s="4" t="s">
        <v>1888</v>
      </c>
      <c r="H430" s="22">
        <v>1</v>
      </c>
      <c r="I430" s="4">
        <v>710000000</v>
      </c>
      <c r="J430" s="4" t="s">
        <v>1931</v>
      </c>
      <c r="K430" s="4" t="s">
        <v>5297</v>
      </c>
      <c r="L430" s="4" t="s">
        <v>1889</v>
      </c>
      <c r="M430" s="8" t="s">
        <v>3195</v>
      </c>
      <c r="N430" s="4" t="s">
        <v>1890</v>
      </c>
      <c r="O430" s="8" t="s">
        <v>1935</v>
      </c>
      <c r="P430" s="4">
        <v>166</v>
      </c>
      <c r="Q430" s="4" t="s">
        <v>3324</v>
      </c>
      <c r="R430" s="10">
        <v>785</v>
      </c>
      <c r="S430" s="10">
        <v>250</v>
      </c>
      <c r="T430" s="10">
        <v>0</v>
      </c>
      <c r="U430" s="10">
        <f t="shared" si="44"/>
        <v>0</v>
      </c>
      <c r="V430" s="11"/>
      <c r="W430" s="11">
        <v>2015</v>
      </c>
      <c r="X430" s="4" t="s">
        <v>6562</v>
      </c>
    </row>
    <row r="431" spans="1:24" s="23" customFormat="1" ht="76.5" customHeight="1" outlineLevel="1" x14ac:dyDescent="0.2">
      <c r="A431" s="1" t="s">
        <v>6904</v>
      </c>
      <c r="B431" s="15" t="s">
        <v>5277</v>
      </c>
      <c r="C431" s="4" t="s">
        <v>3544</v>
      </c>
      <c r="D431" s="4" t="s">
        <v>3545</v>
      </c>
      <c r="E431" s="4" t="s">
        <v>5771</v>
      </c>
      <c r="F431" s="4"/>
      <c r="G431" s="4" t="s">
        <v>1888</v>
      </c>
      <c r="H431" s="22">
        <v>1</v>
      </c>
      <c r="I431" s="4">
        <v>710000000</v>
      </c>
      <c r="J431" s="4" t="s">
        <v>1931</v>
      </c>
      <c r="K431" s="4" t="s">
        <v>5297</v>
      </c>
      <c r="L431" s="4" t="s">
        <v>1889</v>
      </c>
      <c r="M431" s="8" t="s">
        <v>3195</v>
      </c>
      <c r="N431" s="4" t="s">
        <v>1890</v>
      </c>
      <c r="O431" s="8" t="s">
        <v>1935</v>
      </c>
      <c r="P431" s="4">
        <v>166</v>
      </c>
      <c r="Q431" s="4" t="s">
        <v>3324</v>
      </c>
      <c r="R431" s="10">
        <f>785-37</f>
        <v>748</v>
      </c>
      <c r="S431" s="10">
        <v>250</v>
      </c>
      <c r="T431" s="10">
        <v>0</v>
      </c>
      <c r="U431" s="10">
        <f t="shared" ref="U431" si="163">T431*1.12</f>
        <v>0</v>
      </c>
      <c r="V431" s="11"/>
      <c r="W431" s="11">
        <v>2015</v>
      </c>
      <c r="X431" s="4">
        <v>11</v>
      </c>
    </row>
    <row r="432" spans="1:24" s="23" customFormat="1" ht="76.5" customHeight="1" outlineLevel="1" x14ac:dyDescent="0.2">
      <c r="A432" s="1" t="s">
        <v>7415</v>
      </c>
      <c r="B432" s="15" t="s">
        <v>5277</v>
      </c>
      <c r="C432" s="4" t="s">
        <v>3544</v>
      </c>
      <c r="D432" s="4" t="s">
        <v>3545</v>
      </c>
      <c r="E432" s="4" t="s">
        <v>5771</v>
      </c>
      <c r="F432" s="4"/>
      <c r="G432" s="4" t="s">
        <v>1888</v>
      </c>
      <c r="H432" s="22">
        <v>1</v>
      </c>
      <c r="I432" s="4">
        <v>710000000</v>
      </c>
      <c r="J432" s="4" t="s">
        <v>1931</v>
      </c>
      <c r="K432" s="4" t="s">
        <v>7338</v>
      </c>
      <c r="L432" s="4" t="s">
        <v>1889</v>
      </c>
      <c r="M432" s="8" t="s">
        <v>3195</v>
      </c>
      <c r="N432" s="4" t="s">
        <v>1890</v>
      </c>
      <c r="O432" s="8" t="s">
        <v>1935</v>
      </c>
      <c r="P432" s="4">
        <v>166</v>
      </c>
      <c r="Q432" s="4" t="s">
        <v>3324</v>
      </c>
      <c r="R432" s="10">
        <f>785-37</f>
        <v>748</v>
      </c>
      <c r="S432" s="10">
        <v>250</v>
      </c>
      <c r="T432" s="10">
        <f t="shared" ref="T432" si="164">S432*R432</f>
        <v>187000</v>
      </c>
      <c r="U432" s="10">
        <f t="shared" ref="U432" si="165">T432*1.12</f>
        <v>209440.00000000003</v>
      </c>
      <c r="V432" s="11"/>
      <c r="W432" s="11">
        <v>2015</v>
      </c>
      <c r="X432" s="4"/>
    </row>
    <row r="433" spans="1:24" s="23" customFormat="1" ht="102" customHeight="1" outlineLevel="1" x14ac:dyDescent="0.2">
      <c r="A433" s="1" t="s">
        <v>4473</v>
      </c>
      <c r="B433" s="15" t="s">
        <v>5277</v>
      </c>
      <c r="C433" s="4" t="s">
        <v>3230</v>
      </c>
      <c r="D433" s="4" t="s">
        <v>5857</v>
      </c>
      <c r="E433" s="4" t="s">
        <v>5858</v>
      </c>
      <c r="F433" s="4"/>
      <c r="G433" s="4" t="s">
        <v>1888</v>
      </c>
      <c r="H433" s="22">
        <v>0</v>
      </c>
      <c r="I433" s="4">
        <v>710000000</v>
      </c>
      <c r="J433" s="4" t="s">
        <v>1931</v>
      </c>
      <c r="K433" s="4" t="s">
        <v>5297</v>
      </c>
      <c r="L433" s="4" t="s">
        <v>1889</v>
      </c>
      <c r="M433" s="8" t="s">
        <v>3195</v>
      </c>
      <c r="N433" s="4" t="s">
        <v>1890</v>
      </c>
      <c r="O433" s="8" t="s">
        <v>1935</v>
      </c>
      <c r="P433" s="4">
        <v>166</v>
      </c>
      <c r="Q433" s="4" t="s">
        <v>3324</v>
      </c>
      <c r="R433" s="10">
        <v>37</v>
      </c>
      <c r="S433" s="10">
        <v>183.57</v>
      </c>
      <c r="T433" s="10">
        <v>0</v>
      </c>
      <c r="U433" s="10">
        <f t="shared" si="44"/>
        <v>0</v>
      </c>
      <c r="V433" s="11"/>
      <c r="W433" s="11">
        <v>2015</v>
      </c>
      <c r="X433" s="4">
        <v>11</v>
      </c>
    </row>
    <row r="434" spans="1:24" s="23" customFormat="1" ht="102" customHeight="1" outlineLevel="1" x14ac:dyDescent="0.2">
      <c r="A434" s="1" t="s">
        <v>7416</v>
      </c>
      <c r="B434" s="15" t="s">
        <v>5277</v>
      </c>
      <c r="C434" s="4" t="s">
        <v>3230</v>
      </c>
      <c r="D434" s="4" t="s">
        <v>5857</v>
      </c>
      <c r="E434" s="4" t="s">
        <v>5858</v>
      </c>
      <c r="F434" s="4"/>
      <c r="G434" s="4" t="s">
        <v>1888</v>
      </c>
      <c r="H434" s="22">
        <v>0</v>
      </c>
      <c r="I434" s="4">
        <v>710000000</v>
      </c>
      <c r="J434" s="4" t="s">
        <v>1931</v>
      </c>
      <c r="K434" s="4" t="s">
        <v>7338</v>
      </c>
      <c r="L434" s="4" t="s">
        <v>1889</v>
      </c>
      <c r="M434" s="8" t="s">
        <v>3195</v>
      </c>
      <c r="N434" s="4" t="s">
        <v>1890</v>
      </c>
      <c r="O434" s="8" t="s">
        <v>1935</v>
      </c>
      <c r="P434" s="4">
        <v>166</v>
      </c>
      <c r="Q434" s="4" t="s">
        <v>3324</v>
      </c>
      <c r="R434" s="10">
        <v>37</v>
      </c>
      <c r="S434" s="10">
        <v>0</v>
      </c>
      <c r="T434" s="10">
        <f t="shared" ref="T434" si="166">S434*R434</f>
        <v>0</v>
      </c>
      <c r="U434" s="10">
        <f t="shared" ref="U434" si="167">T434*1.12</f>
        <v>0</v>
      </c>
      <c r="V434" s="11"/>
      <c r="W434" s="11">
        <v>2015</v>
      </c>
      <c r="X434" s="4">
        <v>11.22</v>
      </c>
    </row>
    <row r="435" spans="1:24" s="23" customFormat="1" ht="102" customHeight="1" outlineLevel="1" x14ac:dyDescent="0.2">
      <c r="A435" s="1" t="s">
        <v>8438</v>
      </c>
      <c r="B435" s="15" t="s">
        <v>5277</v>
      </c>
      <c r="C435" s="4" t="s">
        <v>3230</v>
      </c>
      <c r="D435" s="4" t="s">
        <v>5857</v>
      </c>
      <c r="E435" s="4" t="s">
        <v>5858</v>
      </c>
      <c r="F435" s="4"/>
      <c r="G435" s="4" t="s">
        <v>1888</v>
      </c>
      <c r="H435" s="22">
        <v>0</v>
      </c>
      <c r="I435" s="4">
        <v>710000000</v>
      </c>
      <c r="J435" s="4" t="s">
        <v>1931</v>
      </c>
      <c r="K435" s="4" t="s">
        <v>8400</v>
      </c>
      <c r="L435" s="4" t="s">
        <v>1889</v>
      </c>
      <c r="M435" s="8" t="s">
        <v>3195</v>
      </c>
      <c r="N435" s="4" t="s">
        <v>1890</v>
      </c>
      <c r="O435" s="8" t="s">
        <v>1935</v>
      </c>
      <c r="P435" s="4">
        <v>166</v>
      </c>
      <c r="Q435" s="4" t="s">
        <v>3324</v>
      </c>
      <c r="R435" s="10">
        <v>37</v>
      </c>
      <c r="S435" s="10">
        <v>183.57</v>
      </c>
      <c r="T435" s="10">
        <f t="shared" ref="T435" si="168">S435*R435</f>
        <v>6792.09</v>
      </c>
      <c r="U435" s="10">
        <f t="shared" ref="U435" si="169">T435*1.12</f>
        <v>7607.140800000001</v>
      </c>
      <c r="V435" s="11"/>
      <c r="W435" s="11">
        <v>2015</v>
      </c>
      <c r="X435" s="4"/>
    </row>
    <row r="436" spans="1:24" s="23" customFormat="1" ht="102" customHeight="1" outlineLevel="1" x14ac:dyDescent="0.2">
      <c r="A436" s="1" t="s">
        <v>4474</v>
      </c>
      <c r="B436" s="15" t="s">
        <v>5277</v>
      </c>
      <c r="C436" s="4" t="s">
        <v>3202</v>
      </c>
      <c r="D436" s="4" t="s">
        <v>5814</v>
      </c>
      <c r="E436" s="4" t="s">
        <v>9884</v>
      </c>
      <c r="F436" s="4"/>
      <c r="G436" s="4" t="s">
        <v>1888</v>
      </c>
      <c r="H436" s="22">
        <v>1</v>
      </c>
      <c r="I436" s="4">
        <v>710000000</v>
      </c>
      <c r="J436" s="4" t="s">
        <v>1931</v>
      </c>
      <c r="K436" s="4" t="s">
        <v>5297</v>
      </c>
      <c r="L436" s="4" t="s">
        <v>1889</v>
      </c>
      <c r="M436" s="8" t="s">
        <v>3195</v>
      </c>
      <c r="N436" s="4" t="s">
        <v>1890</v>
      </c>
      <c r="O436" s="8" t="s">
        <v>1935</v>
      </c>
      <c r="P436" s="4">
        <v>166</v>
      </c>
      <c r="Q436" s="4" t="s">
        <v>3324</v>
      </c>
      <c r="R436" s="10">
        <v>1548</v>
      </c>
      <c r="S436" s="10">
        <v>1159.95</v>
      </c>
      <c r="T436" s="10">
        <v>0</v>
      </c>
      <c r="U436" s="10">
        <f t="shared" si="44"/>
        <v>0</v>
      </c>
      <c r="V436" s="11"/>
      <c r="W436" s="11">
        <v>2015</v>
      </c>
      <c r="X436" s="4" t="s">
        <v>6562</v>
      </c>
    </row>
    <row r="437" spans="1:24" s="23" customFormat="1" ht="102" customHeight="1" outlineLevel="1" x14ac:dyDescent="0.2">
      <c r="A437" s="1" t="s">
        <v>6905</v>
      </c>
      <c r="B437" s="15" t="s">
        <v>5277</v>
      </c>
      <c r="C437" s="4" t="s">
        <v>3202</v>
      </c>
      <c r="D437" s="4" t="s">
        <v>5814</v>
      </c>
      <c r="E437" s="4" t="s">
        <v>9884</v>
      </c>
      <c r="F437" s="4"/>
      <c r="G437" s="4" t="s">
        <v>1888</v>
      </c>
      <c r="H437" s="22">
        <v>1</v>
      </c>
      <c r="I437" s="4">
        <v>710000000</v>
      </c>
      <c r="J437" s="4" t="s">
        <v>1931</v>
      </c>
      <c r="K437" s="4" t="s">
        <v>5297</v>
      </c>
      <c r="L437" s="4" t="s">
        <v>1889</v>
      </c>
      <c r="M437" s="8" t="s">
        <v>3195</v>
      </c>
      <c r="N437" s="4" t="s">
        <v>1890</v>
      </c>
      <c r="O437" s="8" t="s">
        <v>1935</v>
      </c>
      <c r="P437" s="4">
        <v>166</v>
      </c>
      <c r="Q437" s="4" t="s">
        <v>3324</v>
      </c>
      <c r="R437" s="10">
        <f>1548-41</f>
        <v>1507</v>
      </c>
      <c r="S437" s="10">
        <v>1159.95</v>
      </c>
      <c r="T437" s="10">
        <v>0</v>
      </c>
      <c r="U437" s="10">
        <f t="shared" ref="U437" si="170">T437*1.12</f>
        <v>0</v>
      </c>
      <c r="V437" s="11"/>
      <c r="W437" s="11">
        <v>2015</v>
      </c>
      <c r="X437" s="4">
        <v>11</v>
      </c>
    </row>
    <row r="438" spans="1:24" s="23" customFormat="1" ht="102" customHeight="1" outlineLevel="1" x14ac:dyDescent="0.2">
      <c r="A438" s="1" t="s">
        <v>7417</v>
      </c>
      <c r="B438" s="15" t="s">
        <v>5277</v>
      </c>
      <c r="C438" s="4" t="s">
        <v>3202</v>
      </c>
      <c r="D438" s="4" t="s">
        <v>5814</v>
      </c>
      <c r="E438" s="4" t="s">
        <v>9884</v>
      </c>
      <c r="F438" s="4"/>
      <c r="G438" s="4" t="s">
        <v>1888</v>
      </c>
      <c r="H438" s="22">
        <v>1</v>
      </c>
      <c r="I438" s="4">
        <v>710000000</v>
      </c>
      <c r="J438" s="4" t="s">
        <v>1931</v>
      </c>
      <c r="K438" s="4" t="s">
        <v>7338</v>
      </c>
      <c r="L438" s="4" t="s">
        <v>1889</v>
      </c>
      <c r="M438" s="8" t="s">
        <v>3195</v>
      </c>
      <c r="N438" s="4" t="s">
        <v>1890</v>
      </c>
      <c r="O438" s="8" t="s">
        <v>1935</v>
      </c>
      <c r="P438" s="4">
        <v>166</v>
      </c>
      <c r="Q438" s="4" t="s">
        <v>3324</v>
      </c>
      <c r="R438" s="10">
        <f>1548-41</f>
        <v>1507</v>
      </c>
      <c r="S438" s="10">
        <v>1159.95</v>
      </c>
      <c r="T438" s="10">
        <f t="shared" ref="T438" si="171">S438*R438</f>
        <v>1748044.6500000001</v>
      </c>
      <c r="U438" s="10">
        <f t="shared" ref="U438" si="172">T438*1.12</f>
        <v>1957810.0080000004</v>
      </c>
      <c r="V438" s="11"/>
      <c r="W438" s="11">
        <v>2015</v>
      </c>
      <c r="X438" s="4"/>
    </row>
    <row r="439" spans="1:24" s="23" customFormat="1" ht="76.5" customHeight="1" outlineLevel="1" x14ac:dyDescent="0.2">
      <c r="A439" s="1" t="s">
        <v>4475</v>
      </c>
      <c r="B439" s="15" t="s">
        <v>5277</v>
      </c>
      <c r="C439" s="4" t="s">
        <v>3546</v>
      </c>
      <c r="D439" s="4" t="s">
        <v>5772</v>
      </c>
      <c r="E439" s="4" t="s">
        <v>5773</v>
      </c>
      <c r="F439" s="4"/>
      <c r="G439" s="4" t="s">
        <v>1888</v>
      </c>
      <c r="H439" s="22">
        <v>1</v>
      </c>
      <c r="I439" s="4">
        <v>710000000</v>
      </c>
      <c r="J439" s="4" t="s">
        <v>1931</v>
      </c>
      <c r="K439" s="4" t="s">
        <v>5297</v>
      </c>
      <c r="L439" s="4" t="s">
        <v>1889</v>
      </c>
      <c r="M439" s="8" t="s">
        <v>3195</v>
      </c>
      <c r="N439" s="4" t="s">
        <v>1890</v>
      </c>
      <c r="O439" s="8" t="s">
        <v>1935</v>
      </c>
      <c r="P439" s="4">
        <v>112</v>
      </c>
      <c r="Q439" s="4" t="s">
        <v>3026</v>
      </c>
      <c r="R439" s="10">
        <v>3922</v>
      </c>
      <c r="S439" s="10">
        <v>312.58999999999997</v>
      </c>
      <c r="T439" s="10">
        <v>0</v>
      </c>
      <c r="U439" s="10">
        <f t="shared" si="44"/>
        <v>0</v>
      </c>
      <c r="V439" s="11"/>
      <c r="W439" s="11">
        <v>2015</v>
      </c>
      <c r="X439" s="4">
        <v>11</v>
      </c>
    </row>
    <row r="440" spans="1:24" s="23" customFormat="1" ht="76.5" customHeight="1" outlineLevel="1" x14ac:dyDescent="0.2">
      <c r="A440" s="1" t="s">
        <v>7418</v>
      </c>
      <c r="B440" s="15" t="s">
        <v>5277</v>
      </c>
      <c r="C440" s="4" t="s">
        <v>3546</v>
      </c>
      <c r="D440" s="4" t="s">
        <v>5772</v>
      </c>
      <c r="E440" s="4" t="s">
        <v>5773</v>
      </c>
      <c r="F440" s="4"/>
      <c r="G440" s="4" t="s">
        <v>1888</v>
      </c>
      <c r="H440" s="22">
        <v>1</v>
      </c>
      <c r="I440" s="4">
        <v>710000000</v>
      </c>
      <c r="J440" s="4" t="s">
        <v>1931</v>
      </c>
      <c r="K440" s="4" t="s">
        <v>7338</v>
      </c>
      <c r="L440" s="4" t="s">
        <v>1889</v>
      </c>
      <c r="M440" s="8" t="s">
        <v>3195</v>
      </c>
      <c r="N440" s="4" t="s">
        <v>1890</v>
      </c>
      <c r="O440" s="8" t="s">
        <v>1935</v>
      </c>
      <c r="P440" s="4">
        <v>112</v>
      </c>
      <c r="Q440" s="4" t="s">
        <v>3026</v>
      </c>
      <c r="R440" s="10">
        <v>3922</v>
      </c>
      <c r="S440" s="10">
        <v>312.58999999999997</v>
      </c>
      <c r="T440" s="10">
        <f t="shared" ref="T440" si="173">S440*R440</f>
        <v>1225977.98</v>
      </c>
      <c r="U440" s="10">
        <f t="shared" ref="U440" si="174">T440*1.12</f>
        <v>1373095.3376000002</v>
      </c>
      <c r="V440" s="11"/>
      <c r="W440" s="11">
        <v>2015</v>
      </c>
      <c r="X440" s="4"/>
    </row>
    <row r="441" spans="1:24" s="23" customFormat="1" ht="76.5" customHeight="1" outlineLevel="1" x14ac:dyDescent="0.2">
      <c r="A441" s="1" t="s">
        <v>4476</v>
      </c>
      <c r="B441" s="15" t="s">
        <v>5277</v>
      </c>
      <c r="C441" s="4" t="s">
        <v>1804</v>
      </c>
      <c r="D441" s="4" t="s">
        <v>5803</v>
      </c>
      <c r="E441" s="4" t="s">
        <v>5804</v>
      </c>
      <c r="F441" s="4"/>
      <c r="G441" s="4" t="s">
        <v>1888</v>
      </c>
      <c r="H441" s="22">
        <v>0</v>
      </c>
      <c r="I441" s="4">
        <v>710000000</v>
      </c>
      <c r="J441" s="4" t="s">
        <v>1931</v>
      </c>
      <c r="K441" s="4" t="s">
        <v>5297</v>
      </c>
      <c r="L441" s="4" t="s">
        <v>1889</v>
      </c>
      <c r="M441" s="8" t="s">
        <v>3195</v>
      </c>
      <c r="N441" s="4" t="s">
        <v>1890</v>
      </c>
      <c r="O441" s="8" t="s">
        <v>1935</v>
      </c>
      <c r="P441" s="4">
        <v>112</v>
      </c>
      <c r="Q441" s="4" t="s">
        <v>3026</v>
      </c>
      <c r="R441" s="10">
        <v>360</v>
      </c>
      <c r="S441" s="10">
        <v>1784.72</v>
      </c>
      <c r="T441" s="10">
        <v>0</v>
      </c>
      <c r="U441" s="10">
        <f t="shared" si="44"/>
        <v>0</v>
      </c>
      <c r="V441" s="11"/>
      <c r="W441" s="11">
        <v>2015</v>
      </c>
      <c r="X441" s="4">
        <v>11</v>
      </c>
    </row>
    <row r="442" spans="1:24" s="23" customFormat="1" ht="76.5" customHeight="1" outlineLevel="1" x14ac:dyDescent="0.2">
      <c r="A442" s="1" t="s">
        <v>7419</v>
      </c>
      <c r="B442" s="15" t="s">
        <v>5277</v>
      </c>
      <c r="C442" s="4" t="s">
        <v>1804</v>
      </c>
      <c r="D442" s="4" t="s">
        <v>5803</v>
      </c>
      <c r="E442" s="4" t="s">
        <v>5804</v>
      </c>
      <c r="F442" s="4"/>
      <c r="G442" s="4" t="s">
        <v>1888</v>
      </c>
      <c r="H442" s="22">
        <v>0</v>
      </c>
      <c r="I442" s="4">
        <v>710000000</v>
      </c>
      <c r="J442" s="4" t="s">
        <v>1931</v>
      </c>
      <c r="K442" s="4" t="s">
        <v>7338</v>
      </c>
      <c r="L442" s="4" t="s">
        <v>1889</v>
      </c>
      <c r="M442" s="8" t="s">
        <v>3195</v>
      </c>
      <c r="N442" s="4" t="s">
        <v>1890</v>
      </c>
      <c r="O442" s="8" t="s">
        <v>1935</v>
      </c>
      <c r="P442" s="4">
        <v>112</v>
      </c>
      <c r="Q442" s="4" t="s">
        <v>3026</v>
      </c>
      <c r="R442" s="10">
        <v>360</v>
      </c>
      <c r="S442" s="10">
        <v>1784.72</v>
      </c>
      <c r="T442" s="10">
        <f t="shared" ref="T442" si="175">S442*R442</f>
        <v>642499.19999999995</v>
      </c>
      <c r="U442" s="10">
        <f t="shared" ref="U442" si="176">T442*1.12</f>
        <v>719599.10400000005</v>
      </c>
      <c r="V442" s="11"/>
      <c r="W442" s="11">
        <v>2015</v>
      </c>
      <c r="X442" s="4"/>
    </row>
    <row r="443" spans="1:24" s="23" customFormat="1" ht="127.5" customHeight="1" outlineLevel="1" x14ac:dyDescent="0.2">
      <c r="A443" s="1" t="s">
        <v>4477</v>
      </c>
      <c r="B443" s="15" t="s">
        <v>5277</v>
      </c>
      <c r="C443" s="4" t="s">
        <v>3889</v>
      </c>
      <c r="D443" s="4" t="s">
        <v>5917</v>
      </c>
      <c r="E443" s="4" t="s">
        <v>5918</v>
      </c>
      <c r="F443" s="4" t="s">
        <v>5919</v>
      </c>
      <c r="G443" s="4" t="s">
        <v>1888</v>
      </c>
      <c r="H443" s="22">
        <v>1</v>
      </c>
      <c r="I443" s="4">
        <v>710000000</v>
      </c>
      <c r="J443" s="4" t="s">
        <v>1931</v>
      </c>
      <c r="K443" s="4" t="s">
        <v>5297</v>
      </c>
      <c r="L443" s="4" t="s">
        <v>1889</v>
      </c>
      <c r="M443" s="8" t="s">
        <v>3195</v>
      </c>
      <c r="N443" s="4" t="s">
        <v>1890</v>
      </c>
      <c r="O443" s="8" t="s">
        <v>1935</v>
      </c>
      <c r="P443" s="4">
        <v>112</v>
      </c>
      <c r="Q443" s="4" t="s">
        <v>3026</v>
      </c>
      <c r="R443" s="10">
        <v>41571</v>
      </c>
      <c r="S443" s="10">
        <v>107.47</v>
      </c>
      <c r="T443" s="10">
        <f t="shared" ref="T443:T460" si="177">S443*R443</f>
        <v>4467635.37</v>
      </c>
      <c r="U443" s="10">
        <f t="shared" si="44"/>
        <v>5003751.6144000003</v>
      </c>
      <c r="V443" s="11"/>
      <c r="W443" s="11">
        <v>2015</v>
      </c>
      <c r="X443" s="4"/>
    </row>
    <row r="444" spans="1:24" s="23" customFormat="1" ht="140.25" customHeight="1" outlineLevel="1" x14ac:dyDescent="0.2">
      <c r="A444" s="1" t="s">
        <v>4478</v>
      </c>
      <c r="B444" s="15" t="s">
        <v>5277</v>
      </c>
      <c r="C444" s="4" t="s">
        <v>3569</v>
      </c>
      <c r="D444" s="4" t="s">
        <v>5917</v>
      </c>
      <c r="E444" s="4" t="s">
        <v>5920</v>
      </c>
      <c r="F444" s="4" t="s">
        <v>5921</v>
      </c>
      <c r="G444" s="4" t="s">
        <v>1888</v>
      </c>
      <c r="H444" s="22">
        <v>0</v>
      </c>
      <c r="I444" s="4">
        <v>710000000</v>
      </c>
      <c r="J444" s="4" t="s">
        <v>1931</v>
      </c>
      <c r="K444" s="4" t="s">
        <v>5297</v>
      </c>
      <c r="L444" s="4" t="s">
        <v>1889</v>
      </c>
      <c r="M444" s="8" t="s">
        <v>3195</v>
      </c>
      <c r="N444" s="4" t="s">
        <v>1890</v>
      </c>
      <c r="O444" s="8" t="s">
        <v>1935</v>
      </c>
      <c r="P444" s="4" t="s">
        <v>3568</v>
      </c>
      <c r="Q444" s="4" t="s">
        <v>5521</v>
      </c>
      <c r="R444" s="10">
        <v>120</v>
      </c>
      <c r="S444" s="10">
        <v>420</v>
      </c>
      <c r="T444" s="10">
        <v>0</v>
      </c>
      <c r="U444" s="10">
        <f t="shared" si="44"/>
        <v>0</v>
      </c>
      <c r="V444" s="11"/>
      <c r="W444" s="11">
        <v>2015</v>
      </c>
      <c r="X444" s="4">
        <v>11</v>
      </c>
    </row>
    <row r="445" spans="1:24" s="23" customFormat="1" ht="140.25" customHeight="1" outlineLevel="1" x14ac:dyDescent="0.2">
      <c r="A445" s="1" t="s">
        <v>7420</v>
      </c>
      <c r="B445" s="15" t="s">
        <v>5277</v>
      </c>
      <c r="C445" s="4" t="s">
        <v>3569</v>
      </c>
      <c r="D445" s="4" t="s">
        <v>5917</v>
      </c>
      <c r="E445" s="4" t="s">
        <v>5920</v>
      </c>
      <c r="F445" s="4" t="s">
        <v>5921</v>
      </c>
      <c r="G445" s="4" t="s">
        <v>1888</v>
      </c>
      <c r="H445" s="22">
        <v>0</v>
      </c>
      <c r="I445" s="4">
        <v>710000000</v>
      </c>
      <c r="J445" s="4" t="s">
        <v>1931</v>
      </c>
      <c r="K445" s="4" t="s">
        <v>7338</v>
      </c>
      <c r="L445" s="4" t="s">
        <v>1889</v>
      </c>
      <c r="M445" s="8" t="s">
        <v>3195</v>
      </c>
      <c r="N445" s="4" t="s">
        <v>1890</v>
      </c>
      <c r="O445" s="8" t="s">
        <v>1935</v>
      </c>
      <c r="P445" s="4" t="s">
        <v>3568</v>
      </c>
      <c r="Q445" s="4" t="s">
        <v>5521</v>
      </c>
      <c r="R445" s="10">
        <v>120</v>
      </c>
      <c r="S445" s="10">
        <v>420</v>
      </c>
      <c r="T445" s="10">
        <v>0</v>
      </c>
      <c r="U445" s="10">
        <f t="shared" ref="U445" si="178">T445*1.12</f>
        <v>0</v>
      </c>
      <c r="V445" s="11"/>
      <c r="W445" s="11">
        <v>2015</v>
      </c>
      <c r="X445" s="4">
        <v>11.22</v>
      </c>
    </row>
    <row r="446" spans="1:24" s="23" customFormat="1" ht="140.25" customHeight="1" outlineLevel="1" x14ac:dyDescent="0.2">
      <c r="A446" s="1" t="s">
        <v>8439</v>
      </c>
      <c r="B446" s="15" t="s">
        <v>5277</v>
      </c>
      <c r="C446" s="4" t="s">
        <v>3569</v>
      </c>
      <c r="D446" s="4" t="s">
        <v>5917</v>
      </c>
      <c r="E446" s="4" t="s">
        <v>5920</v>
      </c>
      <c r="F446" s="4" t="s">
        <v>5921</v>
      </c>
      <c r="G446" s="4" t="s">
        <v>1888</v>
      </c>
      <c r="H446" s="22">
        <v>0</v>
      </c>
      <c r="I446" s="4">
        <v>710000000</v>
      </c>
      <c r="J446" s="4" t="s">
        <v>1931</v>
      </c>
      <c r="K446" s="4" t="s">
        <v>8400</v>
      </c>
      <c r="L446" s="4" t="s">
        <v>1889</v>
      </c>
      <c r="M446" s="8" t="s">
        <v>3195</v>
      </c>
      <c r="N446" s="4" t="s">
        <v>1890</v>
      </c>
      <c r="O446" s="8" t="s">
        <v>1935</v>
      </c>
      <c r="P446" s="4" t="s">
        <v>3568</v>
      </c>
      <c r="Q446" s="4" t="s">
        <v>5521</v>
      </c>
      <c r="R446" s="10">
        <v>120</v>
      </c>
      <c r="S446" s="10">
        <v>420</v>
      </c>
      <c r="T446" s="10">
        <f t="shared" ref="T446" si="179">S446*R446</f>
        <v>50400</v>
      </c>
      <c r="U446" s="10">
        <f t="shared" ref="U446" si="180">T446*1.12</f>
        <v>56448.000000000007</v>
      </c>
      <c r="V446" s="11"/>
      <c r="W446" s="11">
        <v>2015</v>
      </c>
      <c r="X446" s="4"/>
    </row>
    <row r="447" spans="1:24" s="23" customFormat="1" ht="76.5" customHeight="1" outlineLevel="1" x14ac:dyDescent="0.2">
      <c r="A447" s="1" t="s">
        <v>4479</v>
      </c>
      <c r="B447" s="15" t="s">
        <v>5277</v>
      </c>
      <c r="C447" s="4" t="s">
        <v>1786</v>
      </c>
      <c r="D447" s="4" t="s">
        <v>1787</v>
      </c>
      <c r="E447" s="4" t="s">
        <v>5778</v>
      </c>
      <c r="F447" s="4"/>
      <c r="G447" s="4" t="s">
        <v>1888</v>
      </c>
      <c r="H447" s="22">
        <v>0</v>
      </c>
      <c r="I447" s="4">
        <v>710000000</v>
      </c>
      <c r="J447" s="4" t="s">
        <v>1931</v>
      </c>
      <c r="K447" s="4" t="s">
        <v>5297</v>
      </c>
      <c r="L447" s="4" t="s">
        <v>1889</v>
      </c>
      <c r="M447" s="8" t="s">
        <v>3195</v>
      </c>
      <c r="N447" s="4" t="s">
        <v>1890</v>
      </c>
      <c r="O447" s="8" t="s">
        <v>1935</v>
      </c>
      <c r="P447" s="4">
        <v>166</v>
      </c>
      <c r="Q447" s="4" t="s">
        <v>3324</v>
      </c>
      <c r="R447" s="10">
        <v>15</v>
      </c>
      <c r="S447" s="10">
        <v>1785.73</v>
      </c>
      <c r="T447" s="10">
        <v>0</v>
      </c>
      <c r="U447" s="10">
        <f t="shared" ref="U447:U596" si="181">T447*1.12</f>
        <v>0</v>
      </c>
      <c r="V447" s="11"/>
      <c r="W447" s="11">
        <v>2015</v>
      </c>
      <c r="X447" s="4">
        <v>11</v>
      </c>
    </row>
    <row r="448" spans="1:24" s="23" customFormat="1" ht="76.5" customHeight="1" outlineLevel="1" x14ac:dyDescent="0.2">
      <c r="A448" s="1" t="s">
        <v>7421</v>
      </c>
      <c r="B448" s="15" t="s">
        <v>5277</v>
      </c>
      <c r="C448" s="4" t="s">
        <v>1786</v>
      </c>
      <c r="D448" s="4" t="s">
        <v>1787</v>
      </c>
      <c r="E448" s="4" t="s">
        <v>5778</v>
      </c>
      <c r="F448" s="4"/>
      <c r="G448" s="4" t="s">
        <v>1888</v>
      </c>
      <c r="H448" s="22">
        <v>0</v>
      </c>
      <c r="I448" s="4">
        <v>710000000</v>
      </c>
      <c r="J448" s="4" t="s">
        <v>1931</v>
      </c>
      <c r="K448" s="4" t="s">
        <v>7338</v>
      </c>
      <c r="L448" s="4" t="s">
        <v>1889</v>
      </c>
      <c r="M448" s="8" t="s">
        <v>3195</v>
      </c>
      <c r="N448" s="4" t="s">
        <v>1890</v>
      </c>
      <c r="O448" s="8" t="s">
        <v>1935</v>
      </c>
      <c r="P448" s="4">
        <v>166</v>
      </c>
      <c r="Q448" s="4" t="s">
        <v>3324</v>
      </c>
      <c r="R448" s="10">
        <v>15</v>
      </c>
      <c r="S448" s="10">
        <v>1785.73</v>
      </c>
      <c r="T448" s="10">
        <f t="shared" ref="T448" si="182">S448*R448</f>
        <v>26785.95</v>
      </c>
      <c r="U448" s="10">
        <f t="shared" ref="U448" si="183">T448*1.12</f>
        <v>30000.264000000003</v>
      </c>
      <c r="V448" s="11"/>
      <c r="W448" s="11">
        <v>2015</v>
      </c>
      <c r="X448" s="4"/>
    </row>
    <row r="449" spans="1:24" s="23" customFormat="1" ht="114.75" customHeight="1" outlineLevel="1" x14ac:dyDescent="0.2">
      <c r="A449" s="1" t="s">
        <v>4480</v>
      </c>
      <c r="B449" s="15" t="s">
        <v>5277</v>
      </c>
      <c r="C449" s="4" t="s">
        <v>3203</v>
      </c>
      <c r="D449" s="4" t="s">
        <v>5815</v>
      </c>
      <c r="E449" s="4" t="s">
        <v>6451</v>
      </c>
      <c r="F449" s="4"/>
      <c r="G449" s="4" t="s">
        <v>1888</v>
      </c>
      <c r="H449" s="22">
        <v>1</v>
      </c>
      <c r="I449" s="4">
        <v>710000000</v>
      </c>
      <c r="J449" s="4" t="s">
        <v>1931</v>
      </c>
      <c r="K449" s="4" t="s">
        <v>5297</v>
      </c>
      <c r="L449" s="4" t="s">
        <v>1889</v>
      </c>
      <c r="M449" s="8" t="s">
        <v>3195</v>
      </c>
      <c r="N449" s="4" t="s">
        <v>1890</v>
      </c>
      <c r="O449" s="8" t="s">
        <v>1935</v>
      </c>
      <c r="P449" s="4">
        <v>112</v>
      </c>
      <c r="Q449" s="4" t="s">
        <v>3026</v>
      </c>
      <c r="R449" s="10">
        <v>15112</v>
      </c>
      <c r="S449" s="10">
        <v>151.85</v>
      </c>
      <c r="T449" s="10">
        <v>0</v>
      </c>
      <c r="U449" s="10">
        <f t="shared" si="181"/>
        <v>0</v>
      </c>
      <c r="V449" s="11"/>
      <c r="W449" s="11">
        <v>2015</v>
      </c>
      <c r="X449" s="4" t="s">
        <v>6562</v>
      </c>
    </row>
    <row r="450" spans="1:24" s="23" customFormat="1" ht="114.75" customHeight="1" outlineLevel="1" x14ac:dyDescent="0.2">
      <c r="A450" s="1" t="s">
        <v>6906</v>
      </c>
      <c r="B450" s="15" t="s">
        <v>5277</v>
      </c>
      <c r="C450" s="4" t="s">
        <v>3203</v>
      </c>
      <c r="D450" s="4" t="s">
        <v>5815</v>
      </c>
      <c r="E450" s="4" t="s">
        <v>6451</v>
      </c>
      <c r="F450" s="4"/>
      <c r="G450" s="4" t="s">
        <v>1888</v>
      </c>
      <c r="H450" s="22">
        <v>1</v>
      </c>
      <c r="I450" s="4">
        <v>710000000</v>
      </c>
      <c r="J450" s="4" t="s">
        <v>1931</v>
      </c>
      <c r="K450" s="4" t="s">
        <v>5297</v>
      </c>
      <c r="L450" s="4" t="s">
        <v>1889</v>
      </c>
      <c r="M450" s="8" t="s">
        <v>3195</v>
      </c>
      <c r="N450" s="4" t="s">
        <v>1890</v>
      </c>
      <c r="O450" s="8" t="s">
        <v>1935</v>
      </c>
      <c r="P450" s="4">
        <v>112</v>
      </c>
      <c r="Q450" s="4" t="s">
        <v>3026</v>
      </c>
      <c r="R450" s="10">
        <f>15112-100</f>
        <v>15012</v>
      </c>
      <c r="S450" s="10">
        <v>151.85</v>
      </c>
      <c r="T450" s="10">
        <v>0</v>
      </c>
      <c r="U450" s="10">
        <f t="shared" ref="U450" si="184">T450*1.12</f>
        <v>0</v>
      </c>
      <c r="V450" s="11"/>
      <c r="W450" s="11">
        <v>2015</v>
      </c>
      <c r="X450" s="4">
        <v>11</v>
      </c>
    </row>
    <row r="451" spans="1:24" s="23" customFormat="1" ht="114.75" customHeight="1" outlineLevel="1" x14ac:dyDescent="0.2">
      <c r="A451" s="1" t="s">
        <v>7422</v>
      </c>
      <c r="B451" s="15" t="s">
        <v>5277</v>
      </c>
      <c r="C451" s="4" t="s">
        <v>3203</v>
      </c>
      <c r="D451" s="4" t="s">
        <v>5815</v>
      </c>
      <c r="E451" s="4" t="s">
        <v>6451</v>
      </c>
      <c r="F451" s="4"/>
      <c r="G451" s="4" t="s">
        <v>1888</v>
      </c>
      <c r="H451" s="22">
        <v>1</v>
      </c>
      <c r="I451" s="4">
        <v>710000000</v>
      </c>
      <c r="J451" s="4" t="s">
        <v>1931</v>
      </c>
      <c r="K451" s="4" t="s">
        <v>7338</v>
      </c>
      <c r="L451" s="4" t="s">
        <v>1889</v>
      </c>
      <c r="M451" s="8" t="s">
        <v>3195</v>
      </c>
      <c r="N451" s="4" t="s">
        <v>1890</v>
      </c>
      <c r="O451" s="8" t="s">
        <v>1935</v>
      </c>
      <c r="P451" s="4">
        <v>112</v>
      </c>
      <c r="Q451" s="4" t="s">
        <v>3026</v>
      </c>
      <c r="R451" s="10">
        <f>15112-100</f>
        <v>15012</v>
      </c>
      <c r="S451" s="10">
        <v>151.85</v>
      </c>
      <c r="T451" s="10">
        <v>0</v>
      </c>
      <c r="U451" s="10">
        <f t="shared" ref="U451" si="185">T451*1.12</f>
        <v>0</v>
      </c>
      <c r="V451" s="11"/>
      <c r="W451" s="11">
        <v>2015</v>
      </c>
      <c r="X451" s="4" t="s">
        <v>8399</v>
      </c>
    </row>
    <row r="452" spans="1:24" s="23" customFormat="1" ht="114.75" customHeight="1" outlineLevel="1" x14ac:dyDescent="0.2">
      <c r="A452" s="1" t="s">
        <v>8398</v>
      </c>
      <c r="B452" s="15" t="s">
        <v>5277</v>
      </c>
      <c r="C452" s="4" t="s">
        <v>3203</v>
      </c>
      <c r="D452" s="4" t="s">
        <v>5815</v>
      </c>
      <c r="E452" s="4" t="s">
        <v>6451</v>
      </c>
      <c r="F452" s="4"/>
      <c r="G452" s="4" t="s">
        <v>1888</v>
      </c>
      <c r="H452" s="22">
        <v>1</v>
      </c>
      <c r="I452" s="4">
        <v>710000000</v>
      </c>
      <c r="J452" s="4" t="s">
        <v>1931</v>
      </c>
      <c r="K452" s="4" t="s">
        <v>8400</v>
      </c>
      <c r="L452" s="4" t="s">
        <v>1889</v>
      </c>
      <c r="M452" s="8" t="s">
        <v>3195</v>
      </c>
      <c r="N452" s="4" t="s">
        <v>1890</v>
      </c>
      <c r="O452" s="8" t="s">
        <v>2146</v>
      </c>
      <c r="P452" s="4">
        <v>112</v>
      </c>
      <c r="Q452" s="4" t="s">
        <v>3026</v>
      </c>
      <c r="R452" s="10">
        <f>15112-100</f>
        <v>15012</v>
      </c>
      <c r="S452" s="10">
        <v>151.85</v>
      </c>
      <c r="T452" s="10">
        <f t="shared" ref="T452" si="186">S452*R452</f>
        <v>2279572.1999999997</v>
      </c>
      <c r="U452" s="10">
        <f t="shared" ref="U452" si="187">T452*1.12</f>
        <v>2553120.8640000001</v>
      </c>
      <c r="V452" s="11" t="s">
        <v>3027</v>
      </c>
      <c r="W452" s="11">
        <v>2015</v>
      </c>
      <c r="X452" s="4"/>
    </row>
    <row r="453" spans="1:24" s="23" customFormat="1" ht="76.5" customHeight="1" outlineLevel="1" x14ac:dyDescent="0.2">
      <c r="A453" s="1" t="s">
        <v>4481</v>
      </c>
      <c r="B453" s="15" t="s">
        <v>5277</v>
      </c>
      <c r="C453" s="4" t="s">
        <v>3560</v>
      </c>
      <c r="D453" s="4" t="s">
        <v>5903</v>
      </c>
      <c r="E453" s="4" t="s">
        <v>5904</v>
      </c>
      <c r="F453" s="4"/>
      <c r="G453" s="4" t="s">
        <v>1888</v>
      </c>
      <c r="H453" s="22">
        <v>1</v>
      </c>
      <c r="I453" s="4">
        <v>710000000</v>
      </c>
      <c r="J453" s="4" t="s">
        <v>1931</v>
      </c>
      <c r="K453" s="4" t="s">
        <v>5297</v>
      </c>
      <c r="L453" s="4" t="s">
        <v>1889</v>
      </c>
      <c r="M453" s="8" t="s">
        <v>3195</v>
      </c>
      <c r="N453" s="4" t="s">
        <v>1890</v>
      </c>
      <c r="O453" s="8" t="s">
        <v>1935</v>
      </c>
      <c r="P453" s="4">
        <v>166</v>
      </c>
      <c r="Q453" s="4" t="s">
        <v>3324</v>
      </c>
      <c r="R453" s="10">
        <v>7018</v>
      </c>
      <c r="S453" s="10">
        <v>149.46</v>
      </c>
      <c r="T453" s="10">
        <v>0</v>
      </c>
      <c r="U453" s="10">
        <f t="shared" si="181"/>
        <v>0</v>
      </c>
      <c r="V453" s="11"/>
      <c r="W453" s="11">
        <v>2015</v>
      </c>
      <c r="X453" s="4">
        <v>11</v>
      </c>
    </row>
    <row r="454" spans="1:24" s="23" customFormat="1" ht="76.5" customHeight="1" outlineLevel="1" x14ac:dyDescent="0.2">
      <c r="A454" s="1" t="s">
        <v>7423</v>
      </c>
      <c r="B454" s="15" t="s">
        <v>5277</v>
      </c>
      <c r="C454" s="4" t="s">
        <v>3560</v>
      </c>
      <c r="D454" s="4" t="s">
        <v>5903</v>
      </c>
      <c r="E454" s="4" t="s">
        <v>5904</v>
      </c>
      <c r="F454" s="4"/>
      <c r="G454" s="4" t="s">
        <v>1888</v>
      </c>
      <c r="H454" s="22">
        <v>1</v>
      </c>
      <c r="I454" s="4">
        <v>710000000</v>
      </c>
      <c r="J454" s="4" t="s">
        <v>1931</v>
      </c>
      <c r="K454" s="4" t="s">
        <v>7338</v>
      </c>
      <c r="L454" s="4" t="s">
        <v>1889</v>
      </c>
      <c r="M454" s="8" t="s">
        <v>3195</v>
      </c>
      <c r="N454" s="4" t="s">
        <v>1890</v>
      </c>
      <c r="O454" s="8" t="s">
        <v>1935</v>
      </c>
      <c r="P454" s="4">
        <v>166</v>
      </c>
      <c r="Q454" s="4" t="s">
        <v>3324</v>
      </c>
      <c r="R454" s="10">
        <v>7018</v>
      </c>
      <c r="S454" s="10">
        <v>149.46</v>
      </c>
      <c r="T454" s="10">
        <f t="shared" ref="T454" si="188">S454*R454</f>
        <v>1048910.28</v>
      </c>
      <c r="U454" s="10">
        <f t="shared" ref="U454" si="189">T454*1.12</f>
        <v>1174779.5136000002</v>
      </c>
      <c r="V454" s="11"/>
      <c r="W454" s="11">
        <v>2015</v>
      </c>
      <c r="X454" s="4"/>
    </row>
    <row r="455" spans="1:24" s="23" customFormat="1" ht="76.5" customHeight="1" outlineLevel="1" x14ac:dyDescent="0.2">
      <c r="A455" s="1" t="s">
        <v>4482</v>
      </c>
      <c r="B455" s="15" t="s">
        <v>5277</v>
      </c>
      <c r="C455" s="4" t="s">
        <v>1805</v>
      </c>
      <c r="D455" s="4" t="s">
        <v>5805</v>
      </c>
      <c r="E455" s="4" t="s">
        <v>5806</v>
      </c>
      <c r="F455" s="4"/>
      <c r="G455" s="4" t="s">
        <v>1888</v>
      </c>
      <c r="H455" s="22">
        <v>1</v>
      </c>
      <c r="I455" s="4">
        <v>710000000</v>
      </c>
      <c r="J455" s="4" t="s">
        <v>1931</v>
      </c>
      <c r="K455" s="4" t="s">
        <v>5297</v>
      </c>
      <c r="L455" s="4" t="s">
        <v>1889</v>
      </c>
      <c r="M455" s="8" t="s">
        <v>3195</v>
      </c>
      <c r="N455" s="4" t="s">
        <v>1890</v>
      </c>
      <c r="O455" s="8" t="s">
        <v>1935</v>
      </c>
      <c r="P455" s="4">
        <v>166</v>
      </c>
      <c r="Q455" s="4" t="s">
        <v>3324</v>
      </c>
      <c r="R455" s="10">
        <v>12939</v>
      </c>
      <c r="S455" s="10">
        <v>116.06</v>
      </c>
      <c r="T455" s="10">
        <v>0</v>
      </c>
      <c r="U455" s="10">
        <f t="shared" si="181"/>
        <v>0</v>
      </c>
      <c r="V455" s="11"/>
      <c r="W455" s="11">
        <v>2015</v>
      </c>
      <c r="X455" s="4" t="s">
        <v>6562</v>
      </c>
    </row>
    <row r="456" spans="1:24" s="23" customFormat="1" ht="76.5" customHeight="1" outlineLevel="1" x14ac:dyDescent="0.2">
      <c r="A456" s="1" t="s">
        <v>6907</v>
      </c>
      <c r="B456" s="15" t="s">
        <v>5277</v>
      </c>
      <c r="C456" s="4" t="s">
        <v>1805</v>
      </c>
      <c r="D456" s="4" t="s">
        <v>5805</v>
      </c>
      <c r="E456" s="4" t="s">
        <v>5806</v>
      </c>
      <c r="F456" s="4"/>
      <c r="G456" s="4" t="s">
        <v>1888</v>
      </c>
      <c r="H456" s="22">
        <v>1</v>
      </c>
      <c r="I456" s="4">
        <v>710000000</v>
      </c>
      <c r="J456" s="4" t="s">
        <v>1931</v>
      </c>
      <c r="K456" s="4" t="s">
        <v>5297</v>
      </c>
      <c r="L456" s="4" t="s">
        <v>1889</v>
      </c>
      <c r="M456" s="8" t="s">
        <v>3195</v>
      </c>
      <c r="N456" s="4" t="s">
        <v>1890</v>
      </c>
      <c r="O456" s="8" t="s">
        <v>1935</v>
      </c>
      <c r="P456" s="4">
        <v>166</v>
      </c>
      <c r="Q456" s="4" t="s">
        <v>3324</v>
      </c>
      <c r="R456" s="10">
        <f>12939-500</f>
        <v>12439</v>
      </c>
      <c r="S456" s="10">
        <v>116.06</v>
      </c>
      <c r="T456" s="10">
        <v>0</v>
      </c>
      <c r="U456" s="10">
        <f t="shared" ref="U456" si="190">T456*1.12</f>
        <v>0</v>
      </c>
      <c r="V456" s="11"/>
      <c r="W456" s="11">
        <v>2015</v>
      </c>
      <c r="X456" s="4">
        <v>11</v>
      </c>
    </row>
    <row r="457" spans="1:24" s="23" customFormat="1" ht="76.5" customHeight="1" outlineLevel="1" x14ac:dyDescent="0.2">
      <c r="A457" s="1" t="s">
        <v>7424</v>
      </c>
      <c r="B457" s="15" t="s">
        <v>5277</v>
      </c>
      <c r="C457" s="4" t="s">
        <v>1805</v>
      </c>
      <c r="D457" s="4" t="s">
        <v>5805</v>
      </c>
      <c r="E457" s="4" t="s">
        <v>5806</v>
      </c>
      <c r="F457" s="4"/>
      <c r="G457" s="4" t="s">
        <v>1888</v>
      </c>
      <c r="H457" s="22">
        <v>1</v>
      </c>
      <c r="I457" s="4">
        <v>710000000</v>
      </c>
      <c r="J457" s="4" t="s">
        <v>1931</v>
      </c>
      <c r="K457" s="4" t="s">
        <v>7338</v>
      </c>
      <c r="L457" s="4" t="s">
        <v>1889</v>
      </c>
      <c r="M457" s="8" t="s">
        <v>3195</v>
      </c>
      <c r="N457" s="4" t="s">
        <v>1890</v>
      </c>
      <c r="O457" s="8" t="s">
        <v>1935</v>
      </c>
      <c r="P457" s="4">
        <v>166</v>
      </c>
      <c r="Q457" s="4" t="s">
        <v>3324</v>
      </c>
      <c r="R457" s="10">
        <f>12939-500</f>
        <v>12439</v>
      </c>
      <c r="S457" s="10">
        <v>116.06</v>
      </c>
      <c r="T457" s="10">
        <f t="shared" ref="T457" si="191">S457*R457</f>
        <v>1443670.34</v>
      </c>
      <c r="U457" s="10">
        <f t="shared" ref="U457" si="192">T457*1.12</f>
        <v>1616910.7808000003</v>
      </c>
      <c r="V457" s="11"/>
      <c r="W457" s="11">
        <v>2015</v>
      </c>
      <c r="X457" s="4"/>
    </row>
    <row r="458" spans="1:24" s="23" customFormat="1" ht="114.75" customHeight="1" outlineLevel="1" x14ac:dyDescent="0.2">
      <c r="A458" s="1" t="s">
        <v>4483</v>
      </c>
      <c r="B458" s="15" t="s">
        <v>5277</v>
      </c>
      <c r="C458" s="4" t="s">
        <v>3212</v>
      </c>
      <c r="D458" s="4" t="s">
        <v>5832</v>
      </c>
      <c r="E458" s="4" t="s">
        <v>5833</v>
      </c>
      <c r="F458" s="4"/>
      <c r="G458" s="4" t="s">
        <v>1888</v>
      </c>
      <c r="H458" s="22">
        <v>1</v>
      </c>
      <c r="I458" s="4">
        <v>710000000</v>
      </c>
      <c r="J458" s="4" t="s">
        <v>1931</v>
      </c>
      <c r="K458" s="4" t="s">
        <v>5297</v>
      </c>
      <c r="L458" s="4" t="s">
        <v>1889</v>
      </c>
      <c r="M458" s="8" t="s">
        <v>3195</v>
      </c>
      <c r="N458" s="4" t="s">
        <v>1890</v>
      </c>
      <c r="O458" s="8" t="s">
        <v>1935</v>
      </c>
      <c r="P458" s="4">
        <v>166</v>
      </c>
      <c r="Q458" s="4" t="s">
        <v>3324</v>
      </c>
      <c r="R458" s="10">
        <v>733</v>
      </c>
      <c r="S458" s="10">
        <v>1250</v>
      </c>
      <c r="T458" s="10">
        <f t="shared" si="177"/>
        <v>916250</v>
      </c>
      <c r="U458" s="10">
        <f t="shared" si="181"/>
        <v>1026200.0000000001</v>
      </c>
      <c r="V458" s="11"/>
      <c r="W458" s="11">
        <v>2015</v>
      </c>
      <c r="X458" s="4"/>
    </row>
    <row r="459" spans="1:24" s="23" customFormat="1" ht="153" customHeight="1" outlineLevel="1" x14ac:dyDescent="0.2">
      <c r="A459" s="1" t="s">
        <v>4484</v>
      </c>
      <c r="B459" s="15" t="s">
        <v>5277</v>
      </c>
      <c r="C459" s="4" t="s">
        <v>3213</v>
      </c>
      <c r="D459" s="4" t="s">
        <v>5834</v>
      </c>
      <c r="E459" s="4" t="s">
        <v>5835</v>
      </c>
      <c r="F459" s="4"/>
      <c r="G459" s="4" t="s">
        <v>1888</v>
      </c>
      <c r="H459" s="22">
        <v>1</v>
      </c>
      <c r="I459" s="4">
        <v>710000000</v>
      </c>
      <c r="J459" s="4" t="s">
        <v>1931</v>
      </c>
      <c r="K459" s="4" t="s">
        <v>5297</v>
      </c>
      <c r="L459" s="4" t="s">
        <v>1889</v>
      </c>
      <c r="M459" s="8" t="s">
        <v>3195</v>
      </c>
      <c r="N459" s="4" t="s">
        <v>1890</v>
      </c>
      <c r="O459" s="8" t="s">
        <v>1935</v>
      </c>
      <c r="P459" s="4">
        <v>166</v>
      </c>
      <c r="Q459" s="4" t="s">
        <v>3324</v>
      </c>
      <c r="R459" s="10">
        <v>18768</v>
      </c>
      <c r="S459" s="10">
        <v>1160.75</v>
      </c>
      <c r="T459" s="10">
        <f t="shared" si="177"/>
        <v>21784956</v>
      </c>
      <c r="U459" s="10">
        <f t="shared" si="181"/>
        <v>24399150.720000003</v>
      </c>
      <c r="V459" s="11"/>
      <c r="W459" s="11">
        <v>2015</v>
      </c>
      <c r="X459" s="4"/>
    </row>
    <row r="460" spans="1:24" s="23" customFormat="1" ht="102" customHeight="1" outlineLevel="1" x14ac:dyDescent="0.2">
      <c r="A460" s="1" t="s">
        <v>4485</v>
      </c>
      <c r="B460" s="15" t="s">
        <v>5277</v>
      </c>
      <c r="C460" s="4" t="s">
        <v>3214</v>
      </c>
      <c r="D460" s="4" t="s">
        <v>5836</v>
      </c>
      <c r="E460" s="4" t="s">
        <v>5837</v>
      </c>
      <c r="F460" s="4"/>
      <c r="G460" s="4" t="s">
        <v>1888</v>
      </c>
      <c r="H460" s="22">
        <v>1</v>
      </c>
      <c r="I460" s="4">
        <v>710000000</v>
      </c>
      <c r="J460" s="4" t="s">
        <v>1931</v>
      </c>
      <c r="K460" s="4" t="s">
        <v>5297</v>
      </c>
      <c r="L460" s="4" t="s">
        <v>1889</v>
      </c>
      <c r="M460" s="8" t="s">
        <v>3195</v>
      </c>
      <c r="N460" s="4" t="s">
        <v>1890</v>
      </c>
      <c r="O460" s="8" t="s">
        <v>1935</v>
      </c>
      <c r="P460" s="4">
        <v>166</v>
      </c>
      <c r="Q460" s="4" t="s">
        <v>3324</v>
      </c>
      <c r="R460" s="10">
        <v>2303</v>
      </c>
      <c r="S460" s="10">
        <v>1339.42</v>
      </c>
      <c r="T460" s="10">
        <f t="shared" si="177"/>
        <v>3084684.2600000002</v>
      </c>
      <c r="U460" s="10">
        <f t="shared" si="181"/>
        <v>3454846.3712000004</v>
      </c>
      <c r="V460" s="11"/>
      <c r="W460" s="11">
        <v>2015</v>
      </c>
      <c r="X460" s="4"/>
    </row>
    <row r="461" spans="1:24" s="23" customFormat="1" ht="102" customHeight="1" outlineLevel="1" x14ac:dyDescent="0.2">
      <c r="A461" s="1" t="s">
        <v>4486</v>
      </c>
      <c r="B461" s="15" t="s">
        <v>5277</v>
      </c>
      <c r="C461" s="4" t="s">
        <v>3233</v>
      </c>
      <c r="D461" s="4" t="s">
        <v>6452</v>
      </c>
      <c r="E461" s="4" t="s">
        <v>5860</v>
      </c>
      <c r="F461" s="4"/>
      <c r="G461" s="4" t="s">
        <v>1888</v>
      </c>
      <c r="H461" s="22">
        <v>0</v>
      </c>
      <c r="I461" s="4">
        <v>710000000</v>
      </c>
      <c r="J461" s="4" t="s">
        <v>1931</v>
      </c>
      <c r="K461" s="4" t="s">
        <v>5297</v>
      </c>
      <c r="L461" s="4" t="s">
        <v>1889</v>
      </c>
      <c r="M461" s="8" t="s">
        <v>3195</v>
      </c>
      <c r="N461" s="4" t="s">
        <v>1890</v>
      </c>
      <c r="O461" s="8" t="s">
        <v>1935</v>
      </c>
      <c r="P461" s="4">
        <v>166</v>
      </c>
      <c r="Q461" s="4" t="s">
        <v>3324</v>
      </c>
      <c r="R461" s="10">
        <v>665</v>
      </c>
      <c r="S461" s="10">
        <v>714.93</v>
      </c>
      <c r="T461" s="10">
        <v>0</v>
      </c>
      <c r="U461" s="10">
        <f t="shared" si="181"/>
        <v>0</v>
      </c>
      <c r="V461" s="11"/>
      <c r="W461" s="11">
        <v>2015</v>
      </c>
      <c r="X461" s="4">
        <v>11</v>
      </c>
    </row>
    <row r="462" spans="1:24" s="23" customFormat="1" ht="102" customHeight="1" outlineLevel="1" x14ac:dyDescent="0.2">
      <c r="A462" s="1" t="s">
        <v>7425</v>
      </c>
      <c r="B462" s="15" t="s">
        <v>5277</v>
      </c>
      <c r="C462" s="4" t="s">
        <v>3233</v>
      </c>
      <c r="D462" s="4" t="s">
        <v>6452</v>
      </c>
      <c r="E462" s="4" t="s">
        <v>5860</v>
      </c>
      <c r="F462" s="4"/>
      <c r="G462" s="4" t="s">
        <v>1888</v>
      </c>
      <c r="H462" s="22">
        <v>0</v>
      </c>
      <c r="I462" s="4">
        <v>710000000</v>
      </c>
      <c r="J462" s="4" t="s">
        <v>1931</v>
      </c>
      <c r="K462" s="4" t="s">
        <v>7338</v>
      </c>
      <c r="L462" s="4" t="s">
        <v>1889</v>
      </c>
      <c r="M462" s="8" t="s">
        <v>3195</v>
      </c>
      <c r="N462" s="4" t="s">
        <v>1890</v>
      </c>
      <c r="O462" s="8" t="s">
        <v>1935</v>
      </c>
      <c r="P462" s="4">
        <v>166</v>
      </c>
      <c r="Q462" s="4" t="s">
        <v>3324</v>
      </c>
      <c r="R462" s="10">
        <v>665</v>
      </c>
      <c r="S462" s="10">
        <v>714.93</v>
      </c>
      <c r="T462" s="10">
        <f t="shared" ref="T462" si="193">S462*R462</f>
        <v>475428.44999999995</v>
      </c>
      <c r="U462" s="10">
        <f t="shared" ref="U462" si="194">T462*1.12</f>
        <v>532479.86399999994</v>
      </c>
      <c r="V462" s="11"/>
      <c r="W462" s="11">
        <v>2015</v>
      </c>
      <c r="X462" s="4"/>
    </row>
    <row r="463" spans="1:24" s="23" customFormat="1" ht="76.5" customHeight="1" outlineLevel="1" x14ac:dyDescent="0.2">
      <c r="A463" s="1" t="s">
        <v>4487</v>
      </c>
      <c r="B463" s="15" t="s">
        <v>5277</v>
      </c>
      <c r="C463" s="4" t="s">
        <v>3561</v>
      </c>
      <c r="D463" s="4" t="s">
        <v>5861</v>
      </c>
      <c r="E463" s="4" t="s">
        <v>5905</v>
      </c>
      <c r="F463" s="4"/>
      <c r="G463" s="4" t="s">
        <v>1888</v>
      </c>
      <c r="H463" s="22">
        <v>1</v>
      </c>
      <c r="I463" s="4">
        <v>710000000</v>
      </c>
      <c r="J463" s="4" t="s">
        <v>1931</v>
      </c>
      <c r="K463" s="4" t="s">
        <v>5297</v>
      </c>
      <c r="L463" s="4" t="s">
        <v>1889</v>
      </c>
      <c r="M463" s="8" t="s">
        <v>3195</v>
      </c>
      <c r="N463" s="4" t="s">
        <v>1890</v>
      </c>
      <c r="O463" s="8" t="s">
        <v>1935</v>
      </c>
      <c r="P463" s="4">
        <v>166</v>
      </c>
      <c r="Q463" s="4" t="s">
        <v>3324</v>
      </c>
      <c r="R463" s="10">
        <v>2973</v>
      </c>
      <c r="S463" s="10">
        <v>401.77</v>
      </c>
      <c r="T463" s="10">
        <v>0</v>
      </c>
      <c r="U463" s="10">
        <f t="shared" si="181"/>
        <v>0</v>
      </c>
      <c r="V463" s="11"/>
      <c r="W463" s="11">
        <v>2015</v>
      </c>
      <c r="X463" s="4" t="s">
        <v>6562</v>
      </c>
    </row>
    <row r="464" spans="1:24" s="23" customFormat="1" ht="76.5" customHeight="1" outlineLevel="1" x14ac:dyDescent="0.2">
      <c r="A464" s="1" t="s">
        <v>6908</v>
      </c>
      <c r="B464" s="15" t="s">
        <v>5277</v>
      </c>
      <c r="C464" s="4" t="s">
        <v>3561</v>
      </c>
      <c r="D464" s="4" t="s">
        <v>5861</v>
      </c>
      <c r="E464" s="4" t="s">
        <v>5905</v>
      </c>
      <c r="F464" s="4"/>
      <c r="G464" s="4" t="s">
        <v>1888</v>
      </c>
      <c r="H464" s="22">
        <v>1</v>
      </c>
      <c r="I464" s="4">
        <v>710000000</v>
      </c>
      <c r="J464" s="4" t="s">
        <v>1931</v>
      </c>
      <c r="K464" s="4" t="s">
        <v>5297</v>
      </c>
      <c r="L464" s="4" t="s">
        <v>1889</v>
      </c>
      <c r="M464" s="8" t="s">
        <v>3195</v>
      </c>
      <c r="N464" s="4" t="s">
        <v>1890</v>
      </c>
      <c r="O464" s="8" t="s">
        <v>1935</v>
      </c>
      <c r="P464" s="4">
        <v>166</v>
      </c>
      <c r="Q464" s="4" t="s">
        <v>3324</v>
      </c>
      <c r="R464" s="10">
        <f>2973-100</f>
        <v>2873</v>
      </c>
      <c r="S464" s="10">
        <v>401.77</v>
      </c>
      <c r="T464" s="10">
        <v>0</v>
      </c>
      <c r="U464" s="10">
        <f t="shared" ref="U464" si="195">T464*1.12</f>
        <v>0</v>
      </c>
      <c r="V464" s="11"/>
      <c r="W464" s="11">
        <v>2015</v>
      </c>
      <c r="X464" s="4">
        <v>11</v>
      </c>
    </row>
    <row r="465" spans="1:24" s="23" customFormat="1" ht="76.5" customHeight="1" outlineLevel="1" x14ac:dyDescent="0.2">
      <c r="A465" s="1" t="s">
        <v>7426</v>
      </c>
      <c r="B465" s="15" t="s">
        <v>5277</v>
      </c>
      <c r="C465" s="4" t="s">
        <v>3561</v>
      </c>
      <c r="D465" s="4" t="s">
        <v>5861</v>
      </c>
      <c r="E465" s="4" t="s">
        <v>5905</v>
      </c>
      <c r="F465" s="4"/>
      <c r="G465" s="4" t="s">
        <v>1888</v>
      </c>
      <c r="H465" s="22">
        <v>1</v>
      </c>
      <c r="I465" s="4">
        <v>710000000</v>
      </c>
      <c r="J465" s="4" t="s">
        <v>1931</v>
      </c>
      <c r="K465" s="4" t="s">
        <v>7338</v>
      </c>
      <c r="L465" s="4" t="s">
        <v>1889</v>
      </c>
      <c r="M465" s="8" t="s">
        <v>3195</v>
      </c>
      <c r="N465" s="4" t="s">
        <v>1890</v>
      </c>
      <c r="O465" s="8" t="s">
        <v>1935</v>
      </c>
      <c r="P465" s="4">
        <v>166</v>
      </c>
      <c r="Q465" s="4" t="s">
        <v>3324</v>
      </c>
      <c r="R465" s="10">
        <f>2973-100</f>
        <v>2873</v>
      </c>
      <c r="S465" s="10">
        <v>401.77</v>
      </c>
      <c r="T465" s="10">
        <f t="shared" ref="T465" si="196">S465*R465</f>
        <v>1154285.21</v>
      </c>
      <c r="U465" s="10">
        <f t="shared" ref="U465" si="197">T465*1.12</f>
        <v>1292799.4352000002</v>
      </c>
      <c r="V465" s="11"/>
      <c r="W465" s="11">
        <v>2015</v>
      </c>
      <c r="X465" s="4"/>
    </row>
    <row r="466" spans="1:24" s="23" customFormat="1" ht="76.5" customHeight="1" outlineLevel="1" x14ac:dyDescent="0.2">
      <c r="A466" s="1" t="s">
        <v>4488</v>
      </c>
      <c r="B466" s="15" t="s">
        <v>5277</v>
      </c>
      <c r="C466" s="4" t="s">
        <v>1909</v>
      </c>
      <c r="D466" s="4" t="s">
        <v>1907</v>
      </c>
      <c r="E466" s="4" t="s">
        <v>1910</v>
      </c>
      <c r="F466" s="4"/>
      <c r="G466" s="4" t="s">
        <v>1888</v>
      </c>
      <c r="H466" s="22">
        <v>1</v>
      </c>
      <c r="I466" s="4">
        <v>710000000</v>
      </c>
      <c r="J466" s="4" t="s">
        <v>1931</v>
      </c>
      <c r="K466" s="4" t="s">
        <v>5297</v>
      </c>
      <c r="L466" s="4" t="s">
        <v>1889</v>
      </c>
      <c r="M466" s="8" t="s">
        <v>3195</v>
      </c>
      <c r="N466" s="4" t="s">
        <v>1890</v>
      </c>
      <c r="O466" s="8" t="s">
        <v>1935</v>
      </c>
      <c r="P466" s="4">
        <v>166</v>
      </c>
      <c r="Q466" s="4" t="s">
        <v>3324</v>
      </c>
      <c r="R466" s="10">
        <v>32</v>
      </c>
      <c r="S466" s="10">
        <v>430.66</v>
      </c>
      <c r="T466" s="10">
        <v>0</v>
      </c>
      <c r="U466" s="10">
        <f t="shared" si="181"/>
        <v>0</v>
      </c>
      <c r="V466" s="11"/>
      <c r="W466" s="11">
        <v>2015</v>
      </c>
      <c r="X466" s="4">
        <v>11.22</v>
      </c>
    </row>
    <row r="467" spans="1:24" s="23" customFormat="1" ht="76.5" customHeight="1" outlineLevel="1" x14ac:dyDescent="0.2">
      <c r="A467" s="1" t="s">
        <v>7427</v>
      </c>
      <c r="B467" s="15" t="s">
        <v>5277</v>
      </c>
      <c r="C467" s="4" t="s">
        <v>1909</v>
      </c>
      <c r="D467" s="4" t="s">
        <v>1907</v>
      </c>
      <c r="E467" s="4" t="s">
        <v>1910</v>
      </c>
      <c r="F467" s="4"/>
      <c r="G467" s="4" t="s">
        <v>1888</v>
      </c>
      <c r="H467" s="22">
        <v>1</v>
      </c>
      <c r="I467" s="4">
        <v>710000000</v>
      </c>
      <c r="J467" s="4" t="s">
        <v>1931</v>
      </c>
      <c r="K467" s="4" t="s">
        <v>8400</v>
      </c>
      <c r="L467" s="4" t="s">
        <v>1889</v>
      </c>
      <c r="M467" s="8" t="s">
        <v>3195</v>
      </c>
      <c r="N467" s="4" t="s">
        <v>1890</v>
      </c>
      <c r="O467" s="8" t="s">
        <v>1935</v>
      </c>
      <c r="P467" s="4">
        <v>166</v>
      </c>
      <c r="Q467" s="4" t="s">
        <v>3324</v>
      </c>
      <c r="R467" s="10">
        <v>32</v>
      </c>
      <c r="S467" s="10">
        <v>430.66</v>
      </c>
      <c r="T467" s="10">
        <f t="shared" ref="T467" si="198">S467*R467</f>
        <v>13781.12</v>
      </c>
      <c r="U467" s="10">
        <f t="shared" ref="U467" si="199">T467*1.12</f>
        <v>15434.854400000002</v>
      </c>
      <c r="V467" s="11"/>
      <c r="W467" s="11">
        <v>2015</v>
      </c>
      <c r="X467" s="4"/>
    </row>
    <row r="468" spans="1:24" s="23" customFormat="1" ht="76.5" customHeight="1" outlineLevel="1" x14ac:dyDescent="0.2">
      <c r="A468" s="1" t="s">
        <v>4489</v>
      </c>
      <c r="B468" s="15" t="s">
        <v>5277</v>
      </c>
      <c r="C468" s="4" t="s">
        <v>1788</v>
      </c>
      <c r="D468" s="4" t="s">
        <v>5779</v>
      </c>
      <c r="E468" s="4" t="s">
        <v>5780</v>
      </c>
      <c r="F468" s="4"/>
      <c r="G468" s="4" t="s">
        <v>1888</v>
      </c>
      <c r="H468" s="22">
        <v>0</v>
      </c>
      <c r="I468" s="4">
        <v>710000000</v>
      </c>
      <c r="J468" s="4" t="s">
        <v>1931</v>
      </c>
      <c r="K468" s="4" t="s">
        <v>5297</v>
      </c>
      <c r="L468" s="4" t="s">
        <v>1889</v>
      </c>
      <c r="M468" s="8" t="s">
        <v>3195</v>
      </c>
      <c r="N468" s="4" t="s">
        <v>1890</v>
      </c>
      <c r="O468" s="8" t="s">
        <v>1935</v>
      </c>
      <c r="P468" s="4">
        <v>166</v>
      </c>
      <c r="Q468" s="4" t="s">
        <v>3324</v>
      </c>
      <c r="R468" s="10">
        <v>15</v>
      </c>
      <c r="S468" s="10">
        <v>1785.73</v>
      </c>
      <c r="T468" s="10">
        <v>0</v>
      </c>
      <c r="U468" s="10">
        <f t="shared" si="181"/>
        <v>0</v>
      </c>
      <c r="V468" s="11"/>
      <c r="W468" s="11">
        <v>2015</v>
      </c>
      <c r="X468" s="4">
        <v>11</v>
      </c>
    </row>
    <row r="469" spans="1:24" s="23" customFormat="1" ht="76.5" customHeight="1" outlineLevel="1" x14ac:dyDescent="0.2">
      <c r="A469" s="1" t="s">
        <v>7428</v>
      </c>
      <c r="B469" s="15" t="s">
        <v>5277</v>
      </c>
      <c r="C469" s="4" t="s">
        <v>1788</v>
      </c>
      <c r="D469" s="4" t="s">
        <v>5779</v>
      </c>
      <c r="E469" s="4" t="s">
        <v>5780</v>
      </c>
      <c r="F469" s="4"/>
      <c r="G469" s="4" t="s">
        <v>1888</v>
      </c>
      <c r="H469" s="22">
        <v>0</v>
      </c>
      <c r="I469" s="4">
        <v>710000000</v>
      </c>
      <c r="J469" s="4" t="s">
        <v>1931</v>
      </c>
      <c r="K469" s="4" t="s">
        <v>7338</v>
      </c>
      <c r="L469" s="4" t="s">
        <v>1889</v>
      </c>
      <c r="M469" s="8" t="s">
        <v>3195</v>
      </c>
      <c r="N469" s="4" t="s">
        <v>1890</v>
      </c>
      <c r="O469" s="8" t="s">
        <v>1935</v>
      </c>
      <c r="P469" s="4">
        <v>166</v>
      </c>
      <c r="Q469" s="4" t="s">
        <v>3324</v>
      </c>
      <c r="R469" s="10">
        <v>15</v>
      </c>
      <c r="S469" s="10">
        <v>1785.73</v>
      </c>
      <c r="T469" s="10">
        <f t="shared" ref="T469" si="200">S469*R469</f>
        <v>26785.95</v>
      </c>
      <c r="U469" s="10">
        <f t="shared" ref="U469" si="201">T469*1.12</f>
        <v>30000.264000000003</v>
      </c>
      <c r="V469" s="11"/>
      <c r="W469" s="11">
        <v>2015</v>
      </c>
      <c r="X469" s="4"/>
    </row>
    <row r="470" spans="1:24" s="23" customFormat="1" ht="76.5" customHeight="1" outlineLevel="1" x14ac:dyDescent="0.2">
      <c r="A470" s="1" t="s">
        <v>4490</v>
      </c>
      <c r="B470" s="15" t="s">
        <v>5277</v>
      </c>
      <c r="C470" s="4" t="s">
        <v>3883</v>
      </c>
      <c r="D470" s="4" t="s">
        <v>3231</v>
      </c>
      <c r="E470" s="4" t="s">
        <v>3884</v>
      </c>
      <c r="F470" s="4"/>
      <c r="G470" s="4" t="s">
        <v>1888</v>
      </c>
      <c r="H470" s="22">
        <v>0</v>
      </c>
      <c r="I470" s="4">
        <v>710000000</v>
      </c>
      <c r="J470" s="4" t="s">
        <v>1931</v>
      </c>
      <c r="K470" s="4" t="s">
        <v>5297</v>
      </c>
      <c r="L470" s="4" t="s">
        <v>1889</v>
      </c>
      <c r="M470" s="8" t="s">
        <v>3195</v>
      </c>
      <c r="N470" s="4" t="s">
        <v>1890</v>
      </c>
      <c r="O470" s="8" t="s">
        <v>1935</v>
      </c>
      <c r="P470" s="4">
        <v>166</v>
      </c>
      <c r="Q470" s="4" t="s">
        <v>3324</v>
      </c>
      <c r="R470" s="10">
        <v>214</v>
      </c>
      <c r="S470" s="10">
        <v>339.21</v>
      </c>
      <c r="T470" s="10">
        <v>0</v>
      </c>
      <c r="U470" s="10">
        <f t="shared" si="181"/>
        <v>0</v>
      </c>
      <c r="V470" s="11"/>
      <c r="W470" s="11">
        <v>2015</v>
      </c>
      <c r="X470" s="4">
        <v>11</v>
      </c>
    </row>
    <row r="471" spans="1:24" s="23" customFormat="1" ht="76.5" customHeight="1" outlineLevel="1" x14ac:dyDescent="0.2">
      <c r="A471" s="1" t="s">
        <v>7429</v>
      </c>
      <c r="B471" s="15" t="s">
        <v>5277</v>
      </c>
      <c r="C471" s="4" t="s">
        <v>3883</v>
      </c>
      <c r="D471" s="4" t="s">
        <v>3231</v>
      </c>
      <c r="E471" s="4" t="s">
        <v>3884</v>
      </c>
      <c r="F471" s="4"/>
      <c r="G471" s="4" t="s">
        <v>1888</v>
      </c>
      <c r="H471" s="22">
        <v>0</v>
      </c>
      <c r="I471" s="4">
        <v>710000000</v>
      </c>
      <c r="J471" s="4" t="s">
        <v>1931</v>
      </c>
      <c r="K471" s="4" t="s">
        <v>7338</v>
      </c>
      <c r="L471" s="4" t="s">
        <v>1889</v>
      </c>
      <c r="M471" s="8" t="s">
        <v>3195</v>
      </c>
      <c r="N471" s="4" t="s">
        <v>1890</v>
      </c>
      <c r="O471" s="8" t="s">
        <v>1935</v>
      </c>
      <c r="P471" s="4">
        <v>166</v>
      </c>
      <c r="Q471" s="4" t="s">
        <v>3324</v>
      </c>
      <c r="R471" s="10">
        <v>214</v>
      </c>
      <c r="S471" s="10">
        <v>339.21</v>
      </c>
      <c r="T471" s="10">
        <f t="shared" ref="T471" si="202">S471*R471</f>
        <v>72590.94</v>
      </c>
      <c r="U471" s="10">
        <f t="shared" ref="U471" si="203">T471*1.12</f>
        <v>81301.852800000008</v>
      </c>
      <c r="V471" s="11"/>
      <c r="W471" s="11">
        <v>2015</v>
      </c>
      <c r="X471" s="4"/>
    </row>
    <row r="472" spans="1:24" s="23" customFormat="1" ht="76.5" customHeight="1" outlineLevel="1" x14ac:dyDescent="0.2">
      <c r="A472" s="1" t="s">
        <v>4491</v>
      </c>
      <c r="B472" s="15" t="s">
        <v>5277</v>
      </c>
      <c r="C472" s="4" t="s">
        <v>3562</v>
      </c>
      <c r="D472" s="4" t="s">
        <v>5906</v>
      </c>
      <c r="E472" s="4" t="s">
        <v>5907</v>
      </c>
      <c r="F472" s="4"/>
      <c r="G472" s="4" t="s">
        <v>1888</v>
      </c>
      <c r="H472" s="22">
        <v>1</v>
      </c>
      <c r="I472" s="4">
        <v>710000000</v>
      </c>
      <c r="J472" s="4" t="s">
        <v>1931</v>
      </c>
      <c r="K472" s="4" t="s">
        <v>5297</v>
      </c>
      <c r="L472" s="4" t="s">
        <v>1889</v>
      </c>
      <c r="M472" s="8" t="s">
        <v>3195</v>
      </c>
      <c r="N472" s="4" t="s">
        <v>1890</v>
      </c>
      <c r="O472" s="8" t="s">
        <v>1935</v>
      </c>
      <c r="P472" s="4">
        <v>166</v>
      </c>
      <c r="Q472" s="4" t="s">
        <v>3324</v>
      </c>
      <c r="R472" s="10">
        <v>1702</v>
      </c>
      <c r="S472" s="10">
        <v>589.80999999999995</v>
      </c>
      <c r="T472" s="10">
        <v>0</v>
      </c>
      <c r="U472" s="10">
        <f t="shared" si="181"/>
        <v>0</v>
      </c>
      <c r="V472" s="11"/>
      <c r="W472" s="11">
        <v>2015</v>
      </c>
      <c r="X472" s="4" t="s">
        <v>6562</v>
      </c>
    </row>
    <row r="473" spans="1:24" s="23" customFormat="1" ht="76.5" customHeight="1" outlineLevel="1" x14ac:dyDescent="0.2">
      <c r="A473" s="1" t="s">
        <v>6909</v>
      </c>
      <c r="B473" s="15" t="s">
        <v>5277</v>
      </c>
      <c r="C473" s="4" t="s">
        <v>3562</v>
      </c>
      <c r="D473" s="4" t="s">
        <v>5906</v>
      </c>
      <c r="E473" s="4" t="s">
        <v>5907</v>
      </c>
      <c r="F473" s="4"/>
      <c r="G473" s="4" t="s">
        <v>1888</v>
      </c>
      <c r="H473" s="22">
        <v>1</v>
      </c>
      <c r="I473" s="4">
        <v>710000000</v>
      </c>
      <c r="J473" s="4" t="s">
        <v>1931</v>
      </c>
      <c r="K473" s="4" t="s">
        <v>5297</v>
      </c>
      <c r="L473" s="4" t="s">
        <v>1889</v>
      </c>
      <c r="M473" s="8" t="s">
        <v>3195</v>
      </c>
      <c r="N473" s="4" t="s">
        <v>1890</v>
      </c>
      <c r="O473" s="8" t="s">
        <v>1935</v>
      </c>
      <c r="P473" s="4">
        <v>166</v>
      </c>
      <c r="Q473" s="4" t="s">
        <v>3324</v>
      </c>
      <c r="R473" s="10">
        <f>1702-50</f>
        <v>1652</v>
      </c>
      <c r="S473" s="10">
        <v>589.80999999999995</v>
      </c>
      <c r="T473" s="10">
        <v>0</v>
      </c>
      <c r="U473" s="10">
        <f t="shared" ref="U473" si="204">T473*1.12</f>
        <v>0</v>
      </c>
      <c r="V473" s="11"/>
      <c r="W473" s="11">
        <v>2015</v>
      </c>
      <c r="X473" s="4">
        <v>11</v>
      </c>
    </row>
    <row r="474" spans="1:24" s="23" customFormat="1" ht="76.5" customHeight="1" outlineLevel="1" x14ac:dyDescent="0.2">
      <c r="A474" s="1" t="s">
        <v>7430</v>
      </c>
      <c r="B474" s="15" t="s">
        <v>5277</v>
      </c>
      <c r="C474" s="4" t="s">
        <v>3562</v>
      </c>
      <c r="D474" s="4" t="s">
        <v>5906</v>
      </c>
      <c r="E474" s="4" t="s">
        <v>5907</v>
      </c>
      <c r="F474" s="4"/>
      <c r="G474" s="4" t="s">
        <v>1888</v>
      </c>
      <c r="H474" s="22">
        <v>1</v>
      </c>
      <c r="I474" s="4">
        <v>710000000</v>
      </c>
      <c r="J474" s="4" t="s">
        <v>1931</v>
      </c>
      <c r="K474" s="4" t="s">
        <v>7338</v>
      </c>
      <c r="L474" s="4" t="s">
        <v>1889</v>
      </c>
      <c r="M474" s="8" t="s">
        <v>3195</v>
      </c>
      <c r="N474" s="4" t="s">
        <v>1890</v>
      </c>
      <c r="O474" s="8" t="s">
        <v>1935</v>
      </c>
      <c r="P474" s="4">
        <v>166</v>
      </c>
      <c r="Q474" s="4" t="s">
        <v>3324</v>
      </c>
      <c r="R474" s="10">
        <f>1702-50</f>
        <v>1652</v>
      </c>
      <c r="S474" s="10">
        <v>589.80999999999995</v>
      </c>
      <c r="T474" s="10">
        <f t="shared" ref="T474" si="205">S474*R474</f>
        <v>974366.11999999988</v>
      </c>
      <c r="U474" s="10">
        <f t="shared" ref="U474" si="206">T474*1.12</f>
        <v>1091290.0544</v>
      </c>
      <c r="V474" s="11"/>
      <c r="W474" s="11">
        <v>2015</v>
      </c>
      <c r="X474" s="4"/>
    </row>
    <row r="475" spans="1:24" s="23" customFormat="1" ht="76.5" customHeight="1" outlineLevel="1" x14ac:dyDescent="0.2">
      <c r="A475" s="1" t="s">
        <v>4492</v>
      </c>
      <c r="B475" s="15" t="s">
        <v>5277</v>
      </c>
      <c r="C475" s="4" t="s">
        <v>2970</v>
      </c>
      <c r="D475" s="4" t="s">
        <v>5879</v>
      </c>
      <c r="E475" s="4" t="s">
        <v>5880</v>
      </c>
      <c r="F475" s="4"/>
      <c r="G475" s="4" t="s">
        <v>1888</v>
      </c>
      <c r="H475" s="22">
        <v>0</v>
      </c>
      <c r="I475" s="4">
        <v>710000000</v>
      </c>
      <c r="J475" s="4" t="s">
        <v>1931</v>
      </c>
      <c r="K475" s="4" t="s">
        <v>5297</v>
      </c>
      <c r="L475" s="4" t="s">
        <v>1889</v>
      </c>
      <c r="M475" s="8" t="s">
        <v>3195</v>
      </c>
      <c r="N475" s="4" t="s">
        <v>1890</v>
      </c>
      <c r="O475" s="8" t="s">
        <v>1935</v>
      </c>
      <c r="P475" s="4">
        <v>166</v>
      </c>
      <c r="Q475" s="4" t="s">
        <v>3324</v>
      </c>
      <c r="R475" s="10">
        <v>300</v>
      </c>
      <c r="S475" s="10">
        <v>401.79</v>
      </c>
      <c r="T475" s="10">
        <v>0</v>
      </c>
      <c r="U475" s="10">
        <f t="shared" si="181"/>
        <v>0</v>
      </c>
      <c r="V475" s="11"/>
      <c r="W475" s="11">
        <v>2015</v>
      </c>
      <c r="X475" s="4">
        <v>11</v>
      </c>
    </row>
    <row r="476" spans="1:24" s="23" customFormat="1" ht="76.5" customHeight="1" outlineLevel="1" x14ac:dyDescent="0.2">
      <c r="A476" s="1" t="s">
        <v>7431</v>
      </c>
      <c r="B476" s="15" t="s">
        <v>5277</v>
      </c>
      <c r="C476" s="4" t="s">
        <v>2970</v>
      </c>
      <c r="D476" s="4" t="s">
        <v>5879</v>
      </c>
      <c r="E476" s="4" t="s">
        <v>5880</v>
      </c>
      <c r="F476" s="4"/>
      <c r="G476" s="4" t="s">
        <v>1888</v>
      </c>
      <c r="H476" s="22">
        <v>0</v>
      </c>
      <c r="I476" s="4">
        <v>710000000</v>
      </c>
      <c r="J476" s="4" t="s">
        <v>1931</v>
      </c>
      <c r="K476" s="4" t="s">
        <v>7338</v>
      </c>
      <c r="L476" s="4" t="s">
        <v>1889</v>
      </c>
      <c r="M476" s="8" t="s">
        <v>3195</v>
      </c>
      <c r="N476" s="4" t="s">
        <v>1890</v>
      </c>
      <c r="O476" s="8" t="s">
        <v>1935</v>
      </c>
      <c r="P476" s="4">
        <v>166</v>
      </c>
      <c r="Q476" s="4" t="s">
        <v>3324</v>
      </c>
      <c r="R476" s="10">
        <v>300</v>
      </c>
      <c r="S476" s="10">
        <v>401.79</v>
      </c>
      <c r="T476" s="10">
        <f t="shared" ref="T476" si="207">S476*R476</f>
        <v>120537</v>
      </c>
      <c r="U476" s="10">
        <f t="shared" ref="U476" si="208">T476*1.12</f>
        <v>135001.44</v>
      </c>
      <c r="V476" s="11"/>
      <c r="W476" s="11">
        <v>2015</v>
      </c>
      <c r="X476" s="4"/>
    </row>
    <row r="477" spans="1:24" s="23" customFormat="1" ht="102" customHeight="1" outlineLevel="1" x14ac:dyDescent="0.2">
      <c r="A477" s="1" t="s">
        <v>4493</v>
      </c>
      <c r="B477" s="15" t="s">
        <v>5277</v>
      </c>
      <c r="C477" s="4" t="s">
        <v>3226</v>
      </c>
      <c r="D477" s="4" t="s">
        <v>5852</v>
      </c>
      <c r="E477" s="4" t="s">
        <v>5853</v>
      </c>
      <c r="F477" s="4" t="s">
        <v>5854</v>
      </c>
      <c r="G477" s="4" t="s">
        <v>1888</v>
      </c>
      <c r="H477" s="22">
        <v>0</v>
      </c>
      <c r="I477" s="4">
        <v>710000000</v>
      </c>
      <c r="J477" s="4" t="s">
        <v>1931</v>
      </c>
      <c r="K477" s="4" t="s">
        <v>5297</v>
      </c>
      <c r="L477" s="4" t="s">
        <v>1889</v>
      </c>
      <c r="M477" s="8" t="s">
        <v>3195</v>
      </c>
      <c r="N477" s="4" t="s">
        <v>1890</v>
      </c>
      <c r="O477" s="8" t="s">
        <v>1935</v>
      </c>
      <c r="P477" s="4">
        <v>166</v>
      </c>
      <c r="Q477" s="4" t="s">
        <v>3324</v>
      </c>
      <c r="R477" s="10">
        <v>441</v>
      </c>
      <c r="S477" s="10">
        <v>419.95</v>
      </c>
      <c r="T477" s="10">
        <v>0</v>
      </c>
      <c r="U477" s="10">
        <f t="shared" si="181"/>
        <v>0</v>
      </c>
      <c r="V477" s="11"/>
      <c r="W477" s="11">
        <v>2015</v>
      </c>
      <c r="X477" s="4">
        <v>11</v>
      </c>
    </row>
    <row r="478" spans="1:24" s="23" customFormat="1" ht="102" customHeight="1" outlineLevel="1" x14ac:dyDescent="0.2">
      <c r="A478" s="1" t="s">
        <v>7432</v>
      </c>
      <c r="B478" s="15" t="s">
        <v>5277</v>
      </c>
      <c r="C478" s="4" t="s">
        <v>3226</v>
      </c>
      <c r="D478" s="4" t="s">
        <v>5852</v>
      </c>
      <c r="E478" s="4" t="s">
        <v>5853</v>
      </c>
      <c r="F478" s="4" t="s">
        <v>5854</v>
      </c>
      <c r="G478" s="4" t="s">
        <v>1888</v>
      </c>
      <c r="H478" s="22">
        <v>0</v>
      </c>
      <c r="I478" s="4">
        <v>710000000</v>
      </c>
      <c r="J478" s="4" t="s">
        <v>1931</v>
      </c>
      <c r="K478" s="4" t="s">
        <v>7338</v>
      </c>
      <c r="L478" s="4" t="s">
        <v>1889</v>
      </c>
      <c r="M478" s="8" t="s">
        <v>3195</v>
      </c>
      <c r="N478" s="4" t="s">
        <v>1890</v>
      </c>
      <c r="O478" s="8" t="s">
        <v>1935</v>
      </c>
      <c r="P478" s="4">
        <v>166</v>
      </c>
      <c r="Q478" s="4" t="s">
        <v>3324</v>
      </c>
      <c r="R478" s="10">
        <v>441</v>
      </c>
      <c r="S478" s="10">
        <v>419.95</v>
      </c>
      <c r="T478" s="10">
        <f t="shared" ref="T478" si="209">S478*R478</f>
        <v>185197.94999999998</v>
      </c>
      <c r="U478" s="10">
        <f t="shared" ref="U478" si="210">T478*1.12</f>
        <v>207421.704</v>
      </c>
      <c r="V478" s="11"/>
      <c r="W478" s="11">
        <v>2015</v>
      </c>
      <c r="X478" s="4"/>
    </row>
    <row r="479" spans="1:24" s="23" customFormat="1" ht="86.25" customHeight="1" outlineLevel="1" x14ac:dyDescent="0.2">
      <c r="A479" s="1" t="s">
        <v>4494</v>
      </c>
      <c r="B479" s="4" t="s">
        <v>5277</v>
      </c>
      <c r="C479" s="4" t="s">
        <v>3563</v>
      </c>
      <c r="D479" s="4" t="s">
        <v>6453</v>
      </c>
      <c r="E479" s="4" t="s">
        <v>5908</v>
      </c>
      <c r="F479" s="4"/>
      <c r="G479" s="4" t="s">
        <v>1888</v>
      </c>
      <c r="H479" s="22">
        <v>1</v>
      </c>
      <c r="I479" s="4">
        <v>710000000</v>
      </c>
      <c r="J479" s="4" t="s">
        <v>1931</v>
      </c>
      <c r="K479" s="4" t="s">
        <v>5297</v>
      </c>
      <c r="L479" s="4" t="s">
        <v>1889</v>
      </c>
      <c r="M479" s="8" t="s">
        <v>3195</v>
      </c>
      <c r="N479" s="4" t="s">
        <v>1890</v>
      </c>
      <c r="O479" s="8" t="s">
        <v>1935</v>
      </c>
      <c r="P479" s="4">
        <v>166</v>
      </c>
      <c r="Q479" s="4" t="s">
        <v>3324</v>
      </c>
      <c r="R479" s="10">
        <v>3002</v>
      </c>
      <c r="S479" s="10">
        <v>491.24</v>
      </c>
      <c r="T479" s="10">
        <v>0</v>
      </c>
      <c r="U479" s="10">
        <f t="shared" si="181"/>
        <v>0</v>
      </c>
      <c r="V479" s="11"/>
      <c r="W479" s="11">
        <v>2015</v>
      </c>
      <c r="X479" s="4" t="s">
        <v>6562</v>
      </c>
    </row>
    <row r="480" spans="1:24" s="23" customFormat="1" ht="86.25" customHeight="1" outlineLevel="1" x14ac:dyDescent="0.2">
      <c r="A480" s="1" t="s">
        <v>6910</v>
      </c>
      <c r="B480" s="4" t="s">
        <v>5277</v>
      </c>
      <c r="C480" s="4" t="s">
        <v>3563</v>
      </c>
      <c r="D480" s="4" t="s">
        <v>6453</v>
      </c>
      <c r="E480" s="4" t="s">
        <v>5908</v>
      </c>
      <c r="F480" s="4"/>
      <c r="G480" s="4" t="s">
        <v>1888</v>
      </c>
      <c r="H480" s="22">
        <v>1</v>
      </c>
      <c r="I480" s="4">
        <v>710000000</v>
      </c>
      <c r="J480" s="4" t="s">
        <v>1931</v>
      </c>
      <c r="K480" s="4" t="s">
        <v>5297</v>
      </c>
      <c r="L480" s="4" t="s">
        <v>1889</v>
      </c>
      <c r="M480" s="8" t="s">
        <v>3195</v>
      </c>
      <c r="N480" s="4" t="s">
        <v>1890</v>
      </c>
      <c r="O480" s="8" t="s">
        <v>1935</v>
      </c>
      <c r="P480" s="4">
        <v>166</v>
      </c>
      <c r="Q480" s="4" t="s">
        <v>3324</v>
      </c>
      <c r="R480" s="10">
        <f>3002-71</f>
        <v>2931</v>
      </c>
      <c r="S480" s="10">
        <v>491.24</v>
      </c>
      <c r="T480" s="10">
        <v>0</v>
      </c>
      <c r="U480" s="10">
        <f t="shared" ref="U480" si="211">T480*1.12</f>
        <v>0</v>
      </c>
      <c r="V480" s="11"/>
      <c r="W480" s="11">
        <v>2015</v>
      </c>
      <c r="X480" s="4">
        <v>11</v>
      </c>
    </row>
    <row r="481" spans="1:24" s="23" customFormat="1" ht="86.25" customHeight="1" outlineLevel="1" x14ac:dyDescent="0.2">
      <c r="A481" s="1" t="s">
        <v>7433</v>
      </c>
      <c r="B481" s="4" t="s">
        <v>5277</v>
      </c>
      <c r="C481" s="4" t="s">
        <v>3563</v>
      </c>
      <c r="D481" s="4" t="s">
        <v>6453</v>
      </c>
      <c r="E481" s="4" t="s">
        <v>5908</v>
      </c>
      <c r="F481" s="4"/>
      <c r="G481" s="4" t="s">
        <v>1888</v>
      </c>
      <c r="H481" s="22">
        <v>1</v>
      </c>
      <c r="I481" s="4">
        <v>710000000</v>
      </c>
      <c r="J481" s="4" t="s">
        <v>1931</v>
      </c>
      <c r="K481" s="4" t="s">
        <v>7338</v>
      </c>
      <c r="L481" s="4" t="s">
        <v>1889</v>
      </c>
      <c r="M481" s="8" t="s">
        <v>3195</v>
      </c>
      <c r="N481" s="4" t="s">
        <v>1890</v>
      </c>
      <c r="O481" s="8" t="s">
        <v>1935</v>
      </c>
      <c r="P481" s="4">
        <v>166</v>
      </c>
      <c r="Q481" s="4" t="s">
        <v>3324</v>
      </c>
      <c r="R481" s="10">
        <f>3002-71</f>
        <v>2931</v>
      </c>
      <c r="S481" s="10">
        <v>491.24</v>
      </c>
      <c r="T481" s="10">
        <f t="shared" ref="T481" si="212">S481*R481</f>
        <v>1439824.44</v>
      </c>
      <c r="U481" s="10">
        <f t="shared" ref="U481" si="213">T481*1.12</f>
        <v>1612603.3728</v>
      </c>
      <c r="V481" s="11"/>
      <c r="W481" s="11">
        <v>2015</v>
      </c>
      <c r="X481" s="4"/>
    </row>
    <row r="482" spans="1:24" s="23" customFormat="1" ht="102" customHeight="1" outlineLevel="1" x14ac:dyDescent="0.2">
      <c r="A482" s="1" t="s">
        <v>4495</v>
      </c>
      <c r="B482" s="15" t="s">
        <v>5277</v>
      </c>
      <c r="C482" s="4" t="s">
        <v>3232</v>
      </c>
      <c r="D482" s="4" t="s">
        <v>5859</v>
      </c>
      <c r="E482" s="4" t="s">
        <v>5860</v>
      </c>
      <c r="F482" s="4"/>
      <c r="G482" s="4" t="s">
        <v>1888</v>
      </c>
      <c r="H482" s="22">
        <v>0</v>
      </c>
      <c r="I482" s="4">
        <v>710000000</v>
      </c>
      <c r="J482" s="4" t="s">
        <v>1931</v>
      </c>
      <c r="K482" s="4" t="s">
        <v>5297</v>
      </c>
      <c r="L482" s="4" t="s">
        <v>1889</v>
      </c>
      <c r="M482" s="8" t="s">
        <v>3195</v>
      </c>
      <c r="N482" s="4" t="s">
        <v>1890</v>
      </c>
      <c r="O482" s="8" t="s">
        <v>1935</v>
      </c>
      <c r="P482" s="4">
        <v>166</v>
      </c>
      <c r="Q482" s="4" t="s">
        <v>3324</v>
      </c>
      <c r="R482" s="10">
        <v>362</v>
      </c>
      <c r="S482" s="10">
        <v>530.33000000000004</v>
      </c>
      <c r="T482" s="10">
        <v>0</v>
      </c>
      <c r="U482" s="10">
        <f t="shared" si="181"/>
        <v>0</v>
      </c>
      <c r="V482" s="11"/>
      <c r="W482" s="11">
        <v>2015</v>
      </c>
      <c r="X482" s="4" t="s">
        <v>6562</v>
      </c>
    </row>
    <row r="483" spans="1:24" s="23" customFormat="1" ht="102" customHeight="1" outlineLevel="1" x14ac:dyDescent="0.2">
      <c r="A483" s="1" t="s">
        <v>7434</v>
      </c>
      <c r="B483" s="15" t="s">
        <v>5277</v>
      </c>
      <c r="C483" s="4" t="s">
        <v>3232</v>
      </c>
      <c r="D483" s="4" t="s">
        <v>5859</v>
      </c>
      <c r="E483" s="4" t="s">
        <v>5860</v>
      </c>
      <c r="F483" s="4"/>
      <c r="G483" s="4" t="s">
        <v>1888</v>
      </c>
      <c r="H483" s="22">
        <v>0</v>
      </c>
      <c r="I483" s="4">
        <v>710000000</v>
      </c>
      <c r="J483" s="4" t="s">
        <v>1931</v>
      </c>
      <c r="K483" s="4" t="s">
        <v>7338</v>
      </c>
      <c r="L483" s="4" t="s">
        <v>1889</v>
      </c>
      <c r="M483" s="8" t="s">
        <v>3195</v>
      </c>
      <c r="N483" s="4" t="s">
        <v>1890</v>
      </c>
      <c r="O483" s="8" t="s">
        <v>1935</v>
      </c>
      <c r="P483" s="4">
        <v>166</v>
      </c>
      <c r="Q483" s="4" t="s">
        <v>3324</v>
      </c>
      <c r="R483" s="10">
        <v>362</v>
      </c>
      <c r="S483" s="10">
        <v>530.33000000000004</v>
      </c>
      <c r="T483" s="10">
        <f t="shared" ref="T483" si="214">S483*R483</f>
        <v>191979.46000000002</v>
      </c>
      <c r="U483" s="10">
        <f t="shared" ref="U483" si="215">T483*1.12</f>
        <v>215016.99520000003</v>
      </c>
      <c r="V483" s="11"/>
      <c r="W483" s="11">
        <v>2015</v>
      </c>
      <c r="X483" s="4" t="s">
        <v>6562</v>
      </c>
    </row>
    <row r="484" spans="1:24" s="23" customFormat="1" ht="76.5" customHeight="1" outlineLevel="1" x14ac:dyDescent="0.2">
      <c r="A484" s="1" t="s">
        <v>4496</v>
      </c>
      <c r="B484" s="15" t="s">
        <v>5277</v>
      </c>
      <c r="C484" s="4" t="s">
        <v>1911</v>
      </c>
      <c r="D484" s="4" t="s">
        <v>1912</v>
      </c>
      <c r="E484" s="4" t="s">
        <v>1913</v>
      </c>
      <c r="F484" s="4"/>
      <c r="G484" s="4" t="s">
        <v>1888</v>
      </c>
      <c r="H484" s="22">
        <v>1</v>
      </c>
      <c r="I484" s="4">
        <v>710000000</v>
      </c>
      <c r="J484" s="4" t="s">
        <v>1931</v>
      </c>
      <c r="K484" s="4" t="s">
        <v>5297</v>
      </c>
      <c r="L484" s="4" t="s">
        <v>1889</v>
      </c>
      <c r="M484" s="8" t="s">
        <v>3195</v>
      </c>
      <c r="N484" s="4" t="s">
        <v>1890</v>
      </c>
      <c r="O484" s="8" t="s">
        <v>1935</v>
      </c>
      <c r="P484" s="4">
        <v>166</v>
      </c>
      <c r="Q484" s="4" t="s">
        <v>3324</v>
      </c>
      <c r="R484" s="10">
        <v>29</v>
      </c>
      <c r="S484" s="10">
        <v>310.83</v>
      </c>
      <c r="T484" s="10">
        <v>0</v>
      </c>
      <c r="U484" s="10">
        <f t="shared" si="181"/>
        <v>0</v>
      </c>
      <c r="V484" s="11"/>
      <c r="W484" s="11">
        <v>2015</v>
      </c>
      <c r="X484" s="4">
        <v>11</v>
      </c>
    </row>
    <row r="485" spans="1:24" s="23" customFormat="1" ht="76.5" customHeight="1" outlineLevel="1" x14ac:dyDescent="0.2">
      <c r="A485" s="1" t="s">
        <v>7435</v>
      </c>
      <c r="B485" s="15" t="s">
        <v>5277</v>
      </c>
      <c r="C485" s="4" t="s">
        <v>1911</v>
      </c>
      <c r="D485" s="4" t="s">
        <v>1912</v>
      </c>
      <c r="E485" s="4" t="s">
        <v>1913</v>
      </c>
      <c r="F485" s="4"/>
      <c r="G485" s="4" t="s">
        <v>1888</v>
      </c>
      <c r="H485" s="22">
        <v>1</v>
      </c>
      <c r="I485" s="4">
        <v>710000000</v>
      </c>
      <c r="J485" s="4" t="s">
        <v>1931</v>
      </c>
      <c r="K485" s="4" t="s">
        <v>7338</v>
      </c>
      <c r="L485" s="4" t="s">
        <v>1889</v>
      </c>
      <c r="M485" s="8" t="s">
        <v>3195</v>
      </c>
      <c r="N485" s="4" t="s">
        <v>1890</v>
      </c>
      <c r="O485" s="8" t="s">
        <v>1935</v>
      </c>
      <c r="P485" s="4">
        <v>166</v>
      </c>
      <c r="Q485" s="4" t="s">
        <v>3324</v>
      </c>
      <c r="R485" s="10">
        <v>29</v>
      </c>
      <c r="S485" s="10">
        <v>310.83</v>
      </c>
      <c r="T485" s="10">
        <f t="shared" ref="T485" si="216">S485*R485</f>
        <v>9014.07</v>
      </c>
      <c r="U485" s="10">
        <f t="shared" ref="U485" si="217">T485*1.12</f>
        <v>10095.758400000001</v>
      </c>
      <c r="V485" s="11"/>
      <c r="W485" s="11">
        <v>2015</v>
      </c>
      <c r="X485" s="4"/>
    </row>
    <row r="486" spans="1:24" s="23" customFormat="1" ht="76.5" customHeight="1" outlineLevel="1" x14ac:dyDescent="0.2">
      <c r="A486" s="1" t="s">
        <v>4497</v>
      </c>
      <c r="B486" s="15" t="s">
        <v>5277</v>
      </c>
      <c r="C486" s="4" t="s">
        <v>3564</v>
      </c>
      <c r="D486" s="4" t="s">
        <v>5909</v>
      </c>
      <c r="E486" s="4" t="s">
        <v>5910</v>
      </c>
      <c r="F486" s="4"/>
      <c r="G486" s="4" t="s">
        <v>1888</v>
      </c>
      <c r="H486" s="22">
        <v>1</v>
      </c>
      <c r="I486" s="4">
        <v>710000000</v>
      </c>
      <c r="J486" s="4" t="s">
        <v>1931</v>
      </c>
      <c r="K486" s="4" t="s">
        <v>5297</v>
      </c>
      <c r="L486" s="4" t="s">
        <v>1889</v>
      </c>
      <c r="M486" s="8" t="s">
        <v>3195</v>
      </c>
      <c r="N486" s="4" t="s">
        <v>1890</v>
      </c>
      <c r="O486" s="8" t="s">
        <v>1935</v>
      </c>
      <c r="P486" s="4">
        <v>166</v>
      </c>
      <c r="Q486" s="4" t="s">
        <v>3324</v>
      </c>
      <c r="R486" s="10">
        <v>237</v>
      </c>
      <c r="S486" s="10">
        <v>312.95999999999998</v>
      </c>
      <c r="T486" s="10">
        <v>0</v>
      </c>
      <c r="U486" s="10">
        <f t="shared" si="181"/>
        <v>0</v>
      </c>
      <c r="V486" s="11"/>
      <c r="W486" s="11">
        <v>2015</v>
      </c>
      <c r="X486" s="4">
        <v>11</v>
      </c>
    </row>
    <row r="487" spans="1:24" s="23" customFormat="1" ht="76.5" customHeight="1" outlineLevel="1" x14ac:dyDescent="0.2">
      <c r="A487" s="1" t="s">
        <v>7436</v>
      </c>
      <c r="B487" s="15" t="s">
        <v>5277</v>
      </c>
      <c r="C487" s="4" t="s">
        <v>3564</v>
      </c>
      <c r="D487" s="4" t="s">
        <v>5909</v>
      </c>
      <c r="E487" s="4" t="s">
        <v>5910</v>
      </c>
      <c r="F487" s="4"/>
      <c r="G487" s="4" t="s">
        <v>1888</v>
      </c>
      <c r="H487" s="22">
        <v>1</v>
      </c>
      <c r="I487" s="4">
        <v>710000000</v>
      </c>
      <c r="J487" s="4" t="s">
        <v>1931</v>
      </c>
      <c r="K487" s="4" t="s">
        <v>7338</v>
      </c>
      <c r="L487" s="4" t="s">
        <v>1889</v>
      </c>
      <c r="M487" s="8" t="s">
        <v>3195</v>
      </c>
      <c r="N487" s="4" t="s">
        <v>1890</v>
      </c>
      <c r="O487" s="8" t="s">
        <v>1935</v>
      </c>
      <c r="P487" s="4">
        <v>166</v>
      </c>
      <c r="Q487" s="4" t="s">
        <v>3324</v>
      </c>
      <c r="R487" s="10">
        <v>237</v>
      </c>
      <c r="S487" s="10">
        <v>312.95999999999998</v>
      </c>
      <c r="T487" s="10">
        <f t="shared" ref="T487" si="218">S487*R487</f>
        <v>74171.51999999999</v>
      </c>
      <c r="U487" s="10">
        <f t="shared" ref="U487" si="219">T487*1.12</f>
        <v>83072.102400000003</v>
      </c>
      <c r="V487" s="11"/>
      <c r="W487" s="11">
        <v>2015</v>
      </c>
      <c r="X487" s="4"/>
    </row>
    <row r="488" spans="1:24" s="23" customFormat="1" ht="76.5" customHeight="1" outlineLevel="1" x14ac:dyDescent="0.2">
      <c r="A488" s="1" t="s">
        <v>4498</v>
      </c>
      <c r="B488" s="15" t="s">
        <v>5277</v>
      </c>
      <c r="C488" s="4" t="s">
        <v>3209</v>
      </c>
      <c r="D488" s="4" t="s">
        <v>5826</v>
      </c>
      <c r="E488" s="4" t="s">
        <v>5827</v>
      </c>
      <c r="F488" s="4"/>
      <c r="G488" s="4" t="s">
        <v>1888</v>
      </c>
      <c r="H488" s="22">
        <v>0</v>
      </c>
      <c r="I488" s="4">
        <v>710000000</v>
      </c>
      <c r="J488" s="4" t="s">
        <v>1931</v>
      </c>
      <c r="K488" s="4" t="s">
        <v>5297</v>
      </c>
      <c r="L488" s="4" t="s">
        <v>1889</v>
      </c>
      <c r="M488" s="8" t="s">
        <v>3195</v>
      </c>
      <c r="N488" s="4" t="s">
        <v>1890</v>
      </c>
      <c r="O488" s="8" t="s">
        <v>1935</v>
      </c>
      <c r="P488" s="4">
        <v>166</v>
      </c>
      <c r="Q488" s="4" t="s">
        <v>3324</v>
      </c>
      <c r="R488" s="10">
        <v>50</v>
      </c>
      <c r="S488" s="10">
        <v>763.78</v>
      </c>
      <c r="T488" s="10">
        <v>0</v>
      </c>
      <c r="U488" s="10">
        <f t="shared" si="181"/>
        <v>0</v>
      </c>
      <c r="V488" s="11"/>
      <c r="W488" s="11">
        <v>2015</v>
      </c>
      <c r="X488" s="4">
        <v>11</v>
      </c>
    </row>
    <row r="489" spans="1:24" s="23" customFormat="1" ht="76.5" customHeight="1" outlineLevel="1" x14ac:dyDescent="0.2">
      <c r="A489" s="1" t="s">
        <v>7437</v>
      </c>
      <c r="B489" s="15" t="s">
        <v>5277</v>
      </c>
      <c r="C489" s="4" t="s">
        <v>3209</v>
      </c>
      <c r="D489" s="4" t="s">
        <v>5826</v>
      </c>
      <c r="E489" s="4" t="s">
        <v>5827</v>
      </c>
      <c r="F489" s="4"/>
      <c r="G489" s="4" t="s">
        <v>1888</v>
      </c>
      <c r="H489" s="22">
        <v>0</v>
      </c>
      <c r="I489" s="4">
        <v>710000000</v>
      </c>
      <c r="J489" s="4" t="s">
        <v>1931</v>
      </c>
      <c r="K489" s="4" t="s">
        <v>7338</v>
      </c>
      <c r="L489" s="4" t="s">
        <v>1889</v>
      </c>
      <c r="M489" s="8" t="s">
        <v>3195</v>
      </c>
      <c r="N489" s="4" t="s">
        <v>1890</v>
      </c>
      <c r="O489" s="8" t="s">
        <v>1935</v>
      </c>
      <c r="P489" s="4">
        <v>166</v>
      </c>
      <c r="Q489" s="4" t="s">
        <v>3324</v>
      </c>
      <c r="R489" s="10">
        <v>50</v>
      </c>
      <c r="S489" s="10">
        <v>763.78</v>
      </c>
      <c r="T489" s="10">
        <v>0</v>
      </c>
      <c r="U489" s="10">
        <f t="shared" ref="U489" si="220">T489*1.12</f>
        <v>0</v>
      </c>
      <c r="V489" s="11"/>
      <c r="W489" s="11">
        <v>2015</v>
      </c>
      <c r="X489" s="4">
        <v>11.22</v>
      </c>
    </row>
    <row r="490" spans="1:24" s="23" customFormat="1" ht="76.5" customHeight="1" outlineLevel="1" x14ac:dyDescent="0.2">
      <c r="A490" s="1" t="s">
        <v>8440</v>
      </c>
      <c r="B490" s="15" t="s">
        <v>5277</v>
      </c>
      <c r="C490" s="4" t="s">
        <v>3209</v>
      </c>
      <c r="D490" s="4" t="s">
        <v>5826</v>
      </c>
      <c r="E490" s="4" t="s">
        <v>5827</v>
      </c>
      <c r="F490" s="4"/>
      <c r="G490" s="4" t="s">
        <v>1888</v>
      </c>
      <c r="H490" s="22">
        <v>0</v>
      </c>
      <c r="I490" s="4">
        <v>710000000</v>
      </c>
      <c r="J490" s="4" t="s">
        <v>1931</v>
      </c>
      <c r="K490" s="4" t="s">
        <v>8441</v>
      </c>
      <c r="L490" s="4" t="s">
        <v>1889</v>
      </c>
      <c r="M490" s="8" t="s">
        <v>3195</v>
      </c>
      <c r="N490" s="4" t="s">
        <v>1890</v>
      </c>
      <c r="O490" s="8" t="s">
        <v>1935</v>
      </c>
      <c r="P490" s="4">
        <v>166</v>
      </c>
      <c r="Q490" s="4" t="s">
        <v>3324</v>
      </c>
      <c r="R490" s="10">
        <v>50</v>
      </c>
      <c r="S490" s="10">
        <v>763.78</v>
      </c>
      <c r="T490" s="10">
        <f t="shared" ref="T490" si="221">S490*R490</f>
        <v>38189</v>
      </c>
      <c r="U490" s="10">
        <f t="shared" ref="U490" si="222">T490*1.12</f>
        <v>42771.680000000008</v>
      </c>
      <c r="V490" s="11"/>
      <c r="W490" s="11">
        <v>2015</v>
      </c>
      <c r="X490" s="4"/>
    </row>
    <row r="491" spans="1:24" s="23" customFormat="1" ht="127.5" customHeight="1" outlineLevel="1" x14ac:dyDescent="0.2">
      <c r="A491" s="1" t="s">
        <v>4499</v>
      </c>
      <c r="B491" s="15" t="s">
        <v>5277</v>
      </c>
      <c r="C491" s="4" t="s">
        <v>3208</v>
      </c>
      <c r="D491" s="4" t="s">
        <v>5824</v>
      </c>
      <c r="E491" s="4" t="s">
        <v>5825</v>
      </c>
      <c r="F491" s="4"/>
      <c r="G491" s="4" t="s">
        <v>1888</v>
      </c>
      <c r="H491" s="22">
        <v>0</v>
      </c>
      <c r="I491" s="4">
        <v>710000000</v>
      </c>
      <c r="J491" s="4" t="s">
        <v>1931</v>
      </c>
      <c r="K491" s="4" t="s">
        <v>5297</v>
      </c>
      <c r="L491" s="4" t="s">
        <v>1889</v>
      </c>
      <c r="M491" s="8" t="s">
        <v>3195</v>
      </c>
      <c r="N491" s="4" t="s">
        <v>1890</v>
      </c>
      <c r="O491" s="8" t="s">
        <v>1935</v>
      </c>
      <c r="P491" s="4">
        <v>166</v>
      </c>
      <c r="Q491" s="4" t="s">
        <v>3324</v>
      </c>
      <c r="R491" s="10">
        <v>10</v>
      </c>
      <c r="S491" s="10">
        <v>2321.4</v>
      </c>
      <c r="T491" s="10">
        <v>0</v>
      </c>
      <c r="U491" s="10">
        <f t="shared" si="181"/>
        <v>0</v>
      </c>
      <c r="V491" s="11"/>
      <c r="W491" s="11">
        <v>2015</v>
      </c>
      <c r="X491" s="4">
        <v>11</v>
      </c>
    </row>
    <row r="492" spans="1:24" s="23" customFormat="1" ht="127.5" customHeight="1" outlineLevel="1" x14ac:dyDescent="0.2">
      <c r="A492" s="1" t="s">
        <v>7438</v>
      </c>
      <c r="B492" s="15" t="s">
        <v>5277</v>
      </c>
      <c r="C492" s="4" t="s">
        <v>3208</v>
      </c>
      <c r="D492" s="4" t="s">
        <v>5824</v>
      </c>
      <c r="E492" s="4" t="s">
        <v>5825</v>
      </c>
      <c r="F492" s="4"/>
      <c r="G492" s="4" t="s">
        <v>1888</v>
      </c>
      <c r="H492" s="22">
        <v>0</v>
      </c>
      <c r="I492" s="4">
        <v>710000000</v>
      </c>
      <c r="J492" s="4" t="s">
        <v>1931</v>
      </c>
      <c r="K492" s="4" t="s">
        <v>7338</v>
      </c>
      <c r="L492" s="4" t="s">
        <v>1889</v>
      </c>
      <c r="M492" s="8" t="s">
        <v>3195</v>
      </c>
      <c r="N492" s="4" t="s">
        <v>1890</v>
      </c>
      <c r="O492" s="8" t="s">
        <v>1935</v>
      </c>
      <c r="P492" s="4">
        <v>166</v>
      </c>
      <c r="Q492" s="4" t="s">
        <v>3324</v>
      </c>
      <c r="R492" s="10">
        <v>10</v>
      </c>
      <c r="S492" s="10">
        <v>2321.4</v>
      </c>
      <c r="T492" s="10">
        <f t="shared" ref="T492" si="223">S492*R492</f>
        <v>23214</v>
      </c>
      <c r="U492" s="10">
        <f t="shared" ref="U492" si="224">T492*1.12</f>
        <v>25999.680000000004</v>
      </c>
      <c r="V492" s="11"/>
      <c r="W492" s="11">
        <v>2015</v>
      </c>
      <c r="X492" s="4"/>
    </row>
    <row r="493" spans="1:24" s="23" customFormat="1" ht="76.5" customHeight="1" outlineLevel="1" x14ac:dyDescent="0.2">
      <c r="A493" s="1" t="s">
        <v>4500</v>
      </c>
      <c r="B493" s="15" t="s">
        <v>5277</v>
      </c>
      <c r="C493" s="4" t="s">
        <v>1914</v>
      </c>
      <c r="D493" s="4" t="s">
        <v>1915</v>
      </c>
      <c r="E493" s="4" t="s">
        <v>1916</v>
      </c>
      <c r="F493" s="4"/>
      <c r="G493" s="4" t="s">
        <v>1888</v>
      </c>
      <c r="H493" s="22">
        <v>0</v>
      </c>
      <c r="I493" s="4">
        <v>710000000</v>
      </c>
      <c r="J493" s="4" t="s">
        <v>1931</v>
      </c>
      <c r="K493" s="4" t="s">
        <v>5297</v>
      </c>
      <c r="L493" s="4" t="s">
        <v>1889</v>
      </c>
      <c r="M493" s="8" t="s">
        <v>3195</v>
      </c>
      <c r="N493" s="4" t="s">
        <v>1890</v>
      </c>
      <c r="O493" s="8" t="s">
        <v>1935</v>
      </c>
      <c r="P493" s="4">
        <v>166</v>
      </c>
      <c r="Q493" s="4" t="s">
        <v>3324</v>
      </c>
      <c r="R493" s="10">
        <v>987</v>
      </c>
      <c r="S493" s="10">
        <v>535.26</v>
      </c>
      <c r="T493" s="10">
        <v>0</v>
      </c>
      <c r="U493" s="10">
        <f t="shared" si="181"/>
        <v>0</v>
      </c>
      <c r="V493" s="11"/>
      <c r="W493" s="11">
        <v>2015</v>
      </c>
      <c r="X493" s="4">
        <v>11</v>
      </c>
    </row>
    <row r="494" spans="1:24" s="23" customFormat="1" ht="76.5" customHeight="1" outlineLevel="1" x14ac:dyDescent="0.2">
      <c r="A494" s="1" t="s">
        <v>7439</v>
      </c>
      <c r="B494" s="15" t="s">
        <v>5277</v>
      </c>
      <c r="C494" s="4" t="s">
        <v>1914</v>
      </c>
      <c r="D494" s="4" t="s">
        <v>1915</v>
      </c>
      <c r="E494" s="4" t="s">
        <v>1916</v>
      </c>
      <c r="F494" s="4"/>
      <c r="G494" s="4" t="s">
        <v>1888</v>
      </c>
      <c r="H494" s="22">
        <v>0</v>
      </c>
      <c r="I494" s="4">
        <v>710000000</v>
      </c>
      <c r="J494" s="4" t="s">
        <v>1931</v>
      </c>
      <c r="K494" s="4" t="s">
        <v>7338</v>
      </c>
      <c r="L494" s="4" t="s">
        <v>1889</v>
      </c>
      <c r="M494" s="8" t="s">
        <v>3195</v>
      </c>
      <c r="N494" s="4" t="s">
        <v>1890</v>
      </c>
      <c r="O494" s="8" t="s">
        <v>1935</v>
      </c>
      <c r="P494" s="4">
        <v>166</v>
      </c>
      <c r="Q494" s="4" t="s">
        <v>3324</v>
      </c>
      <c r="R494" s="10">
        <v>987</v>
      </c>
      <c r="S494" s="10">
        <v>535.26</v>
      </c>
      <c r="T494" s="10">
        <v>0</v>
      </c>
      <c r="U494" s="10">
        <f t="shared" ref="U494" si="225">T494*1.12</f>
        <v>0</v>
      </c>
      <c r="V494" s="11"/>
      <c r="W494" s="11">
        <v>2015</v>
      </c>
      <c r="X494" s="4">
        <v>11.22</v>
      </c>
    </row>
    <row r="495" spans="1:24" s="23" customFormat="1" ht="76.5" customHeight="1" outlineLevel="1" x14ac:dyDescent="0.2">
      <c r="A495" s="1" t="s">
        <v>8442</v>
      </c>
      <c r="B495" s="15" t="s">
        <v>5277</v>
      </c>
      <c r="C495" s="4" t="s">
        <v>1914</v>
      </c>
      <c r="D495" s="4" t="s">
        <v>1915</v>
      </c>
      <c r="E495" s="4" t="s">
        <v>1916</v>
      </c>
      <c r="F495" s="4"/>
      <c r="G495" s="4" t="s">
        <v>1888</v>
      </c>
      <c r="H495" s="22">
        <v>0</v>
      </c>
      <c r="I495" s="4">
        <v>710000000</v>
      </c>
      <c r="J495" s="4" t="s">
        <v>1931</v>
      </c>
      <c r="K495" s="4" t="s">
        <v>8443</v>
      </c>
      <c r="L495" s="4" t="s">
        <v>1889</v>
      </c>
      <c r="M495" s="8" t="s">
        <v>3195</v>
      </c>
      <c r="N495" s="4" t="s">
        <v>1890</v>
      </c>
      <c r="O495" s="8" t="s">
        <v>1935</v>
      </c>
      <c r="P495" s="4">
        <v>166</v>
      </c>
      <c r="Q495" s="4" t="s">
        <v>3324</v>
      </c>
      <c r="R495" s="10">
        <v>987</v>
      </c>
      <c r="S495" s="10">
        <v>535.26</v>
      </c>
      <c r="T495" s="10">
        <f t="shared" ref="T495" si="226">S495*R495</f>
        <v>528301.62</v>
      </c>
      <c r="U495" s="10">
        <f t="shared" ref="U495" si="227">T495*1.12</f>
        <v>591697.81440000003</v>
      </c>
      <c r="V495" s="11"/>
      <c r="W495" s="11">
        <v>2015</v>
      </c>
      <c r="X495" s="4"/>
    </row>
    <row r="496" spans="1:24" s="23" customFormat="1" ht="127.5" customHeight="1" outlineLevel="1" x14ac:dyDescent="0.2">
      <c r="A496" s="1" t="s">
        <v>4501</v>
      </c>
      <c r="B496" s="15" t="s">
        <v>5277</v>
      </c>
      <c r="C496" s="4" t="s">
        <v>3217</v>
      </c>
      <c r="D496" s="4" t="s">
        <v>5841</v>
      </c>
      <c r="E496" s="4" t="s">
        <v>5842</v>
      </c>
      <c r="F496" s="4"/>
      <c r="G496" s="4" t="s">
        <v>1888</v>
      </c>
      <c r="H496" s="22">
        <v>1</v>
      </c>
      <c r="I496" s="4">
        <v>710000000</v>
      </c>
      <c r="J496" s="4" t="s">
        <v>1931</v>
      </c>
      <c r="K496" s="4" t="s">
        <v>5297</v>
      </c>
      <c r="L496" s="4" t="s">
        <v>1889</v>
      </c>
      <c r="M496" s="8" t="s">
        <v>3195</v>
      </c>
      <c r="N496" s="4" t="s">
        <v>1890</v>
      </c>
      <c r="O496" s="8" t="s">
        <v>1935</v>
      </c>
      <c r="P496" s="4">
        <v>166</v>
      </c>
      <c r="Q496" s="4" t="s">
        <v>3324</v>
      </c>
      <c r="R496" s="10">
        <v>12</v>
      </c>
      <c r="S496" s="10">
        <v>892.83</v>
      </c>
      <c r="T496" s="10">
        <v>0</v>
      </c>
      <c r="U496" s="10">
        <f t="shared" si="181"/>
        <v>0</v>
      </c>
      <c r="V496" s="11"/>
      <c r="W496" s="11">
        <v>2015</v>
      </c>
      <c r="X496" s="4">
        <v>11</v>
      </c>
    </row>
    <row r="497" spans="1:24" s="23" customFormat="1" ht="127.5" customHeight="1" outlineLevel="1" x14ac:dyDescent="0.2">
      <c r="A497" s="1" t="s">
        <v>7440</v>
      </c>
      <c r="B497" s="15" t="s">
        <v>5277</v>
      </c>
      <c r="C497" s="4" t="s">
        <v>3217</v>
      </c>
      <c r="D497" s="4" t="s">
        <v>5841</v>
      </c>
      <c r="E497" s="4" t="s">
        <v>5842</v>
      </c>
      <c r="F497" s="4"/>
      <c r="G497" s="4" t="s">
        <v>1888</v>
      </c>
      <c r="H497" s="22">
        <v>1</v>
      </c>
      <c r="I497" s="4">
        <v>710000000</v>
      </c>
      <c r="J497" s="4" t="s">
        <v>1931</v>
      </c>
      <c r="K497" s="4" t="s">
        <v>7338</v>
      </c>
      <c r="L497" s="4" t="s">
        <v>1889</v>
      </c>
      <c r="M497" s="8" t="s">
        <v>3195</v>
      </c>
      <c r="N497" s="4" t="s">
        <v>1890</v>
      </c>
      <c r="O497" s="8" t="s">
        <v>1935</v>
      </c>
      <c r="P497" s="4">
        <v>166</v>
      </c>
      <c r="Q497" s="4" t="s">
        <v>3324</v>
      </c>
      <c r="R497" s="10">
        <v>12</v>
      </c>
      <c r="S497" s="10">
        <v>892.83</v>
      </c>
      <c r="T497" s="10">
        <f t="shared" ref="T497" si="228">S497*R497</f>
        <v>10713.960000000001</v>
      </c>
      <c r="U497" s="10">
        <f t="shared" ref="U497" si="229">T497*1.12</f>
        <v>11999.635200000002</v>
      </c>
      <c r="V497" s="11"/>
      <c r="W497" s="11">
        <v>2015</v>
      </c>
      <c r="X497" s="4"/>
    </row>
    <row r="498" spans="1:24" s="23" customFormat="1" ht="76.5" customHeight="1" outlineLevel="1" x14ac:dyDescent="0.2">
      <c r="A498" s="1" t="s">
        <v>4502</v>
      </c>
      <c r="B498" s="15" t="s">
        <v>5277</v>
      </c>
      <c r="C498" s="4" t="s">
        <v>1806</v>
      </c>
      <c r="D498" s="4" t="s">
        <v>5807</v>
      </c>
      <c r="E498" s="4" t="s">
        <v>6454</v>
      </c>
      <c r="F498" s="4"/>
      <c r="G498" s="4" t="s">
        <v>1888</v>
      </c>
      <c r="H498" s="22">
        <v>1</v>
      </c>
      <c r="I498" s="4">
        <v>710000000</v>
      </c>
      <c r="J498" s="4" t="s">
        <v>1931</v>
      </c>
      <c r="K498" s="4" t="s">
        <v>5297</v>
      </c>
      <c r="L498" s="4" t="s">
        <v>1889</v>
      </c>
      <c r="M498" s="8" t="s">
        <v>3195</v>
      </c>
      <c r="N498" s="4" t="s">
        <v>1890</v>
      </c>
      <c r="O498" s="8" t="s">
        <v>1935</v>
      </c>
      <c r="P498" s="4">
        <v>166</v>
      </c>
      <c r="Q498" s="4" t="s">
        <v>3324</v>
      </c>
      <c r="R498" s="10">
        <v>8923</v>
      </c>
      <c r="S498" s="10">
        <v>178.57</v>
      </c>
      <c r="T498" s="10">
        <v>0</v>
      </c>
      <c r="U498" s="10">
        <f t="shared" si="181"/>
        <v>0</v>
      </c>
      <c r="V498" s="11"/>
      <c r="W498" s="11">
        <v>2015</v>
      </c>
      <c r="X498" s="4">
        <v>11</v>
      </c>
    </row>
    <row r="499" spans="1:24" s="23" customFormat="1" ht="76.5" customHeight="1" outlineLevel="1" x14ac:dyDescent="0.2">
      <c r="A499" s="1" t="s">
        <v>7441</v>
      </c>
      <c r="B499" s="15" t="s">
        <v>5277</v>
      </c>
      <c r="C499" s="4" t="s">
        <v>1806</v>
      </c>
      <c r="D499" s="4" t="s">
        <v>5807</v>
      </c>
      <c r="E499" s="4" t="s">
        <v>6454</v>
      </c>
      <c r="F499" s="4"/>
      <c r="G499" s="4" t="s">
        <v>1888</v>
      </c>
      <c r="H499" s="22">
        <v>1</v>
      </c>
      <c r="I499" s="4">
        <v>710000000</v>
      </c>
      <c r="J499" s="4" t="s">
        <v>1931</v>
      </c>
      <c r="K499" s="4" t="s">
        <v>7338</v>
      </c>
      <c r="L499" s="4" t="s">
        <v>1889</v>
      </c>
      <c r="M499" s="8" t="s">
        <v>3195</v>
      </c>
      <c r="N499" s="4" t="s">
        <v>1890</v>
      </c>
      <c r="O499" s="8" t="s">
        <v>1935</v>
      </c>
      <c r="P499" s="4">
        <v>166</v>
      </c>
      <c r="Q499" s="4" t="s">
        <v>3324</v>
      </c>
      <c r="R499" s="10">
        <v>8923</v>
      </c>
      <c r="S499" s="10">
        <v>178.57</v>
      </c>
      <c r="T499" s="10">
        <f t="shared" ref="T499" si="230">S499*R499</f>
        <v>1593380.1099999999</v>
      </c>
      <c r="U499" s="10">
        <f t="shared" ref="U499" si="231">T499*1.12</f>
        <v>1784585.7232000001</v>
      </c>
      <c r="V499" s="11"/>
      <c r="W499" s="11">
        <v>2015</v>
      </c>
      <c r="X499" s="4"/>
    </row>
    <row r="500" spans="1:24" s="23" customFormat="1" ht="102" customHeight="1" outlineLevel="1" x14ac:dyDescent="0.2">
      <c r="A500" s="1" t="s">
        <v>4503</v>
      </c>
      <c r="B500" s="15" t="s">
        <v>5277</v>
      </c>
      <c r="C500" s="4" t="s">
        <v>3885</v>
      </c>
      <c r="D500" s="4" t="s">
        <v>5862</v>
      </c>
      <c r="E500" s="4" t="s">
        <v>5863</v>
      </c>
      <c r="F500" s="4"/>
      <c r="G500" s="4" t="s">
        <v>1888</v>
      </c>
      <c r="H500" s="22">
        <v>0</v>
      </c>
      <c r="I500" s="4">
        <v>710000000</v>
      </c>
      <c r="J500" s="4" t="s">
        <v>1931</v>
      </c>
      <c r="K500" s="4" t="s">
        <v>5297</v>
      </c>
      <c r="L500" s="4" t="s">
        <v>1889</v>
      </c>
      <c r="M500" s="8" t="s">
        <v>3195</v>
      </c>
      <c r="N500" s="4" t="s">
        <v>1890</v>
      </c>
      <c r="O500" s="8" t="s">
        <v>1935</v>
      </c>
      <c r="P500" s="4">
        <v>166</v>
      </c>
      <c r="Q500" s="4" t="s">
        <v>3324</v>
      </c>
      <c r="R500" s="10">
        <v>17</v>
      </c>
      <c r="S500" s="10">
        <v>177.24</v>
      </c>
      <c r="T500" s="10">
        <v>0</v>
      </c>
      <c r="U500" s="10">
        <f t="shared" si="181"/>
        <v>0</v>
      </c>
      <c r="V500" s="11"/>
      <c r="W500" s="11">
        <v>2015</v>
      </c>
      <c r="X500" s="4">
        <v>11</v>
      </c>
    </row>
    <row r="501" spans="1:24" s="23" customFormat="1" ht="102" customHeight="1" outlineLevel="1" x14ac:dyDescent="0.2">
      <c r="A501" s="1" t="s">
        <v>7442</v>
      </c>
      <c r="B501" s="15" t="s">
        <v>5277</v>
      </c>
      <c r="C501" s="4" t="s">
        <v>3885</v>
      </c>
      <c r="D501" s="4" t="s">
        <v>5862</v>
      </c>
      <c r="E501" s="4" t="s">
        <v>5863</v>
      </c>
      <c r="F501" s="4"/>
      <c r="G501" s="4" t="s">
        <v>1888</v>
      </c>
      <c r="H501" s="22">
        <v>0</v>
      </c>
      <c r="I501" s="4">
        <v>710000000</v>
      </c>
      <c r="J501" s="4" t="s">
        <v>1931</v>
      </c>
      <c r="K501" s="4" t="s">
        <v>7338</v>
      </c>
      <c r="L501" s="4" t="s">
        <v>1889</v>
      </c>
      <c r="M501" s="8" t="s">
        <v>3195</v>
      </c>
      <c r="N501" s="4" t="s">
        <v>1890</v>
      </c>
      <c r="O501" s="8" t="s">
        <v>1935</v>
      </c>
      <c r="P501" s="4">
        <v>166</v>
      </c>
      <c r="Q501" s="4" t="s">
        <v>3324</v>
      </c>
      <c r="R501" s="10">
        <v>17</v>
      </c>
      <c r="S501" s="10">
        <v>177.24</v>
      </c>
      <c r="T501" s="10">
        <f t="shared" ref="T501" si="232">S501*R501</f>
        <v>3013.08</v>
      </c>
      <c r="U501" s="10">
        <f t="shared" ref="U501" si="233">T501*1.12</f>
        <v>3374.6496000000002</v>
      </c>
      <c r="V501" s="11"/>
      <c r="W501" s="11">
        <v>2015</v>
      </c>
      <c r="X501" s="4"/>
    </row>
    <row r="502" spans="1:24" s="23" customFormat="1" ht="76.5" customHeight="1" outlineLevel="1" x14ac:dyDescent="0.2">
      <c r="A502" s="1" t="s">
        <v>4504</v>
      </c>
      <c r="B502" s="15" t="s">
        <v>5277</v>
      </c>
      <c r="C502" s="4" t="s">
        <v>3565</v>
      </c>
      <c r="D502" s="4" t="s">
        <v>5911</v>
      </c>
      <c r="E502" s="4" t="s">
        <v>5912</v>
      </c>
      <c r="F502" s="4"/>
      <c r="G502" s="4" t="s">
        <v>1888</v>
      </c>
      <c r="H502" s="22">
        <v>1</v>
      </c>
      <c r="I502" s="4">
        <v>710000000</v>
      </c>
      <c r="J502" s="4" t="s">
        <v>1931</v>
      </c>
      <c r="K502" s="4" t="s">
        <v>5297</v>
      </c>
      <c r="L502" s="4" t="s">
        <v>1889</v>
      </c>
      <c r="M502" s="8" t="s">
        <v>3195</v>
      </c>
      <c r="N502" s="4" t="s">
        <v>1890</v>
      </c>
      <c r="O502" s="8" t="s">
        <v>1935</v>
      </c>
      <c r="P502" s="4">
        <v>166</v>
      </c>
      <c r="Q502" s="4" t="s">
        <v>3324</v>
      </c>
      <c r="R502" s="10">
        <v>999</v>
      </c>
      <c r="S502" s="10">
        <v>130.47999999999999</v>
      </c>
      <c r="T502" s="10">
        <v>0</v>
      </c>
      <c r="U502" s="10">
        <f t="shared" si="181"/>
        <v>0</v>
      </c>
      <c r="V502" s="11"/>
      <c r="W502" s="11">
        <v>2015</v>
      </c>
      <c r="X502" s="4">
        <v>11</v>
      </c>
    </row>
    <row r="503" spans="1:24" s="23" customFormat="1" ht="76.5" customHeight="1" outlineLevel="1" x14ac:dyDescent="0.2">
      <c r="A503" s="1" t="s">
        <v>7443</v>
      </c>
      <c r="B503" s="15" t="s">
        <v>5277</v>
      </c>
      <c r="C503" s="4" t="s">
        <v>3565</v>
      </c>
      <c r="D503" s="4" t="s">
        <v>5911</v>
      </c>
      <c r="E503" s="4" t="s">
        <v>5912</v>
      </c>
      <c r="F503" s="4"/>
      <c r="G503" s="4" t="s">
        <v>1888</v>
      </c>
      <c r="H503" s="22">
        <v>1</v>
      </c>
      <c r="I503" s="4">
        <v>710000000</v>
      </c>
      <c r="J503" s="4" t="s">
        <v>1931</v>
      </c>
      <c r="K503" s="4" t="s">
        <v>7338</v>
      </c>
      <c r="L503" s="4" t="s">
        <v>1889</v>
      </c>
      <c r="M503" s="8" t="s">
        <v>3195</v>
      </c>
      <c r="N503" s="4" t="s">
        <v>1890</v>
      </c>
      <c r="O503" s="8" t="s">
        <v>1935</v>
      </c>
      <c r="P503" s="4">
        <v>166</v>
      </c>
      <c r="Q503" s="4" t="s">
        <v>3324</v>
      </c>
      <c r="R503" s="10">
        <v>999</v>
      </c>
      <c r="S503" s="10">
        <v>130.47999999999999</v>
      </c>
      <c r="T503" s="10">
        <f t="shared" ref="T503" si="234">S503*R503</f>
        <v>130349.51999999999</v>
      </c>
      <c r="U503" s="10">
        <f t="shared" ref="U503" si="235">T503*1.12</f>
        <v>145991.46239999999</v>
      </c>
      <c r="V503" s="11"/>
      <c r="W503" s="11">
        <v>2015</v>
      </c>
      <c r="X503" s="4"/>
    </row>
    <row r="504" spans="1:24" s="23" customFormat="1" ht="76.5" customHeight="1" outlineLevel="1" x14ac:dyDescent="0.2">
      <c r="A504" s="1" t="s">
        <v>4505</v>
      </c>
      <c r="B504" s="15" t="s">
        <v>5277</v>
      </c>
      <c r="C504" s="4" t="s">
        <v>3210</v>
      </c>
      <c r="D504" s="4" t="s">
        <v>5828</v>
      </c>
      <c r="E504" s="4" t="s">
        <v>5829</v>
      </c>
      <c r="F504" s="4"/>
      <c r="G504" s="4" t="s">
        <v>1888</v>
      </c>
      <c r="H504" s="22">
        <v>0</v>
      </c>
      <c r="I504" s="4">
        <v>710000000</v>
      </c>
      <c r="J504" s="4" t="s">
        <v>1931</v>
      </c>
      <c r="K504" s="4" t="s">
        <v>5297</v>
      </c>
      <c r="L504" s="4" t="s">
        <v>1889</v>
      </c>
      <c r="M504" s="8" t="s">
        <v>3195</v>
      </c>
      <c r="N504" s="4" t="s">
        <v>1890</v>
      </c>
      <c r="O504" s="8" t="s">
        <v>1935</v>
      </c>
      <c r="P504" s="4">
        <v>166</v>
      </c>
      <c r="Q504" s="4" t="s">
        <v>3324</v>
      </c>
      <c r="R504" s="10">
        <v>116</v>
      </c>
      <c r="S504" s="10">
        <v>464.21</v>
      </c>
      <c r="T504" s="10">
        <v>0</v>
      </c>
      <c r="U504" s="10">
        <f t="shared" si="181"/>
        <v>0</v>
      </c>
      <c r="V504" s="11"/>
      <c r="W504" s="11">
        <v>2015</v>
      </c>
      <c r="X504" s="4">
        <v>11</v>
      </c>
    </row>
    <row r="505" spans="1:24" s="23" customFormat="1" ht="76.5" customHeight="1" outlineLevel="1" x14ac:dyDescent="0.2">
      <c r="A505" s="1" t="s">
        <v>7444</v>
      </c>
      <c r="B505" s="15" t="s">
        <v>5277</v>
      </c>
      <c r="C505" s="4" t="s">
        <v>3210</v>
      </c>
      <c r="D505" s="4" t="s">
        <v>5828</v>
      </c>
      <c r="E505" s="4" t="s">
        <v>5829</v>
      </c>
      <c r="F505" s="4"/>
      <c r="G505" s="4" t="s">
        <v>1888</v>
      </c>
      <c r="H505" s="22">
        <v>0</v>
      </c>
      <c r="I505" s="4">
        <v>710000000</v>
      </c>
      <c r="J505" s="4" t="s">
        <v>1931</v>
      </c>
      <c r="K505" s="4" t="s">
        <v>7338</v>
      </c>
      <c r="L505" s="4" t="s">
        <v>1889</v>
      </c>
      <c r="M505" s="8" t="s">
        <v>3195</v>
      </c>
      <c r="N505" s="4" t="s">
        <v>1890</v>
      </c>
      <c r="O505" s="8" t="s">
        <v>1935</v>
      </c>
      <c r="P505" s="4">
        <v>166</v>
      </c>
      <c r="Q505" s="4" t="s">
        <v>3324</v>
      </c>
      <c r="R505" s="10">
        <v>116</v>
      </c>
      <c r="S505" s="10">
        <v>464.21</v>
      </c>
      <c r="T505" s="10">
        <v>0</v>
      </c>
      <c r="U505" s="10">
        <f t="shared" ref="U505" si="236">T505*1.12</f>
        <v>0</v>
      </c>
      <c r="V505" s="11"/>
      <c r="W505" s="11">
        <v>2015</v>
      </c>
      <c r="X505" s="4">
        <v>11.22</v>
      </c>
    </row>
    <row r="506" spans="1:24" s="23" customFormat="1" ht="76.5" customHeight="1" outlineLevel="1" x14ac:dyDescent="0.2">
      <c r="A506" s="1" t="s">
        <v>8444</v>
      </c>
      <c r="B506" s="15" t="s">
        <v>5277</v>
      </c>
      <c r="C506" s="4" t="s">
        <v>3210</v>
      </c>
      <c r="D506" s="4" t="s">
        <v>5828</v>
      </c>
      <c r="E506" s="4" t="s">
        <v>5829</v>
      </c>
      <c r="F506" s="4"/>
      <c r="G506" s="4" t="s">
        <v>1888</v>
      </c>
      <c r="H506" s="22">
        <v>0</v>
      </c>
      <c r="I506" s="4">
        <v>710000000</v>
      </c>
      <c r="J506" s="4" t="s">
        <v>1931</v>
      </c>
      <c r="K506" s="4" t="s">
        <v>8400</v>
      </c>
      <c r="L506" s="4" t="s">
        <v>1889</v>
      </c>
      <c r="M506" s="8" t="s">
        <v>3195</v>
      </c>
      <c r="N506" s="4" t="s">
        <v>1890</v>
      </c>
      <c r="O506" s="8" t="s">
        <v>1935</v>
      </c>
      <c r="P506" s="4">
        <v>166</v>
      </c>
      <c r="Q506" s="4" t="s">
        <v>3324</v>
      </c>
      <c r="R506" s="10">
        <v>116</v>
      </c>
      <c r="S506" s="10">
        <v>464.21</v>
      </c>
      <c r="T506" s="10">
        <f t="shared" ref="T506" si="237">S506*R506</f>
        <v>53848.36</v>
      </c>
      <c r="U506" s="10">
        <f t="shared" ref="U506" si="238">T506*1.12</f>
        <v>60310.16320000001</v>
      </c>
      <c r="V506" s="11"/>
      <c r="W506" s="11">
        <v>2015</v>
      </c>
      <c r="X506" s="4"/>
    </row>
    <row r="507" spans="1:24" s="23" customFormat="1" ht="76.5" customHeight="1" outlineLevel="1" x14ac:dyDescent="0.2">
      <c r="A507" s="1" t="s">
        <v>4506</v>
      </c>
      <c r="B507" s="15" t="s">
        <v>5277</v>
      </c>
      <c r="C507" s="4" t="s">
        <v>1917</v>
      </c>
      <c r="D507" s="4" t="s">
        <v>1918</v>
      </c>
      <c r="E507" s="4" t="s">
        <v>1919</v>
      </c>
      <c r="F507" s="4"/>
      <c r="G507" s="4" t="s">
        <v>1888</v>
      </c>
      <c r="H507" s="22">
        <v>0</v>
      </c>
      <c r="I507" s="4">
        <v>710000000</v>
      </c>
      <c r="J507" s="4" t="s">
        <v>1931</v>
      </c>
      <c r="K507" s="4" t="s">
        <v>5297</v>
      </c>
      <c r="L507" s="4" t="s">
        <v>1889</v>
      </c>
      <c r="M507" s="8" t="s">
        <v>3195</v>
      </c>
      <c r="N507" s="4" t="s">
        <v>1890</v>
      </c>
      <c r="O507" s="8" t="s">
        <v>1935</v>
      </c>
      <c r="P507" s="4">
        <v>166</v>
      </c>
      <c r="Q507" s="4" t="s">
        <v>3324</v>
      </c>
      <c r="R507" s="10">
        <v>216</v>
      </c>
      <c r="S507" s="10">
        <v>536</v>
      </c>
      <c r="T507" s="10">
        <v>0</v>
      </c>
      <c r="U507" s="10">
        <f t="shared" si="181"/>
        <v>0</v>
      </c>
      <c r="V507" s="11"/>
      <c r="W507" s="11">
        <v>2015</v>
      </c>
      <c r="X507" s="4">
        <v>11</v>
      </c>
    </row>
    <row r="508" spans="1:24" s="23" customFormat="1" ht="76.5" customHeight="1" outlineLevel="1" x14ac:dyDescent="0.2">
      <c r="A508" s="1" t="s">
        <v>7445</v>
      </c>
      <c r="B508" s="15" t="s">
        <v>5277</v>
      </c>
      <c r="C508" s="4" t="s">
        <v>1917</v>
      </c>
      <c r="D508" s="4" t="s">
        <v>1918</v>
      </c>
      <c r="E508" s="4" t="s">
        <v>1919</v>
      </c>
      <c r="F508" s="4"/>
      <c r="G508" s="4" t="s">
        <v>1888</v>
      </c>
      <c r="H508" s="22">
        <v>0</v>
      </c>
      <c r="I508" s="4">
        <v>710000000</v>
      </c>
      <c r="J508" s="4" t="s">
        <v>1931</v>
      </c>
      <c r="K508" s="4" t="s">
        <v>7338</v>
      </c>
      <c r="L508" s="4" t="s">
        <v>1889</v>
      </c>
      <c r="M508" s="8" t="s">
        <v>3195</v>
      </c>
      <c r="N508" s="4" t="s">
        <v>1890</v>
      </c>
      <c r="O508" s="8" t="s">
        <v>1935</v>
      </c>
      <c r="P508" s="4">
        <v>166</v>
      </c>
      <c r="Q508" s="4" t="s">
        <v>3324</v>
      </c>
      <c r="R508" s="10">
        <v>216</v>
      </c>
      <c r="S508" s="10">
        <v>536</v>
      </c>
      <c r="T508" s="10">
        <v>0</v>
      </c>
      <c r="U508" s="10">
        <f t="shared" ref="U508" si="239">T508*1.12</f>
        <v>0</v>
      </c>
      <c r="V508" s="11"/>
      <c r="W508" s="11">
        <v>2015</v>
      </c>
      <c r="X508" s="4">
        <v>11.22</v>
      </c>
    </row>
    <row r="509" spans="1:24" s="23" customFormat="1" ht="76.5" customHeight="1" outlineLevel="1" x14ac:dyDescent="0.2">
      <c r="A509" s="1" t="s">
        <v>8445</v>
      </c>
      <c r="B509" s="15" t="s">
        <v>5277</v>
      </c>
      <c r="C509" s="4" t="s">
        <v>1917</v>
      </c>
      <c r="D509" s="4" t="s">
        <v>1918</v>
      </c>
      <c r="E509" s="4" t="s">
        <v>1919</v>
      </c>
      <c r="F509" s="4"/>
      <c r="G509" s="4" t="s">
        <v>1888</v>
      </c>
      <c r="H509" s="22">
        <v>0</v>
      </c>
      <c r="I509" s="4">
        <v>710000000</v>
      </c>
      <c r="J509" s="4" t="s">
        <v>1931</v>
      </c>
      <c r="K509" s="4" t="s">
        <v>8400</v>
      </c>
      <c r="L509" s="4" t="s">
        <v>1889</v>
      </c>
      <c r="M509" s="8" t="s">
        <v>3195</v>
      </c>
      <c r="N509" s="4" t="s">
        <v>1890</v>
      </c>
      <c r="O509" s="8" t="s">
        <v>1935</v>
      </c>
      <c r="P509" s="4">
        <v>166</v>
      </c>
      <c r="Q509" s="4" t="s">
        <v>3324</v>
      </c>
      <c r="R509" s="10">
        <v>216</v>
      </c>
      <c r="S509" s="10">
        <v>536</v>
      </c>
      <c r="T509" s="10">
        <f t="shared" ref="T509" si="240">S509*R509</f>
        <v>115776</v>
      </c>
      <c r="U509" s="10">
        <f t="shared" ref="U509" si="241">T509*1.12</f>
        <v>129669.12000000001</v>
      </c>
      <c r="V509" s="11"/>
      <c r="W509" s="11">
        <v>2015</v>
      </c>
      <c r="X509" s="4"/>
    </row>
    <row r="510" spans="1:24" s="23" customFormat="1" ht="76.5" customHeight="1" outlineLevel="1" x14ac:dyDescent="0.2">
      <c r="A510" s="1" t="s">
        <v>4507</v>
      </c>
      <c r="B510" s="15" t="s">
        <v>5277</v>
      </c>
      <c r="C510" s="4" t="s">
        <v>1920</v>
      </c>
      <c r="D510" s="4" t="s">
        <v>1921</v>
      </c>
      <c r="E510" s="4" t="s">
        <v>1922</v>
      </c>
      <c r="F510" s="4"/>
      <c r="G510" s="4" t="s">
        <v>1888</v>
      </c>
      <c r="H510" s="22">
        <v>0</v>
      </c>
      <c r="I510" s="4">
        <v>710000000</v>
      </c>
      <c r="J510" s="4" t="s">
        <v>1931</v>
      </c>
      <c r="K510" s="4" t="s">
        <v>5297</v>
      </c>
      <c r="L510" s="4" t="s">
        <v>1889</v>
      </c>
      <c r="M510" s="8" t="s">
        <v>3195</v>
      </c>
      <c r="N510" s="4" t="s">
        <v>1890</v>
      </c>
      <c r="O510" s="8" t="s">
        <v>1935</v>
      </c>
      <c r="P510" s="4">
        <v>166</v>
      </c>
      <c r="Q510" s="4" t="s">
        <v>3324</v>
      </c>
      <c r="R510" s="10">
        <v>216</v>
      </c>
      <c r="S510" s="10">
        <v>536</v>
      </c>
      <c r="T510" s="10">
        <v>0</v>
      </c>
      <c r="U510" s="10">
        <f t="shared" si="181"/>
        <v>0</v>
      </c>
      <c r="V510" s="11"/>
      <c r="W510" s="11">
        <v>2015</v>
      </c>
      <c r="X510" s="4">
        <v>11</v>
      </c>
    </row>
    <row r="511" spans="1:24" s="23" customFormat="1" ht="76.5" customHeight="1" outlineLevel="1" x14ac:dyDescent="0.2">
      <c r="A511" s="1" t="s">
        <v>7446</v>
      </c>
      <c r="B511" s="15" t="s">
        <v>5277</v>
      </c>
      <c r="C511" s="4" t="s">
        <v>1920</v>
      </c>
      <c r="D511" s="4" t="s">
        <v>1921</v>
      </c>
      <c r="E511" s="4" t="s">
        <v>1922</v>
      </c>
      <c r="F511" s="4"/>
      <c r="G511" s="4" t="s">
        <v>1888</v>
      </c>
      <c r="H511" s="22">
        <v>0</v>
      </c>
      <c r="I511" s="4">
        <v>710000000</v>
      </c>
      <c r="J511" s="4" t="s">
        <v>1931</v>
      </c>
      <c r="K511" s="4" t="s">
        <v>7338</v>
      </c>
      <c r="L511" s="4" t="s">
        <v>1889</v>
      </c>
      <c r="M511" s="8" t="s">
        <v>3195</v>
      </c>
      <c r="N511" s="4" t="s">
        <v>1890</v>
      </c>
      <c r="O511" s="8" t="s">
        <v>1935</v>
      </c>
      <c r="P511" s="4">
        <v>166</v>
      </c>
      <c r="Q511" s="4" t="s">
        <v>3324</v>
      </c>
      <c r="R511" s="10">
        <v>216</v>
      </c>
      <c r="S511" s="10">
        <v>536</v>
      </c>
      <c r="T511" s="10">
        <v>0</v>
      </c>
      <c r="U511" s="10">
        <f t="shared" ref="U511" si="242">T511*1.12</f>
        <v>0</v>
      </c>
      <c r="V511" s="11"/>
      <c r="W511" s="11">
        <v>2015</v>
      </c>
      <c r="X511" s="4">
        <v>11.22</v>
      </c>
    </row>
    <row r="512" spans="1:24" s="23" customFormat="1" ht="76.5" customHeight="1" outlineLevel="1" x14ac:dyDescent="0.2">
      <c r="A512" s="1" t="s">
        <v>8446</v>
      </c>
      <c r="B512" s="15" t="s">
        <v>5277</v>
      </c>
      <c r="C512" s="4" t="s">
        <v>1920</v>
      </c>
      <c r="D512" s="4" t="s">
        <v>1921</v>
      </c>
      <c r="E512" s="4" t="s">
        <v>1922</v>
      </c>
      <c r="F512" s="4"/>
      <c r="G512" s="4" t="s">
        <v>1888</v>
      </c>
      <c r="H512" s="22">
        <v>0</v>
      </c>
      <c r="I512" s="4">
        <v>710000000</v>
      </c>
      <c r="J512" s="4" t="s">
        <v>1931</v>
      </c>
      <c r="K512" s="4" t="s">
        <v>8400</v>
      </c>
      <c r="L512" s="4" t="s">
        <v>1889</v>
      </c>
      <c r="M512" s="8" t="s">
        <v>3195</v>
      </c>
      <c r="N512" s="4" t="s">
        <v>1890</v>
      </c>
      <c r="O512" s="8" t="s">
        <v>1935</v>
      </c>
      <c r="P512" s="4">
        <v>166</v>
      </c>
      <c r="Q512" s="4" t="s">
        <v>3324</v>
      </c>
      <c r="R512" s="10">
        <v>216</v>
      </c>
      <c r="S512" s="10">
        <v>536</v>
      </c>
      <c r="T512" s="10">
        <f t="shared" ref="T512" si="243">S512*R512</f>
        <v>115776</v>
      </c>
      <c r="U512" s="10">
        <f t="shared" ref="U512" si="244">T512*1.12</f>
        <v>129669.12000000001</v>
      </c>
      <c r="V512" s="11"/>
      <c r="W512" s="11">
        <v>2015</v>
      </c>
      <c r="X512" s="4"/>
    </row>
    <row r="513" spans="1:24" s="23" customFormat="1" ht="76.5" customHeight="1" outlineLevel="1" x14ac:dyDescent="0.2">
      <c r="A513" s="1" t="s">
        <v>4508</v>
      </c>
      <c r="B513" s="15" t="s">
        <v>5277</v>
      </c>
      <c r="C513" s="4" t="s">
        <v>3565</v>
      </c>
      <c r="D513" s="4" t="s">
        <v>5911</v>
      </c>
      <c r="E513" s="4" t="s">
        <v>6434</v>
      </c>
      <c r="F513" s="4"/>
      <c r="G513" s="4" t="s">
        <v>1888</v>
      </c>
      <c r="H513" s="22">
        <v>0.5</v>
      </c>
      <c r="I513" s="4">
        <v>710000000</v>
      </c>
      <c r="J513" s="4" t="s">
        <v>1931</v>
      </c>
      <c r="K513" s="4" t="s">
        <v>5297</v>
      </c>
      <c r="L513" s="4" t="s">
        <v>1889</v>
      </c>
      <c r="M513" s="8" t="s">
        <v>3195</v>
      </c>
      <c r="N513" s="4" t="s">
        <v>1890</v>
      </c>
      <c r="O513" s="8" t="s">
        <v>1935</v>
      </c>
      <c r="P513" s="4">
        <v>166</v>
      </c>
      <c r="Q513" s="4" t="s">
        <v>3324</v>
      </c>
      <c r="R513" s="10">
        <v>175.5</v>
      </c>
      <c r="S513" s="10">
        <v>738.76</v>
      </c>
      <c r="T513" s="10">
        <v>0</v>
      </c>
      <c r="U513" s="10">
        <f t="shared" si="181"/>
        <v>0</v>
      </c>
      <c r="V513" s="11"/>
      <c r="W513" s="11">
        <v>2015</v>
      </c>
      <c r="X513" s="4" t="s">
        <v>6565</v>
      </c>
    </row>
    <row r="514" spans="1:24" s="23" customFormat="1" ht="76.5" customHeight="1" outlineLevel="1" x14ac:dyDescent="0.2">
      <c r="A514" s="1" t="s">
        <v>4509</v>
      </c>
      <c r="B514" s="15" t="s">
        <v>5277</v>
      </c>
      <c r="C514" s="4" t="s">
        <v>3540</v>
      </c>
      <c r="D514" s="4" t="s">
        <v>5762</v>
      </c>
      <c r="E514" s="4" t="s">
        <v>5763</v>
      </c>
      <c r="F514" s="4"/>
      <c r="G514" s="4" t="s">
        <v>1888</v>
      </c>
      <c r="H514" s="22">
        <v>1</v>
      </c>
      <c r="I514" s="4">
        <v>710000000</v>
      </c>
      <c r="J514" s="4" t="s">
        <v>1931</v>
      </c>
      <c r="K514" s="4" t="s">
        <v>5297</v>
      </c>
      <c r="L514" s="4" t="s">
        <v>1889</v>
      </c>
      <c r="M514" s="8" t="s">
        <v>3195</v>
      </c>
      <c r="N514" s="4" t="s">
        <v>1890</v>
      </c>
      <c r="O514" s="8" t="s">
        <v>1935</v>
      </c>
      <c r="P514" s="4">
        <v>112</v>
      </c>
      <c r="Q514" s="4" t="s">
        <v>3026</v>
      </c>
      <c r="R514" s="10">
        <v>203</v>
      </c>
      <c r="S514" s="10">
        <v>350</v>
      </c>
      <c r="T514" s="10">
        <v>0</v>
      </c>
      <c r="U514" s="10">
        <f t="shared" si="181"/>
        <v>0</v>
      </c>
      <c r="V514" s="11"/>
      <c r="W514" s="11">
        <v>2015</v>
      </c>
      <c r="X514" s="4" t="s">
        <v>6582</v>
      </c>
    </row>
    <row r="515" spans="1:24" s="23" customFormat="1" ht="76.5" customHeight="1" outlineLevel="1" x14ac:dyDescent="0.2">
      <c r="A515" s="1" t="s">
        <v>6935</v>
      </c>
      <c r="B515" s="15" t="s">
        <v>5277</v>
      </c>
      <c r="C515" s="4" t="s">
        <v>3540</v>
      </c>
      <c r="D515" s="4" t="s">
        <v>5762</v>
      </c>
      <c r="E515" s="4" t="s">
        <v>5763</v>
      </c>
      <c r="F515" s="4"/>
      <c r="G515" s="4" t="s">
        <v>1888</v>
      </c>
      <c r="H515" s="22">
        <v>1</v>
      </c>
      <c r="I515" s="4">
        <v>710000000</v>
      </c>
      <c r="J515" s="4" t="s">
        <v>1931</v>
      </c>
      <c r="K515" s="4" t="s">
        <v>5297</v>
      </c>
      <c r="L515" s="4" t="s">
        <v>1889</v>
      </c>
      <c r="M515" s="8" t="s">
        <v>3195</v>
      </c>
      <c r="N515" s="4" t="s">
        <v>1890</v>
      </c>
      <c r="O515" s="8" t="s">
        <v>1935</v>
      </c>
      <c r="P515" s="4">
        <v>112</v>
      </c>
      <c r="Q515" s="4" t="s">
        <v>3026</v>
      </c>
      <c r="R515" s="10">
        <v>203</v>
      </c>
      <c r="S515" s="10">
        <v>267.86</v>
      </c>
      <c r="T515" s="10">
        <v>0</v>
      </c>
      <c r="U515" s="10">
        <f t="shared" ref="U515" si="245">T515*1.12</f>
        <v>0</v>
      </c>
      <c r="V515" s="11"/>
      <c r="W515" s="11">
        <v>2015</v>
      </c>
      <c r="X515" s="4">
        <v>11</v>
      </c>
    </row>
    <row r="516" spans="1:24" s="23" customFormat="1" ht="76.5" customHeight="1" outlineLevel="1" x14ac:dyDescent="0.2">
      <c r="A516" s="1" t="s">
        <v>7447</v>
      </c>
      <c r="B516" s="15" t="s">
        <v>5277</v>
      </c>
      <c r="C516" s="4" t="s">
        <v>3540</v>
      </c>
      <c r="D516" s="4" t="s">
        <v>5762</v>
      </c>
      <c r="E516" s="4" t="s">
        <v>5763</v>
      </c>
      <c r="F516" s="4"/>
      <c r="G516" s="4" t="s">
        <v>1888</v>
      </c>
      <c r="H516" s="22">
        <v>1</v>
      </c>
      <c r="I516" s="4">
        <v>710000000</v>
      </c>
      <c r="J516" s="4" t="s">
        <v>1931</v>
      </c>
      <c r="K516" s="4" t="s">
        <v>7338</v>
      </c>
      <c r="L516" s="4" t="s">
        <v>1889</v>
      </c>
      <c r="M516" s="8" t="s">
        <v>3195</v>
      </c>
      <c r="N516" s="4" t="s">
        <v>1890</v>
      </c>
      <c r="O516" s="8" t="s">
        <v>1935</v>
      </c>
      <c r="P516" s="4">
        <v>112</v>
      </c>
      <c r="Q516" s="4" t="s">
        <v>3026</v>
      </c>
      <c r="R516" s="10">
        <v>203</v>
      </c>
      <c r="S516" s="10">
        <v>267.86</v>
      </c>
      <c r="T516" s="10">
        <f t="shared" ref="T516" si="246">S516*R516</f>
        <v>54375.58</v>
      </c>
      <c r="U516" s="10">
        <f t="shared" ref="U516" si="247">T516*1.12</f>
        <v>60900.649600000004</v>
      </c>
      <c r="V516" s="11"/>
      <c r="W516" s="11">
        <v>2015</v>
      </c>
      <c r="X516" s="4"/>
    </row>
    <row r="517" spans="1:24" s="23" customFormat="1" ht="89.25" customHeight="1" outlineLevel="1" x14ac:dyDescent="0.2">
      <c r="A517" s="1" t="s">
        <v>4510</v>
      </c>
      <c r="B517" s="15" t="s">
        <v>5277</v>
      </c>
      <c r="C517" s="4" t="s">
        <v>3541</v>
      </c>
      <c r="D517" s="4" t="s">
        <v>5764</v>
      </c>
      <c r="E517" s="4" t="s">
        <v>5765</v>
      </c>
      <c r="F517" s="4"/>
      <c r="G517" s="4" t="s">
        <v>1888</v>
      </c>
      <c r="H517" s="22">
        <v>1</v>
      </c>
      <c r="I517" s="4">
        <v>710000000</v>
      </c>
      <c r="J517" s="4" t="s">
        <v>1931</v>
      </c>
      <c r="K517" s="4" t="s">
        <v>5297</v>
      </c>
      <c r="L517" s="4" t="s">
        <v>1889</v>
      </c>
      <c r="M517" s="8" t="s">
        <v>3195</v>
      </c>
      <c r="N517" s="4" t="s">
        <v>1890</v>
      </c>
      <c r="O517" s="8" t="s">
        <v>1935</v>
      </c>
      <c r="P517" s="4">
        <v>112</v>
      </c>
      <c r="Q517" s="4" t="s">
        <v>3026</v>
      </c>
      <c r="R517" s="10">
        <v>203</v>
      </c>
      <c r="S517" s="10">
        <v>350</v>
      </c>
      <c r="T517" s="10">
        <v>0</v>
      </c>
      <c r="U517" s="10">
        <f t="shared" si="181"/>
        <v>0</v>
      </c>
      <c r="V517" s="11"/>
      <c r="W517" s="11">
        <v>2015</v>
      </c>
      <c r="X517" s="4" t="s">
        <v>6582</v>
      </c>
    </row>
    <row r="518" spans="1:24" s="23" customFormat="1" ht="89.25" customHeight="1" outlineLevel="1" x14ac:dyDescent="0.2">
      <c r="A518" s="1" t="s">
        <v>6936</v>
      </c>
      <c r="B518" s="15" t="s">
        <v>5277</v>
      </c>
      <c r="C518" s="4" t="s">
        <v>3541</v>
      </c>
      <c r="D518" s="4" t="s">
        <v>5764</v>
      </c>
      <c r="E518" s="4" t="s">
        <v>5765</v>
      </c>
      <c r="F518" s="4"/>
      <c r="G518" s="4" t="s">
        <v>1888</v>
      </c>
      <c r="H518" s="22">
        <v>1</v>
      </c>
      <c r="I518" s="4">
        <v>710000000</v>
      </c>
      <c r="J518" s="4" t="s">
        <v>1931</v>
      </c>
      <c r="K518" s="4" t="s">
        <v>5297</v>
      </c>
      <c r="L518" s="4" t="s">
        <v>1889</v>
      </c>
      <c r="M518" s="8" t="s">
        <v>3195</v>
      </c>
      <c r="N518" s="4" t="s">
        <v>1890</v>
      </c>
      <c r="O518" s="8" t="s">
        <v>1935</v>
      </c>
      <c r="P518" s="4">
        <v>112</v>
      </c>
      <c r="Q518" s="4" t="s">
        <v>3026</v>
      </c>
      <c r="R518" s="10">
        <v>203</v>
      </c>
      <c r="S518" s="10">
        <v>267.86</v>
      </c>
      <c r="T518" s="10">
        <v>0</v>
      </c>
      <c r="U518" s="10">
        <f t="shared" ref="U518" si="248">T518*1.12</f>
        <v>0</v>
      </c>
      <c r="V518" s="11"/>
      <c r="W518" s="11">
        <v>2015</v>
      </c>
      <c r="X518" s="4">
        <v>11</v>
      </c>
    </row>
    <row r="519" spans="1:24" s="23" customFormat="1" ht="89.25" customHeight="1" outlineLevel="1" x14ac:dyDescent="0.2">
      <c r="A519" s="1" t="s">
        <v>7448</v>
      </c>
      <c r="B519" s="15" t="s">
        <v>5277</v>
      </c>
      <c r="C519" s="4" t="s">
        <v>3541</v>
      </c>
      <c r="D519" s="4" t="s">
        <v>5764</v>
      </c>
      <c r="E519" s="4" t="s">
        <v>5765</v>
      </c>
      <c r="F519" s="4"/>
      <c r="G519" s="4" t="s">
        <v>1888</v>
      </c>
      <c r="H519" s="22">
        <v>1</v>
      </c>
      <c r="I519" s="4">
        <v>710000000</v>
      </c>
      <c r="J519" s="4" t="s">
        <v>1931</v>
      </c>
      <c r="K519" s="4" t="s">
        <v>7338</v>
      </c>
      <c r="L519" s="4" t="s">
        <v>1889</v>
      </c>
      <c r="M519" s="8" t="s">
        <v>3195</v>
      </c>
      <c r="N519" s="4" t="s">
        <v>1890</v>
      </c>
      <c r="O519" s="8" t="s">
        <v>1935</v>
      </c>
      <c r="P519" s="4">
        <v>112</v>
      </c>
      <c r="Q519" s="4" t="s">
        <v>3026</v>
      </c>
      <c r="R519" s="10">
        <v>203</v>
      </c>
      <c r="S519" s="10">
        <v>267.86</v>
      </c>
      <c r="T519" s="10">
        <f t="shared" ref="T519" si="249">S519*R519</f>
        <v>54375.58</v>
      </c>
      <c r="U519" s="10">
        <f t="shared" ref="U519" si="250">T519*1.12</f>
        <v>60900.649600000004</v>
      </c>
      <c r="V519" s="11"/>
      <c r="W519" s="11">
        <v>2015</v>
      </c>
      <c r="X519" s="4"/>
    </row>
    <row r="520" spans="1:24" s="23" customFormat="1" ht="76.5" customHeight="1" outlineLevel="1" x14ac:dyDescent="0.2">
      <c r="A520" s="1" t="s">
        <v>4511</v>
      </c>
      <c r="B520" s="15" t="s">
        <v>5277</v>
      </c>
      <c r="C520" s="4" t="s">
        <v>3542</v>
      </c>
      <c r="D520" s="4" t="s">
        <v>5766</v>
      </c>
      <c r="E520" s="4" t="s">
        <v>5767</v>
      </c>
      <c r="F520" s="4"/>
      <c r="G520" s="4" t="s">
        <v>1888</v>
      </c>
      <c r="H520" s="22">
        <v>1</v>
      </c>
      <c r="I520" s="4">
        <v>710000000</v>
      </c>
      <c r="J520" s="4" t="s">
        <v>1931</v>
      </c>
      <c r="K520" s="4" t="s">
        <v>5297</v>
      </c>
      <c r="L520" s="4" t="s">
        <v>1889</v>
      </c>
      <c r="M520" s="8" t="s">
        <v>3195</v>
      </c>
      <c r="N520" s="4" t="s">
        <v>1890</v>
      </c>
      <c r="O520" s="8" t="s">
        <v>1935</v>
      </c>
      <c r="P520" s="4">
        <v>112</v>
      </c>
      <c r="Q520" s="4" t="s">
        <v>3026</v>
      </c>
      <c r="R520" s="10">
        <v>204</v>
      </c>
      <c r="S520" s="10">
        <v>350</v>
      </c>
      <c r="T520" s="10">
        <v>0</v>
      </c>
      <c r="U520" s="10">
        <f t="shared" si="181"/>
        <v>0</v>
      </c>
      <c r="V520" s="11"/>
      <c r="W520" s="11">
        <v>2015</v>
      </c>
      <c r="X520" s="4" t="s">
        <v>6582</v>
      </c>
    </row>
    <row r="521" spans="1:24" s="23" customFormat="1" ht="76.5" customHeight="1" outlineLevel="1" x14ac:dyDescent="0.2">
      <c r="A521" s="1" t="s">
        <v>6937</v>
      </c>
      <c r="B521" s="15" t="s">
        <v>5277</v>
      </c>
      <c r="C521" s="4" t="s">
        <v>3542</v>
      </c>
      <c r="D521" s="4" t="s">
        <v>5766</v>
      </c>
      <c r="E521" s="4" t="s">
        <v>5767</v>
      </c>
      <c r="F521" s="4"/>
      <c r="G521" s="4" t="s">
        <v>1888</v>
      </c>
      <c r="H521" s="22">
        <v>1</v>
      </c>
      <c r="I521" s="4">
        <v>710000000</v>
      </c>
      <c r="J521" s="4" t="s">
        <v>1931</v>
      </c>
      <c r="K521" s="4" t="s">
        <v>5297</v>
      </c>
      <c r="L521" s="4" t="s">
        <v>1889</v>
      </c>
      <c r="M521" s="8" t="s">
        <v>3195</v>
      </c>
      <c r="N521" s="4" t="s">
        <v>1890</v>
      </c>
      <c r="O521" s="8" t="s">
        <v>1935</v>
      </c>
      <c r="P521" s="4">
        <v>112</v>
      </c>
      <c r="Q521" s="4" t="s">
        <v>3026</v>
      </c>
      <c r="R521" s="10">
        <v>204</v>
      </c>
      <c r="S521" s="10">
        <v>267.86</v>
      </c>
      <c r="T521" s="10">
        <v>0</v>
      </c>
      <c r="U521" s="10">
        <f t="shared" ref="U521" si="251">T521*1.12</f>
        <v>0</v>
      </c>
      <c r="V521" s="11"/>
      <c r="W521" s="11">
        <v>2015</v>
      </c>
      <c r="X521" s="4">
        <v>11</v>
      </c>
    </row>
    <row r="522" spans="1:24" s="23" customFormat="1" ht="76.5" customHeight="1" outlineLevel="1" x14ac:dyDescent="0.2">
      <c r="A522" s="1" t="s">
        <v>7449</v>
      </c>
      <c r="B522" s="15" t="s">
        <v>5277</v>
      </c>
      <c r="C522" s="4" t="s">
        <v>3542</v>
      </c>
      <c r="D522" s="4" t="s">
        <v>5766</v>
      </c>
      <c r="E522" s="4" t="s">
        <v>5767</v>
      </c>
      <c r="F522" s="4"/>
      <c r="G522" s="4" t="s">
        <v>1888</v>
      </c>
      <c r="H522" s="22">
        <v>1</v>
      </c>
      <c r="I522" s="4">
        <v>710000000</v>
      </c>
      <c r="J522" s="4" t="s">
        <v>1931</v>
      </c>
      <c r="K522" s="4" t="s">
        <v>7338</v>
      </c>
      <c r="L522" s="4" t="s">
        <v>1889</v>
      </c>
      <c r="M522" s="8" t="s">
        <v>3195</v>
      </c>
      <c r="N522" s="4" t="s">
        <v>1890</v>
      </c>
      <c r="O522" s="8" t="s">
        <v>1935</v>
      </c>
      <c r="P522" s="4">
        <v>112</v>
      </c>
      <c r="Q522" s="4" t="s">
        <v>3026</v>
      </c>
      <c r="R522" s="10">
        <v>204</v>
      </c>
      <c r="S522" s="10">
        <v>267.86</v>
      </c>
      <c r="T522" s="10">
        <f t="shared" ref="T522" si="252">S522*R522</f>
        <v>54643.44</v>
      </c>
      <c r="U522" s="10">
        <f t="shared" ref="U522" si="253">T522*1.12</f>
        <v>61200.652800000011</v>
      </c>
      <c r="V522" s="11"/>
      <c r="W522" s="11">
        <v>2015</v>
      </c>
      <c r="X522" s="4"/>
    </row>
    <row r="523" spans="1:24" s="23" customFormat="1" ht="76.5" customHeight="1" outlineLevel="1" x14ac:dyDescent="0.2">
      <c r="A523" s="1" t="s">
        <v>4512</v>
      </c>
      <c r="B523" s="15" t="s">
        <v>5277</v>
      </c>
      <c r="C523" s="4" t="s">
        <v>3543</v>
      </c>
      <c r="D523" s="4" t="s">
        <v>5768</v>
      </c>
      <c r="E523" s="4" t="s">
        <v>5769</v>
      </c>
      <c r="F523" s="4" t="s">
        <v>5770</v>
      </c>
      <c r="G523" s="4" t="s">
        <v>1888</v>
      </c>
      <c r="H523" s="22">
        <v>1</v>
      </c>
      <c r="I523" s="4">
        <v>710000000</v>
      </c>
      <c r="J523" s="4" t="s">
        <v>1931</v>
      </c>
      <c r="K523" s="4" t="s">
        <v>5297</v>
      </c>
      <c r="L523" s="4" t="s">
        <v>1889</v>
      </c>
      <c r="M523" s="8" t="s">
        <v>3195</v>
      </c>
      <c r="N523" s="4" t="s">
        <v>1890</v>
      </c>
      <c r="O523" s="8" t="s">
        <v>1935</v>
      </c>
      <c r="P523" s="8">
        <v>796</v>
      </c>
      <c r="Q523" s="8" t="s">
        <v>3196</v>
      </c>
      <c r="R523" s="10">
        <v>6662</v>
      </c>
      <c r="S523" s="10">
        <v>70</v>
      </c>
      <c r="T523" s="10">
        <v>0</v>
      </c>
      <c r="U523" s="10">
        <f t="shared" si="181"/>
        <v>0</v>
      </c>
      <c r="V523" s="11"/>
      <c r="W523" s="11">
        <v>2015</v>
      </c>
      <c r="X523" s="4">
        <v>11</v>
      </c>
    </row>
    <row r="524" spans="1:24" s="23" customFormat="1" ht="76.5" customHeight="1" outlineLevel="1" x14ac:dyDescent="0.2">
      <c r="A524" s="1" t="s">
        <v>7450</v>
      </c>
      <c r="B524" s="15" t="s">
        <v>5277</v>
      </c>
      <c r="C524" s="4" t="s">
        <v>3543</v>
      </c>
      <c r="D524" s="4" t="s">
        <v>5768</v>
      </c>
      <c r="E524" s="4" t="s">
        <v>5769</v>
      </c>
      <c r="F524" s="4" t="s">
        <v>5770</v>
      </c>
      <c r="G524" s="4" t="s">
        <v>1888</v>
      </c>
      <c r="H524" s="22">
        <v>1</v>
      </c>
      <c r="I524" s="4">
        <v>710000000</v>
      </c>
      <c r="J524" s="4" t="s">
        <v>1931</v>
      </c>
      <c r="K524" s="4" t="s">
        <v>7338</v>
      </c>
      <c r="L524" s="4" t="s">
        <v>1889</v>
      </c>
      <c r="M524" s="8" t="s">
        <v>3195</v>
      </c>
      <c r="N524" s="4" t="s">
        <v>1890</v>
      </c>
      <c r="O524" s="8" t="s">
        <v>1935</v>
      </c>
      <c r="P524" s="8">
        <v>796</v>
      </c>
      <c r="Q524" s="8" t="s">
        <v>3196</v>
      </c>
      <c r="R524" s="10">
        <v>6662</v>
      </c>
      <c r="S524" s="10">
        <v>70</v>
      </c>
      <c r="T524" s="10">
        <f t="shared" ref="T524" si="254">S524*R524</f>
        <v>466340</v>
      </c>
      <c r="U524" s="10">
        <f t="shared" ref="U524" si="255">T524*1.12</f>
        <v>522300.80000000005</v>
      </c>
      <c r="V524" s="11"/>
      <c r="W524" s="11">
        <v>2015</v>
      </c>
      <c r="X524" s="4"/>
    </row>
    <row r="525" spans="1:24" s="23" customFormat="1" ht="76.5" customHeight="1" outlineLevel="1" x14ac:dyDescent="0.2">
      <c r="A525" s="1" t="s">
        <v>4513</v>
      </c>
      <c r="B525" s="15" t="s">
        <v>5277</v>
      </c>
      <c r="C525" s="4" t="s">
        <v>1807</v>
      </c>
      <c r="D525" s="4" t="s">
        <v>5808</v>
      </c>
      <c r="E525" s="4" t="s">
        <v>5809</v>
      </c>
      <c r="F525" s="4"/>
      <c r="G525" s="4" t="s">
        <v>1888</v>
      </c>
      <c r="H525" s="22">
        <v>1</v>
      </c>
      <c r="I525" s="4">
        <v>710000000</v>
      </c>
      <c r="J525" s="4" t="s">
        <v>1931</v>
      </c>
      <c r="K525" s="4" t="s">
        <v>5297</v>
      </c>
      <c r="L525" s="4" t="s">
        <v>1889</v>
      </c>
      <c r="M525" s="8" t="s">
        <v>3195</v>
      </c>
      <c r="N525" s="4" t="s">
        <v>1890</v>
      </c>
      <c r="O525" s="8" t="s">
        <v>1935</v>
      </c>
      <c r="P525" s="4">
        <v>166</v>
      </c>
      <c r="Q525" s="4" t="s">
        <v>3324</v>
      </c>
      <c r="R525" s="10">
        <v>654</v>
      </c>
      <c r="S525" s="10">
        <v>31.21</v>
      </c>
      <c r="T525" s="10">
        <v>0</v>
      </c>
      <c r="U525" s="10">
        <f t="shared" si="181"/>
        <v>0</v>
      </c>
      <c r="V525" s="11"/>
      <c r="W525" s="11">
        <v>2015</v>
      </c>
      <c r="X525" s="4">
        <v>11</v>
      </c>
    </row>
    <row r="526" spans="1:24" s="23" customFormat="1" ht="76.5" customHeight="1" outlineLevel="1" x14ac:dyDescent="0.2">
      <c r="A526" s="1" t="s">
        <v>7451</v>
      </c>
      <c r="B526" s="15" t="s">
        <v>5277</v>
      </c>
      <c r="C526" s="4" t="s">
        <v>1807</v>
      </c>
      <c r="D526" s="4" t="s">
        <v>5808</v>
      </c>
      <c r="E526" s="4" t="s">
        <v>5809</v>
      </c>
      <c r="F526" s="4"/>
      <c r="G526" s="4" t="s">
        <v>1888</v>
      </c>
      <c r="H526" s="22">
        <v>1</v>
      </c>
      <c r="I526" s="4">
        <v>710000000</v>
      </c>
      <c r="J526" s="4" t="s">
        <v>1931</v>
      </c>
      <c r="K526" s="4" t="s">
        <v>7338</v>
      </c>
      <c r="L526" s="4" t="s">
        <v>1889</v>
      </c>
      <c r="M526" s="8" t="s">
        <v>3195</v>
      </c>
      <c r="N526" s="4" t="s">
        <v>1890</v>
      </c>
      <c r="O526" s="8" t="s">
        <v>1935</v>
      </c>
      <c r="P526" s="4">
        <v>166</v>
      </c>
      <c r="Q526" s="4" t="s">
        <v>3324</v>
      </c>
      <c r="R526" s="10">
        <v>654</v>
      </c>
      <c r="S526" s="10">
        <v>31.21</v>
      </c>
      <c r="T526" s="10">
        <f t="shared" ref="T526" si="256">S526*R526</f>
        <v>20411.34</v>
      </c>
      <c r="U526" s="10">
        <f t="shared" ref="U526" si="257">T526*1.12</f>
        <v>22860.700800000002</v>
      </c>
      <c r="V526" s="11"/>
      <c r="W526" s="11">
        <v>2015</v>
      </c>
      <c r="X526" s="4"/>
    </row>
    <row r="527" spans="1:24" s="23" customFormat="1" ht="76.5" customHeight="1" outlineLevel="1" x14ac:dyDescent="0.2">
      <c r="A527" s="1" t="s">
        <v>4514</v>
      </c>
      <c r="B527" s="15" t="s">
        <v>5277</v>
      </c>
      <c r="C527" s="4" t="s">
        <v>3890</v>
      </c>
      <c r="D527" s="4" t="s">
        <v>1936</v>
      </c>
      <c r="E527" s="4" t="s">
        <v>5922</v>
      </c>
      <c r="F527" s="4"/>
      <c r="G527" s="4" t="s">
        <v>1888</v>
      </c>
      <c r="H527" s="22">
        <v>0</v>
      </c>
      <c r="I527" s="4">
        <v>710000000</v>
      </c>
      <c r="J527" s="4" t="s">
        <v>1931</v>
      </c>
      <c r="K527" s="4" t="s">
        <v>5297</v>
      </c>
      <c r="L527" s="4" t="s">
        <v>1889</v>
      </c>
      <c r="M527" s="8" t="s">
        <v>3195</v>
      </c>
      <c r="N527" s="4" t="s">
        <v>1890</v>
      </c>
      <c r="O527" s="8" t="s">
        <v>1935</v>
      </c>
      <c r="P527" s="4">
        <v>868</v>
      </c>
      <c r="Q527" s="4" t="s">
        <v>5521</v>
      </c>
      <c r="R527" s="10">
        <v>50</v>
      </c>
      <c r="S527" s="10">
        <v>180.68</v>
      </c>
      <c r="T527" s="10">
        <v>0</v>
      </c>
      <c r="U527" s="10">
        <f t="shared" si="181"/>
        <v>0</v>
      </c>
      <c r="V527" s="11"/>
      <c r="W527" s="11">
        <v>2015</v>
      </c>
      <c r="X527" s="4">
        <v>11</v>
      </c>
    </row>
    <row r="528" spans="1:24" s="23" customFormat="1" ht="76.5" customHeight="1" outlineLevel="1" x14ac:dyDescent="0.2">
      <c r="A528" s="1" t="s">
        <v>7452</v>
      </c>
      <c r="B528" s="15" t="s">
        <v>5277</v>
      </c>
      <c r="C528" s="4" t="s">
        <v>3890</v>
      </c>
      <c r="D528" s="4" t="s">
        <v>1936</v>
      </c>
      <c r="E528" s="4" t="s">
        <v>5922</v>
      </c>
      <c r="F528" s="4"/>
      <c r="G528" s="4" t="s">
        <v>1888</v>
      </c>
      <c r="H528" s="22">
        <v>0</v>
      </c>
      <c r="I528" s="4">
        <v>710000000</v>
      </c>
      <c r="J528" s="4" t="s">
        <v>1931</v>
      </c>
      <c r="K528" s="4" t="s">
        <v>7338</v>
      </c>
      <c r="L528" s="4" t="s">
        <v>1889</v>
      </c>
      <c r="M528" s="8" t="s">
        <v>3195</v>
      </c>
      <c r="N528" s="4" t="s">
        <v>1890</v>
      </c>
      <c r="O528" s="8" t="s">
        <v>1935</v>
      </c>
      <c r="P528" s="4">
        <v>868</v>
      </c>
      <c r="Q528" s="4" t="s">
        <v>5521</v>
      </c>
      <c r="R528" s="10">
        <v>50</v>
      </c>
      <c r="S528" s="10">
        <v>180.68</v>
      </c>
      <c r="T528" s="10">
        <f t="shared" ref="T528" si="258">S528*R528</f>
        <v>9034</v>
      </c>
      <c r="U528" s="10">
        <f t="shared" ref="U528" si="259">T528*1.12</f>
        <v>10118.080000000002</v>
      </c>
      <c r="V528" s="11"/>
      <c r="W528" s="11">
        <v>2015</v>
      </c>
      <c r="X528" s="4"/>
    </row>
    <row r="529" spans="1:24" s="23" customFormat="1" ht="76.5" customHeight="1" outlineLevel="1" x14ac:dyDescent="0.2">
      <c r="A529" s="1" t="s">
        <v>4515</v>
      </c>
      <c r="B529" s="15" t="s">
        <v>5277</v>
      </c>
      <c r="C529" s="4" t="s">
        <v>3220</v>
      </c>
      <c r="D529" s="4" t="s">
        <v>3221</v>
      </c>
      <c r="E529" s="4" t="s">
        <v>5843</v>
      </c>
      <c r="F529" s="4"/>
      <c r="G529" s="4" t="s">
        <v>1888</v>
      </c>
      <c r="H529" s="22">
        <v>0</v>
      </c>
      <c r="I529" s="4">
        <v>710000000</v>
      </c>
      <c r="J529" s="4" t="s">
        <v>1931</v>
      </c>
      <c r="K529" s="4" t="s">
        <v>5297</v>
      </c>
      <c r="L529" s="4" t="s">
        <v>1889</v>
      </c>
      <c r="M529" s="8" t="s">
        <v>3195</v>
      </c>
      <c r="N529" s="4" t="s">
        <v>1890</v>
      </c>
      <c r="O529" s="8" t="s">
        <v>1935</v>
      </c>
      <c r="P529" s="4">
        <v>166</v>
      </c>
      <c r="Q529" s="4" t="s">
        <v>3324</v>
      </c>
      <c r="R529" s="10">
        <v>1510</v>
      </c>
      <c r="S529" s="10">
        <v>196.37</v>
      </c>
      <c r="T529" s="10">
        <v>0</v>
      </c>
      <c r="U529" s="10">
        <f t="shared" si="181"/>
        <v>0</v>
      </c>
      <c r="V529" s="11"/>
      <c r="W529" s="11">
        <v>2015</v>
      </c>
      <c r="X529" s="4">
        <v>11</v>
      </c>
    </row>
    <row r="530" spans="1:24" s="23" customFormat="1" ht="76.5" customHeight="1" outlineLevel="1" x14ac:dyDescent="0.2">
      <c r="A530" s="1" t="s">
        <v>7453</v>
      </c>
      <c r="B530" s="15" t="s">
        <v>5277</v>
      </c>
      <c r="C530" s="4" t="s">
        <v>3220</v>
      </c>
      <c r="D530" s="4" t="s">
        <v>3221</v>
      </c>
      <c r="E530" s="4" t="s">
        <v>5843</v>
      </c>
      <c r="F530" s="4"/>
      <c r="G530" s="4" t="s">
        <v>1888</v>
      </c>
      <c r="H530" s="22">
        <v>0</v>
      </c>
      <c r="I530" s="4">
        <v>710000000</v>
      </c>
      <c r="J530" s="4" t="s">
        <v>1931</v>
      </c>
      <c r="K530" s="4" t="s">
        <v>7338</v>
      </c>
      <c r="L530" s="4" t="s">
        <v>1889</v>
      </c>
      <c r="M530" s="8" t="s">
        <v>3195</v>
      </c>
      <c r="N530" s="4" t="s">
        <v>1890</v>
      </c>
      <c r="O530" s="8" t="s">
        <v>1935</v>
      </c>
      <c r="P530" s="4">
        <v>166</v>
      </c>
      <c r="Q530" s="4" t="s">
        <v>3324</v>
      </c>
      <c r="R530" s="10">
        <v>1510</v>
      </c>
      <c r="S530" s="10">
        <v>196.37</v>
      </c>
      <c r="T530" s="10">
        <f t="shared" ref="T530" si="260">S530*R530</f>
        <v>296518.7</v>
      </c>
      <c r="U530" s="10">
        <f t="shared" ref="U530" si="261">T530*1.12</f>
        <v>332100.94400000002</v>
      </c>
      <c r="V530" s="11"/>
      <c r="W530" s="11">
        <v>2015</v>
      </c>
      <c r="X530" s="4"/>
    </row>
    <row r="531" spans="1:24" s="23" customFormat="1" ht="76.5" customHeight="1" outlineLevel="1" x14ac:dyDescent="0.2">
      <c r="A531" s="1" t="s">
        <v>4516</v>
      </c>
      <c r="B531" s="15" t="s">
        <v>5277</v>
      </c>
      <c r="C531" s="4" t="s">
        <v>1801</v>
      </c>
      <c r="D531" s="4" t="s">
        <v>5800</v>
      </c>
      <c r="E531" s="4" t="s">
        <v>5800</v>
      </c>
      <c r="F531" s="4" t="s">
        <v>1802</v>
      </c>
      <c r="G531" s="4" t="s">
        <v>1888</v>
      </c>
      <c r="H531" s="22">
        <v>0</v>
      </c>
      <c r="I531" s="4">
        <v>710000000</v>
      </c>
      <c r="J531" s="4" t="s">
        <v>1931</v>
      </c>
      <c r="K531" s="4" t="s">
        <v>5297</v>
      </c>
      <c r="L531" s="4" t="s">
        <v>1889</v>
      </c>
      <c r="M531" s="8" t="s">
        <v>3195</v>
      </c>
      <c r="N531" s="4" t="s">
        <v>1890</v>
      </c>
      <c r="O531" s="8" t="s">
        <v>1935</v>
      </c>
      <c r="P531" s="4">
        <v>778</v>
      </c>
      <c r="Q531" s="4" t="s">
        <v>3327</v>
      </c>
      <c r="R531" s="10">
        <v>443</v>
      </c>
      <c r="S531" s="10">
        <v>1663.37</v>
      </c>
      <c r="T531" s="10">
        <v>0</v>
      </c>
      <c r="U531" s="10">
        <f t="shared" si="181"/>
        <v>0</v>
      </c>
      <c r="V531" s="11"/>
      <c r="W531" s="11">
        <v>2015</v>
      </c>
      <c r="X531" s="4">
        <v>11</v>
      </c>
    </row>
    <row r="532" spans="1:24" s="23" customFormat="1" ht="76.5" customHeight="1" outlineLevel="1" x14ac:dyDescent="0.2">
      <c r="A532" s="1" t="s">
        <v>7454</v>
      </c>
      <c r="B532" s="15" t="s">
        <v>5277</v>
      </c>
      <c r="C532" s="4" t="s">
        <v>1801</v>
      </c>
      <c r="D532" s="4" t="s">
        <v>5800</v>
      </c>
      <c r="E532" s="4" t="s">
        <v>5800</v>
      </c>
      <c r="F532" s="4" t="s">
        <v>1802</v>
      </c>
      <c r="G532" s="4" t="s">
        <v>1888</v>
      </c>
      <c r="H532" s="22">
        <v>0</v>
      </c>
      <c r="I532" s="4">
        <v>710000000</v>
      </c>
      <c r="J532" s="4" t="s">
        <v>1931</v>
      </c>
      <c r="K532" s="4" t="s">
        <v>7338</v>
      </c>
      <c r="L532" s="4" t="s">
        <v>1889</v>
      </c>
      <c r="M532" s="8" t="s">
        <v>3195</v>
      </c>
      <c r="N532" s="4" t="s">
        <v>1890</v>
      </c>
      <c r="O532" s="8" t="s">
        <v>1935</v>
      </c>
      <c r="P532" s="4">
        <v>778</v>
      </c>
      <c r="Q532" s="4" t="s">
        <v>3327</v>
      </c>
      <c r="R532" s="10">
        <v>443</v>
      </c>
      <c r="S532" s="10">
        <v>1663.37</v>
      </c>
      <c r="T532" s="10">
        <f t="shared" ref="T532" si="262">S532*R532</f>
        <v>736872.90999999992</v>
      </c>
      <c r="U532" s="10">
        <f t="shared" ref="U532" si="263">T532*1.12</f>
        <v>825297.65919999999</v>
      </c>
      <c r="V532" s="11"/>
      <c r="W532" s="11">
        <v>2015</v>
      </c>
      <c r="X532" s="4"/>
    </row>
    <row r="533" spans="1:24" s="23" customFormat="1" ht="76.5" customHeight="1" outlineLevel="1" x14ac:dyDescent="0.2">
      <c r="A533" s="1" t="s">
        <v>4517</v>
      </c>
      <c r="B533" s="15" t="s">
        <v>5277</v>
      </c>
      <c r="C533" s="4" t="s">
        <v>6455</v>
      </c>
      <c r="D533" s="4" t="s">
        <v>5846</v>
      </c>
      <c r="E533" s="4" t="s">
        <v>6456</v>
      </c>
      <c r="F533" s="4" t="s">
        <v>6457</v>
      </c>
      <c r="G533" s="4" t="s">
        <v>1888</v>
      </c>
      <c r="H533" s="22">
        <v>0</v>
      </c>
      <c r="I533" s="4">
        <v>710000000</v>
      </c>
      <c r="J533" s="4" t="s">
        <v>1931</v>
      </c>
      <c r="K533" s="4" t="s">
        <v>5297</v>
      </c>
      <c r="L533" s="4" t="s">
        <v>1889</v>
      </c>
      <c r="M533" s="8" t="s">
        <v>3195</v>
      </c>
      <c r="N533" s="4" t="s">
        <v>1890</v>
      </c>
      <c r="O533" s="8" t="s">
        <v>1935</v>
      </c>
      <c r="P533" s="4">
        <v>5111</v>
      </c>
      <c r="Q533" s="4" t="s">
        <v>5298</v>
      </c>
      <c r="R533" s="10">
        <v>8</v>
      </c>
      <c r="S533" s="10">
        <v>529.38</v>
      </c>
      <c r="T533" s="10">
        <v>0</v>
      </c>
      <c r="U533" s="10">
        <f t="shared" si="181"/>
        <v>0</v>
      </c>
      <c r="V533" s="11"/>
      <c r="W533" s="11">
        <v>2015</v>
      </c>
      <c r="X533" s="4">
        <v>11</v>
      </c>
    </row>
    <row r="534" spans="1:24" s="23" customFormat="1" ht="76.5" customHeight="1" outlineLevel="1" x14ac:dyDescent="0.2">
      <c r="A534" s="1" t="s">
        <v>7455</v>
      </c>
      <c r="B534" s="15" t="s">
        <v>5277</v>
      </c>
      <c r="C534" s="4" t="s">
        <v>6455</v>
      </c>
      <c r="D534" s="4" t="s">
        <v>5846</v>
      </c>
      <c r="E534" s="4" t="s">
        <v>6456</v>
      </c>
      <c r="F534" s="4" t="s">
        <v>6457</v>
      </c>
      <c r="G534" s="4" t="s">
        <v>1888</v>
      </c>
      <c r="H534" s="22">
        <v>0</v>
      </c>
      <c r="I534" s="4">
        <v>710000000</v>
      </c>
      <c r="J534" s="4" t="s">
        <v>1931</v>
      </c>
      <c r="K534" s="4" t="s">
        <v>7338</v>
      </c>
      <c r="L534" s="4" t="s">
        <v>1889</v>
      </c>
      <c r="M534" s="8" t="s">
        <v>3195</v>
      </c>
      <c r="N534" s="4" t="s">
        <v>1890</v>
      </c>
      <c r="O534" s="8" t="s">
        <v>1935</v>
      </c>
      <c r="P534" s="4">
        <v>5111</v>
      </c>
      <c r="Q534" s="4" t="s">
        <v>5298</v>
      </c>
      <c r="R534" s="10">
        <v>8</v>
      </c>
      <c r="S534" s="10">
        <v>529.38</v>
      </c>
      <c r="T534" s="10">
        <f t="shared" ref="T534" si="264">S534*R534</f>
        <v>4235.04</v>
      </c>
      <c r="U534" s="10">
        <f t="shared" ref="U534" si="265">T534*1.12</f>
        <v>4743.2448000000004</v>
      </c>
      <c r="V534" s="11"/>
      <c r="W534" s="11">
        <v>2015</v>
      </c>
      <c r="X534" s="4"/>
    </row>
    <row r="535" spans="1:24" s="23" customFormat="1" ht="76.5" customHeight="1" outlineLevel="1" x14ac:dyDescent="0.2">
      <c r="A535" s="1" t="s">
        <v>4518</v>
      </c>
      <c r="B535" s="15" t="s">
        <v>5277</v>
      </c>
      <c r="C535" s="4" t="s">
        <v>1923</v>
      </c>
      <c r="D535" s="4" t="s">
        <v>1924</v>
      </c>
      <c r="E535" s="4" t="s">
        <v>1925</v>
      </c>
      <c r="F535" s="4"/>
      <c r="G535" s="4" t="s">
        <v>1888</v>
      </c>
      <c r="H535" s="22">
        <v>0</v>
      </c>
      <c r="I535" s="4">
        <v>710000000</v>
      </c>
      <c r="J535" s="4" t="s">
        <v>1931</v>
      </c>
      <c r="K535" s="4" t="s">
        <v>5297</v>
      </c>
      <c r="L535" s="4" t="s">
        <v>1889</v>
      </c>
      <c r="M535" s="8" t="s">
        <v>3195</v>
      </c>
      <c r="N535" s="4" t="s">
        <v>1890</v>
      </c>
      <c r="O535" s="8" t="s">
        <v>1935</v>
      </c>
      <c r="P535" s="4">
        <v>166</v>
      </c>
      <c r="Q535" s="4" t="s">
        <v>3324</v>
      </c>
      <c r="R535" s="10">
        <v>1872</v>
      </c>
      <c r="S535" s="10">
        <v>312.27999999999997</v>
      </c>
      <c r="T535" s="10">
        <v>0</v>
      </c>
      <c r="U535" s="10">
        <f t="shared" si="181"/>
        <v>0</v>
      </c>
      <c r="V535" s="11"/>
      <c r="W535" s="11">
        <v>2015</v>
      </c>
      <c r="X535" s="4">
        <v>11</v>
      </c>
    </row>
    <row r="536" spans="1:24" s="23" customFormat="1" ht="76.5" customHeight="1" outlineLevel="1" x14ac:dyDescent="0.2">
      <c r="A536" s="1" t="s">
        <v>7456</v>
      </c>
      <c r="B536" s="15" t="s">
        <v>5277</v>
      </c>
      <c r="C536" s="4" t="s">
        <v>1923</v>
      </c>
      <c r="D536" s="4" t="s">
        <v>1924</v>
      </c>
      <c r="E536" s="4" t="s">
        <v>1925</v>
      </c>
      <c r="F536" s="4"/>
      <c r="G536" s="4" t="s">
        <v>1888</v>
      </c>
      <c r="H536" s="22">
        <v>0</v>
      </c>
      <c r="I536" s="4">
        <v>710000000</v>
      </c>
      <c r="J536" s="4" t="s">
        <v>1931</v>
      </c>
      <c r="K536" s="4" t="s">
        <v>7338</v>
      </c>
      <c r="L536" s="4" t="s">
        <v>1889</v>
      </c>
      <c r="M536" s="8" t="s">
        <v>3195</v>
      </c>
      <c r="N536" s="4" t="s">
        <v>1890</v>
      </c>
      <c r="O536" s="8" t="s">
        <v>1935</v>
      </c>
      <c r="P536" s="4">
        <v>166</v>
      </c>
      <c r="Q536" s="4" t="s">
        <v>3324</v>
      </c>
      <c r="R536" s="10">
        <v>1872</v>
      </c>
      <c r="S536" s="10">
        <v>312.27999999999997</v>
      </c>
      <c r="T536" s="10">
        <f t="shared" ref="T536" si="266">S536*R536</f>
        <v>584588.15999999992</v>
      </c>
      <c r="U536" s="10">
        <f t="shared" ref="U536" si="267">T536*1.12</f>
        <v>654738.73919999995</v>
      </c>
      <c r="V536" s="11"/>
      <c r="W536" s="11">
        <v>2015</v>
      </c>
      <c r="X536" s="4"/>
    </row>
    <row r="537" spans="1:24" s="23" customFormat="1" ht="76.5" customHeight="1" outlineLevel="1" x14ac:dyDescent="0.2">
      <c r="A537" s="1" t="s">
        <v>4519</v>
      </c>
      <c r="B537" s="15" t="s">
        <v>5277</v>
      </c>
      <c r="C537" s="4" t="s">
        <v>3204</v>
      </c>
      <c r="D537" s="4" t="s">
        <v>5816</v>
      </c>
      <c r="E537" s="4" t="s">
        <v>5817</v>
      </c>
      <c r="F537" s="4"/>
      <c r="G537" s="4" t="s">
        <v>1888</v>
      </c>
      <c r="H537" s="22">
        <v>1</v>
      </c>
      <c r="I537" s="4">
        <v>710000000</v>
      </c>
      <c r="J537" s="4" t="s">
        <v>1931</v>
      </c>
      <c r="K537" s="4" t="s">
        <v>5297</v>
      </c>
      <c r="L537" s="4" t="s">
        <v>1889</v>
      </c>
      <c r="M537" s="8" t="s">
        <v>3195</v>
      </c>
      <c r="N537" s="4" t="s">
        <v>1890</v>
      </c>
      <c r="O537" s="8" t="s">
        <v>1935</v>
      </c>
      <c r="P537" s="4">
        <v>166</v>
      </c>
      <c r="Q537" s="4" t="s">
        <v>3324</v>
      </c>
      <c r="R537" s="10">
        <v>853</v>
      </c>
      <c r="S537" s="10">
        <v>1518.8</v>
      </c>
      <c r="T537" s="10">
        <v>0</v>
      </c>
      <c r="U537" s="10">
        <f t="shared" si="181"/>
        <v>0</v>
      </c>
      <c r="V537" s="11"/>
      <c r="W537" s="11">
        <v>2015</v>
      </c>
      <c r="X537" s="4" t="s">
        <v>6562</v>
      </c>
    </row>
    <row r="538" spans="1:24" s="23" customFormat="1" ht="76.5" customHeight="1" outlineLevel="1" x14ac:dyDescent="0.2">
      <c r="A538" s="1" t="s">
        <v>6914</v>
      </c>
      <c r="B538" s="15" t="s">
        <v>5277</v>
      </c>
      <c r="C538" s="4" t="s">
        <v>3204</v>
      </c>
      <c r="D538" s="4" t="s">
        <v>5816</v>
      </c>
      <c r="E538" s="4" t="s">
        <v>5817</v>
      </c>
      <c r="F538" s="4"/>
      <c r="G538" s="4" t="s">
        <v>1888</v>
      </c>
      <c r="H538" s="22">
        <v>1</v>
      </c>
      <c r="I538" s="4">
        <v>710000000</v>
      </c>
      <c r="J538" s="4" t="s">
        <v>1931</v>
      </c>
      <c r="K538" s="4" t="s">
        <v>5297</v>
      </c>
      <c r="L538" s="4" t="s">
        <v>1889</v>
      </c>
      <c r="M538" s="8" t="s">
        <v>3195</v>
      </c>
      <c r="N538" s="4" t="s">
        <v>1890</v>
      </c>
      <c r="O538" s="8" t="s">
        <v>1935</v>
      </c>
      <c r="P538" s="4">
        <v>166</v>
      </c>
      <c r="Q538" s="4" t="s">
        <v>3324</v>
      </c>
      <c r="R538" s="10">
        <f>853-40</f>
        <v>813</v>
      </c>
      <c r="S538" s="10">
        <v>1518.8</v>
      </c>
      <c r="T538" s="10">
        <v>0</v>
      </c>
      <c r="U538" s="10">
        <f t="shared" ref="U538" si="268">T538*1.12</f>
        <v>0</v>
      </c>
      <c r="V538" s="11"/>
      <c r="W538" s="11">
        <v>2015</v>
      </c>
      <c r="X538" s="4">
        <v>11</v>
      </c>
    </row>
    <row r="539" spans="1:24" s="23" customFormat="1" ht="76.5" customHeight="1" outlineLevel="1" x14ac:dyDescent="0.2">
      <c r="A539" s="1" t="s">
        <v>7457</v>
      </c>
      <c r="B539" s="15" t="s">
        <v>5277</v>
      </c>
      <c r="C539" s="4" t="s">
        <v>3204</v>
      </c>
      <c r="D539" s="4" t="s">
        <v>5816</v>
      </c>
      <c r="E539" s="4" t="s">
        <v>5817</v>
      </c>
      <c r="F539" s="4"/>
      <c r="G539" s="4" t="s">
        <v>1888</v>
      </c>
      <c r="H539" s="22">
        <v>1</v>
      </c>
      <c r="I539" s="4">
        <v>710000000</v>
      </c>
      <c r="J539" s="4" t="s">
        <v>1931</v>
      </c>
      <c r="K539" s="4" t="s">
        <v>7338</v>
      </c>
      <c r="L539" s="4" t="s">
        <v>1889</v>
      </c>
      <c r="M539" s="8" t="s">
        <v>3195</v>
      </c>
      <c r="N539" s="4" t="s">
        <v>1890</v>
      </c>
      <c r="O539" s="8" t="s">
        <v>1935</v>
      </c>
      <c r="P539" s="4">
        <v>166</v>
      </c>
      <c r="Q539" s="4" t="s">
        <v>3324</v>
      </c>
      <c r="R539" s="10">
        <f>853-40</f>
        <v>813</v>
      </c>
      <c r="S539" s="10">
        <v>1518.8</v>
      </c>
      <c r="T539" s="10">
        <f t="shared" ref="T539" si="269">S539*R539</f>
        <v>1234784.3999999999</v>
      </c>
      <c r="U539" s="10">
        <f t="shared" ref="U539" si="270">T539*1.12</f>
        <v>1382958.5279999999</v>
      </c>
      <c r="V539" s="11"/>
      <c r="W539" s="11">
        <v>2015</v>
      </c>
      <c r="X539" s="4"/>
    </row>
    <row r="540" spans="1:24" s="23" customFormat="1" ht="102" customHeight="1" outlineLevel="1" x14ac:dyDescent="0.2">
      <c r="A540" s="1" t="s">
        <v>4520</v>
      </c>
      <c r="B540" s="15" t="s">
        <v>5277</v>
      </c>
      <c r="C540" s="4" t="s">
        <v>1926</v>
      </c>
      <c r="D540" s="4" t="s">
        <v>5818</v>
      </c>
      <c r="E540" s="4" t="s">
        <v>1927</v>
      </c>
      <c r="F540" s="4" t="s">
        <v>3205</v>
      </c>
      <c r="G540" s="4" t="s">
        <v>1888</v>
      </c>
      <c r="H540" s="22">
        <v>1</v>
      </c>
      <c r="I540" s="4">
        <v>710000000</v>
      </c>
      <c r="J540" s="4" t="s">
        <v>1931</v>
      </c>
      <c r="K540" s="4" t="s">
        <v>5297</v>
      </c>
      <c r="L540" s="4" t="s">
        <v>1889</v>
      </c>
      <c r="M540" s="8" t="s">
        <v>3195</v>
      </c>
      <c r="N540" s="4" t="s">
        <v>1890</v>
      </c>
      <c r="O540" s="8" t="s">
        <v>1935</v>
      </c>
      <c r="P540" s="4">
        <v>166</v>
      </c>
      <c r="Q540" s="4" t="s">
        <v>3324</v>
      </c>
      <c r="R540" s="10">
        <v>820</v>
      </c>
      <c r="S540" s="10">
        <v>625.13</v>
      </c>
      <c r="T540" s="10">
        <v>0</v>
      </c>
      <c r="U540" s="10">
        <f t="shared" si="181"/>
        <v>0</v>
      </c>
      <c r="V540" s="11"/>
      <c r="W540" s="11">
        <v>2015</v>
      </c>
      <c r="X540" s="4" t="s">
        <v>6562</v>
      </c>
    </row>
    <row r="541" spans="1:24" s="23" customFormat="1" ht="102" customHeight="1" outlineLevel="1" x14ac:dyDescent="0.2">
      <c r="A541" s="1" t="s">
        <v>6915</v>
      </c>
      <c r="B541" s="15" t="s">
        <v>5277</v>
      </c>
      <c r="C541" s="4" t="s">
        <v>1926</v>
      </c>
      <c r="D541" s="4" t="s">
        <v>5818</v>
      </c>
      <c r="E541" s="4" t="s">
        <v>1927</v>
      </c>
      <c r="F541" s="4" t="s">
        <v>3205</v>
      </c>
      <c r="G541" s="4" t="s">
        <v>1888</v>
      </c>
      <c r="H541" s="22">
        <v>1</v>
      </c>
      <c r="I541" s="4">
        <v>710000000</v>
      </c>
      <c r="J541" s="4" t="s">
        <v>1931</v>
      </c>
      <c r="K541" s="4" t="s">
        <v>5297</v>
      </c>
      <c r="L541" s="4" t="s">
        <v>1889</v>
      </c>
      <c r="M541" s="8" t="s">
        <v>3195</v>
      </c>
      <c r="N541" s="4" t="s">
        <v>1890</v>
      </c>
      <c r="O541" s="8" t="s">
        <v>1935</v>
      </c>
      <c r="P541" s="4">
        <v>166</v>
      </c>
      <c r="Q541" s="4" t="s">
        <v>3324</v>
      </c>
      <c r="R541" s="10">
        <f>820-30</f>
        <v>790</v>
      </c>
      <c r="S541" s="10">
        <v>625.13</v>
      </c>
      <c r="T541" s="10">
        <v>0</v>
      </c>
      <c r="U541" s="10">
        <f t="shared" ref="U541" si="271">T541*1.12</f>
        <v>0</v>
      </c>
      <c r="V541" s="11"/>
      <c r="W541" s="11">
        <v>2015</v>
      </c>
      <c r="X541" s="4">
        <v>11</v>
      </c>
    </row>
    <row r="542" spans="1:24" s="23" customFormat="1" ht="102" customHeight="1" outlineLevel="1" x14ac:dyDescent="0.2">
      <c r="A542" s="1" t="s">
        <v>7458</v>
      </c>
      <c r="B542" s="15" t="s">
        <v>5277</v>
      </c>
      <c r="C542" s="4" t="s">
        <v>1926</v>
      </c>
      <c r="D542" s="4" t="s">
        <v>5818</v>
      </c>
      <c r="E542" s="4" t="s">
        <v>1927</v>
      </c>
      <c r="F542" s="4" t="s">
        <v>3205</v>
      </c>
      <c r="G542" s="4" t="s">
        <v>1888</v>
      </c>
      <c r="H542" s="22">
        <v>1</v>
      </c>
      <c r="I542" s="4">
        <v>710000000</v>
      </c>
      <c r="J542" s="4" t="s">
        <v>1931</v>
      </c>
      <c r="K542" s="4" t="s">
        <v>7338</v>
      </c>
      <c r="L542" s="4" t="s">
        <v>1889</v>
      </c>
      <c r="M542" s="8" t="s">
        <v>3195</v>
      </c>
      <c r="N542" s="4" t="s">
        <v>1890</v>
      </c>
      <c r="O542" s="8" t="s">
        <v>1935</v>
      </c>
      <c r="P542" s="4">
        <v>166</v>
      </c>
      <c r="Q542" s="4" t="s">
        <v>3324</v>
      </c>
      <c r="R542" s="10">
        <f>820-30</f>
        <v>790</v>
      </c>
      <c r="S542" s="10">
        <v>625.13</v>
      </c>
      <c r="T542" s="10">
        <f t="shared" ref="T542" si="272">S542*R542</f>
        <v>493852.7</v>
      </c>
      <c r="U542" s="10">
        <f t="shared" ref="U542" si="273">T542*1.12</f>
        <v>553115.02400000009</v>
      </c>
      <c r="V542" s="11"/>
      <c r="W542" s="11">
        <v>2015</v>
      </c>
      <c r="X542" s="4"/>
    </row>
    <row r="543" spans="1:24" s="23" customFormat="1" ht="76.5" customHeight="1" outlineLevel="1" x14ac:dyDescent="0.2">
      <c r="A543" s="1" t="s">
        <v>4521</v>
      </c>
      <c r="B543" s="15" t="s">
        <v>5277</v>
      </c>
      <c r="C543" s="4" t="s">
        <v>1928</v>
      </c>
      <c r="D543" s="4" t="s">
        <v>5866</v>
      </c>
      <c r="E543" s="4" t="s">
        <v>6458</v>
      </c>
      <c r="F543" s="4" t="s">
        <v>5867</v>
      </c>
      <c r="G543" s="4" t="s">
        <v>1888</v>
      </c>
      <c r="H543" s="22">
        <v>0</v>
      </c>
      <c r="I543" s="4">
        <v>710000000</v>
      </c>
      <c r="J543" s="4" t="s">
        <v>1931</v>
      </c>
      <c r="K543" s="4" t="s">
        <v>5297</v>
      </c>
      <c r="L543" s="4" t="s">
        <v>1889</v>
      </c>
      <c r="M543" s="8" t="s">
        <v>3195</v>
      </c>
      <c r="N543" s="4" t="s">
        <v>1890</v>
      </c>
      <c r="O543" s="8" t="s">
        <v>1935</v>
      </c>
      <c r="P543" s="4">
        <v>166</v>
      </c>
      <c r="Q543" s="4" t="s">
        <v>3324</v>
      </c>
      <c r="R543" s="10">
        <v>808</v>
      </c>
      <c r="S543" s="10">
        <v>339.14</v>
      </c>
      <c r="T543" s="10">
        <v>0</v>
      </c>
      <c r="U543" s="10">
        <f t="shared" si="181"/>
        <v>0</v>
      </c>
      <c r="V543" s="11"/>
      <c r="W543" s="11">
        <v>2015</v>
      </c>
      <c r="X543" s="4">
        <v>11</v>
      </c>
    </row>
    <row r="544" spans="1:24" s="23" customFormat="1" ht="76.5" customHeight="1" outlineLevel="1" x14ac:dyDescent="0.2">
      <c r="A544" s="1" t="s">
        <v>7459</v>
      </c>
      <c r="B544" s="15" t="s">
        <v>5277</v>
      </c>
      <c r="C544" s="4" t="s">
        <v>1928</v>
      </c>
      <c r="D544" s="4" t="s">
        <v>5866</v>
      </c>
      <c r="E544" s="4" t="s">
        <v>6458</v>
      </c>
      <c r="F544" s="4" t="s">
        <v>5867</v>
      </c>
      <c r="G544" s="4" t="s">
        <v>1888</v>
      </c>
      <c r="H544" s="22">
        <v>0</v>
      </c>
      <c r="I544" s="4">
        <v>710000000</v>
      </c>
      <c r="J544" s="4" t="s">
        <v>1931</v>
      </c>
      <c r="K544" s="4" t="s">
        <v>7338</v>
      </c>
      <c r="L544" s="4" t="s">
        <v>1889</v>
      </c>
      <c r="M544" s="8" t="s">
        <v>3195</v>
      </c>
      <c r="N544" s="4" t="s">
        <v>1890</v>
      </c>
      <c r="O544" s="8" t="s">
        <v>1935</v>
      </c>
      <c r="P544" s="4">
        <v>166</v>
      </c>
      <c r="Q544" s="4" t="s">
        <v>3324</v>
      </c>
      <c r="R544" s="10">
        <v>808</v>
      </c>
      <c r="S544" s="10">
        <v>339.14</v>
      </c>
      <c r="T544" s="10">
        <f t="shared" ref="T544" si="274">S544*R544</f>
        <v>274025.12</v>
      </c>
      <c r="U544" s="10">
        <f t="shared" ref="U544" si="275">T544*1.12</f>
        <v>306908.13440000004</v>
      </c>
      <c r="V544" s="11"/>
      <c r="W544" s="11">
        <v>2015</v>
      </c>
      <c r="X544" s="4"/>
    </row>
    <row r="545" spans="1:24" s="23" customFormat="1" ht="76.5" customHeight="1" outlineLevel="1" x14ac:dyDescent="0.2">
      <c r="A545" s="1" t="s">
        <v>4522</v>
      </c>
      <c r="B545" s="15" t="s">
        <v>5277</v>
      </c>
      <c r="C545" s="4" t="s">
        <v>1803</v>
      </c>
      <c r="D545" s="4" t="s">
        <v>5801</v>
      </c>
      <c r="E545" s="4" t="s">
        <v>5802</v>
      </c>
      <c r="F545" s="4"/>
      <c r="G545" s="4" t="s">
        <v>1888</v>
      </c>
      <c r="H545" s="22">
        <v>0</v>
      </c>
      <c r="I545" s="4">
        <v>710000000</v>
      </c>
      <c r="J545" s="4" t="s">
        <v>1931</v>
      </c>
      <c r="K545" s="4" t="s">
        <v>5297</v>
      </c>
      <c r="L545" s="4" t="s">
        <v>1889</v>
      </c>
      <c r="M545" s="8" t="s">
        <v>3195</v>
      </c>
      <c r="N545" s="4" t="s">
        <v>1890</v>
      </c>
      <c r="O545" s="8" t="s">
        <v>1935</v>
      </c>
      <c r="P545" s="4">
        <v>112</v>
      </c>
      <c r="Q545" s="4" t="s">
        <v>3026</v>
      </c>
      <c r="R545" s="10">
        <v>17</v>
      </c>
      <c r="S545" s="10">
        <v>71</v>
      </c>
      <c r="T545" s="10">
        <v>0</v>
      </c>
      <c r="U545" s="10">
        <f t="shared" si="181"/>
        <v>0</v>
      </c>
      <c r="V545" s="11"/>
      <c r="W545" s="11">
        <v>2015</v>
      </c>
      <c r="X545" s="4">
        <v>11</v>
      </c>
    </row>
    <row r="546" spans="1:24" s="23" customFormat="1" ht="76.5" customHeight="1" outlineLevel="1" x14ac:dyDescent="0.2">
      <c r="A546" s="1" t="s">
        <v>7460</v>
      </c>
      <c r="B546" s="15" t="s">
        <v>5277</v>
      </c>
      <c r="C546" s="4" t="s">
        <v>1803</v>
      </c>
      <c r="D546" s="4" t="s">
        <v>5801</v>
      </c>
      <c r="E546" s="4" t="s">
        <v>5802</v>
      </c>
      <c r="F546" s="4"/>
      <c r="G546" s="4" t="s">
        <v>1888</v>
      </c>
      <c r="H546" s="22">
        <v>0</v>
      </c>
      <c r="I546" s="4">
        <v>710000000</v>
      </c>
      <c r="J546" s="4" t="s">
        <v>1931</v>
      </c>
      <c r="K546" s="4" t="s">
        <v>7338</v>
      </c>
      <c r="L546" s="4" t="s">
        <v>1889</v>
      </c>
      <c r="M546" s="8" t="s">
        <v>3195</v>
      </c>
      <c r="N546" s="4" t="s">
        <v>1890</v>
      </c>
      <c r="O546" s="8" t="s">
        <v>1935</v>
      </c>
      <c r="P546" s="4">
        <v>112</v>
      </c>
      <c r="Q546" s="4" t="s">
        <v>3026</v>
      </c>
      <c r="R546" s="10">
        <v>17</v>
      </c>
      <c r="S546" s="10">
        <v>71</v>
      </c>
      <c r="T546" s="10">
        <f t="shared" ref="T546" si="276">S546*R546</f>
        <v>1207</v>
      </c>
      <c r="U546" s="10">
        <f t="shared" ref="U546" si="277">T546*1.12</f>
        <v>1351.8400000000001</v>
      </c>
      <c r="V546" s="11"/>
      <c r="W546" s="11">
        <v>2015</v>
      </c>
      <c r="X546" s="4"/>
    </row>
    <row r="547" spans="1:24" s="23" customFormat="1" ht="76.5" customHeight="1" outlineLevel="1" x14ac:dyDescent="0.2">
      <c r="A547" s="1" t="s">
        <v>4523</v>
      </c>
      <c r="B547" s="15" t="s">
        <v>5277</v>
      </c>
      <c r="C547" s="4" t="s">
        <v>3566</v>
      </c>
      <c r="D547" s="4" t="s">
        <v>5913</v>
      </c>
      <c r="E547" s="4" t="s">
        <v>5914</v>
      </c>
      <c r="F547" s="4"/>
      <c r="G547" s="4" t="s">
        <v>1888</v>
      </c>
      <c r="H547" s="22">
        <v>1</v>
      </c>
      <c r="I547" s="4">
        <v>710000000</v>
      </c>
      <c r="J547" s="4" t="s">
        <v>1931</v>
      </c>
      <c r="K547" s="4" t="s">
        <v>5297</v>
      </c>
      <c r="L547" s="4" t="s">
        <v>1889</v>
      </c>
      <c r="M547" s="8" t="s">
        <v>3195</v>
      </c>
      <c r="N547" s="4" t="s">
        <v>1890</v>
      </c>
      <c r="O547" s="8" t="s">
        <v>1935</v>
      </c>
      <c r="P547" s="4">
        <v>166</v>
      </c>
      <c r="Q547" s="4" t="s">
        <v>3324</v>
      </c>
      <c r="R547" s="10">
        <v>105</v>
      </c>
      <c r="S547" s="10">
        <v>278.64999999999998</v>
      </c>
      <c r="T547" s="10">
        <v>0</v>
      </c>
      <c r="U547" s="10">
        <f t="shared" si="181"/>
        <v>0</v>
      </c>
      <c r="V547" s="11"/>
      <c r="W547" s="11">
        <v>2015</v>
      </c>
      <c r="X547" s="4">
        <v>11</v>
      </c>
    </row>
    <row r="548" spans="1:24" s="23" customFormat="1" ht="76.5" customHeight="1" outlineLevel="1" x14ac:dyDescent="0.2">
      <c r="A548" s="1" t="s">
        <v>7461</v>
      </c>
      <c r="B548" s="15" t="s">
        <v>5277</v>
      </c>
      <c r="C548" s="4" t="s">
        <v>3566</v>
      </c>
      <c r="D548" s="4" t="s">
        <v>5913</v>
      </c>
      <c r="E548" s="4" t="s">
        <v>5914</v>
      </c>
      <c r="F548" s="4"/>
      <c r="G548" s="4" t="s">
        <v>1888</v>
      </c>
      <c r="H548" s="22">
        <v>1</v>
      </c>
      <c r="I548" s="4">
        <v>710000000</v>
      </c>
      <c r="J548" s="4" t="s">
        <v>1931</v>
      </c>
      <c r="K548" s="4" t="s">
        <v>7338</v>
      </c>
      <c r="L548" s="4" t="s">
        <v>1889</v>
      </c>
      <c r="M548" s="8" t="s">
        <v>3195</v>
      </c>
      <c r="N548" s="4" t="s">
        <v>1890</v>
      </c>
      <c r="O548" s="8" t="s">
        <v>1935</v>
      </c>
      <c r="P548" s="4">
        <v>166</v>
      </c>
      <c r="Q548" s="4" t="s">
        <v>3324</v>
      </c>
      <c r="R548" s="10">
        <v>105</v>
      </c>
      <c r="S548" s="10">
        <v>278.64999999999998</v>
      </c>
      <c r="T548" s="10">
        <f t="shared" ref="T548" si="278">S548*R548</f>
        <v>29258.249999999996</v>
      </c>
      <c r="U548" s="10">
        <f t="shared" ref="U548" si="279">T548*1.12</f>
        <v>32769.24</v>
      </c>
      <c r="V548" s="11"/>
      <c r="W548" s="11">
        <v>2015</v>
      </c>
      <c r="X548" s="4"/>
    </row>
    <row r="549" spans="1:24" s="23" customFormat="1" ht="76.5" customHeight="1" outlineLevel="1" x14ac:dyDescent="0.2">
      <c r="A549" s="1" t="s">
        <v>4524</v>
      </c>
      <c r="B549" s="15" t="s">
        <v>5277</v>
      </c>
      <c r="C549" s="4" t="s">
        <v>1929</v>
      </c>
      <c r="D549" s="4" t="s">
        <v>5781</v>
      </c>
      <c r="E549" s="4" t="s">
        <v>1930</v>
      </c>
      <c r="F549" s="4"/>
      <c r="G549" s="4" t="s">
        <v>1888</v>
      </c>
      <c r="H549" s="22">
        <v>0</v>
      </c>
      <c r="I549" s="4">
        <v>710000000</v>
      </c>
      <c r="J549" s="4" t="s">
        <v>1931</v>
      </c>
      <c r="K549" s="4" t="s">
        <v>5297</v>
      </c>
      <c r="L549" s="4" t="s">
        <v>1889</v>
      </c>
      <c r="M549" s="8" t="s">
        <v>3195</v>
      </c>
      <c r="N549" s="4" t="s">
        <v>1890</v>
      </c>
      <c r="O549" s="8" t="s">
        <v>1935</v>
      </c>
      <c r="P549" s="4">
        <v>5111</v>
      </c>
      <c r="Q549" s="4" t="s">
        <v>5298</v>
      </c>
      <c r="R549" s="10">
        <v>87</v>
      </c>
      <c r="S549" s="10">
        <v>1648.57</v>
      </c>
      <c r="T549" s="10">
        <v>0</v>
      </c>
      <c r="U549" s="10">
        <f t="shared" si="181"/>
        <v>0</v>
      </c>
      <c r="V549" s="11"/>
      <c r="W549" s="11">
        <v>2015</v>
      </c>
      <c r="X549" s="4">
        <v>11</v>
      </c>
    </row>
    <row r="550" spans="1:24" s="23" customFormat="1" ht="76.5" customHeight="1" outlineLevel="1" x14ac:dyDescent="0.2">
      <c r="A550" s="1" t="s">
        <v>7462</v>
      </c>
      <c r="B550" s="15" t="s">
        <v>5277</v>
      </c>
      <c r="C550" s="4" t="s">
        <v>1929</v>
      </c>
      <c r="D550" s="4" t="s">
        <v>5781</v>
      </c>
      <c r="E550" s="4" t="s">
        <v>1930</v>
      </c>
      <c r="F550" s="4"/>
      <c r="G550" s="4" t="s">
        <v>1888</v>
      </c>
      <c r="H550" s="22">
        <v>0</v>
      </c>
      <c r="I550" s="4">
        <v>710000000</v>
      </c>
      <c r="J550" s="4" t="s">
        <v>1931</v>
      </c>
      <c r="K550" s="4" t="s">
        <v>7338</v>
      </c>
      <c r="L550" s="4" t="s">
        <v>1889</v>
      </c>
      <c r="M550" s="8" t="s">
        <v>3195</v>
      </c>
      <c r="N550" s="4" t="s">
        <v>1890</v>
      </c>
      <c r="O550" s="8" t="s">
        <v>1935</v>
      </c>
      <c r="P550" s="4">
        <v>5111</v>
      </c>
      <c r="Q550" s="4" t="s">
        <v>5298</v>
      </c>
      <c r="R550" s="10">
        <v>87</v>
      </c>
      <c r="S550" s="10">
        <v>1648.57</v>
      </c>
      <c r="T550" s="10">
        <f t="shared" ref="T550" si="280">S550*R550</f>
        <v>143425.59</v>
      </c>
      <c r="U550" s="10">
        <f t="shared" ref="U550" si="281">T550*1.12</f>
        <v>160636.66080000001</v>
      </c>
      <c r="V550" s="11"/>
      <c r="W550" s="11">
        <v>2015</v>
      </c>
      <c r="X550" s="4"/>
    </row>
    <row r="551" spans="1:24" s="23" customFormat="1" ht="76.5" customHeight="1" outlineLevel="1" x14ac:dyDescent="0.2">
      <c r="A551" s="1" t="s">
        <v>4525</v>
      </c>
      <c r="B551" s="15" t="s">
        <v>5277</v>
      </c>
      <c r="C551" s="4" t="s">
        <v>3570</v>
      </c>
      <c r="D551" s="4" t="s">
        <v>3571</v>
      </c>
      <c r="E551" s="4" t="s">
        <v>5923</v>
      </c>
      <c r="F551" s="4"/>
      <c r="G551" s="4" t="s">
        <v>1888</v>
      </c>
      <c r="H551" s="22">
        <v>0</v>
      </c>
      <c r="I551" s="4">
        <v>710000000</v>
      </c>
      <c r="J551" s="4" t="s">
        <v>1931</v>
      </c>
      <c r="K551" s="4" t="s">
        <v>5297</v>
      </c>
      <c r="L551" s="4" t="s">
        <v>1889</v>
      </c>
      <c r="M551" s="8" t="s">
        <v>3195</v>
      </c>
      <c r="N551" s="4" t="s">
        <v>1890</v>
      </c>
      <c r="O551" s="8" t="s">
        <v>1935</v>
      </c>
      <c r="P551" s="4">
        <v>166</v>
      </c>
      <c r="Q551" s="4" t="s">
        <v>3324</v>
      </c>
      <c r="R551" s="10">
        <v>69</v>
      </c>
      <c r="S551" s="10">
        <v>143.41</v>
      </c>
      <c r="T551" s="10">
        <v>0</v>
      </c>
      <c r="U551" s="10">
        <f t="shared" si="181"/>
        <v>0</v>
      </c>
      <c r="V551" s="11"/>
      <c r="W551" s="11">
        <v>2015</v>
      </c>
      <c r="X551" s="4">
        <v>11</v>
      </c>
    </row>
    <row r="552" spans="1:24" s="23" customFormat="1" ht="76.5" customHeight="1" outlineLevel="1" x14ac:dyDescent="0.2">
      <c r="A552" s="1" t="s">
        <v>7463</v>
      </c>
      <c r="B552" s="15" t="s">
        <v>5277</v>
      </c>
      <c r="C552" s="4" t="s">
        <v>3570</v>
      </c>
      <c r="D552" s="4" t="s">
        <v>3571</v>
      </c>
      <c r="E552" s="4" t="s">
        <v>5923</v>
      </c>
      <c r="F552" s="4"/>
      <c r="G552" s="4" t="s">
        <v>1888</v>
      </c>
      <c r="H552" s="22">
        <v>0</v>
      </c>
      <c r="I552" s="4">
        <v>710000000</v>
      </c>
      <c r="J552" s="4" t="s">
        <v>1931</v>
      </c>
      <c r="K552" s="4" t="s">
        <v>7338</v>
      </c>
      <c r="L552" s="4" t="s">
        <v>1889</v>
      </c>
      <c r="M552" s="8" t="s">
        <v>3195</v>
      </c>
      <c r="N552" s="4" t="s">
        <v>1890</v>
      </c>
      <c r="O552" s="8" t="s">
        <v>1935</v>
      </c>
      <c r="P552" s="4">
        <v>166</v>
      </c>
      <c r="Q552" s="4" t="s">
        <v>3324</v>
      </c>
      <c r="R552" s="10">
        <v>69</v>
      </c>
      <c r="S552" s="10">
        <v>143.41</v>
      </c>
      <c r="T552" s="10">
        <v>0</v>
      </c>
      <c r="U552" s="10">
        <f t="shared" ref="U552" si="282">T552*1.12</f>
        <v>0</v>
      </c>
      <c r="V552" s="11"/>
      <c r="W552" s="11">
        <v>2015</v>
      </c>
      <c r="X552" s="4">
        <v>11.22</v>
      </c>
    </row>
    <row r="553" spans="1:24" s="23" customFormat="1" ht="76.5" customHeight="1" outlineLevel="1" x14ac:dyDescent="0.2">
      <c r="A553" s="1" t="s">
        <v>8447</v>
      </c>
      <c r="B553" s="15" t="s">
        <v>5277</v>
      </c>
      <c r="C553" s="4" t="s">
        <v>3570</v>
      </c>
      <c r="D553" s="4" t="s">
        <v>3571</v>
      </c>
      <c r="E553" s="4" t="s">
        <v>5923</v>
      </c>
      <c r="F553" s="4"/>
      <c r="G553" s="4" t="s">
        <v>1888</v>
      </c>
      <c r="H553" s="22">
        <v>0</v>
      </c>
      <c r="I553" s="4">
        <v>710000000</v>
      </c>
      <c r="J553" s="4" t="s">
        <v>1931</v>
      </c>
      <c r="K553" s="4" t="s">
        <v>8400</v>
      </c>
      <c r="L553" s="4" t="s">
        <v>1889</v>
      </c>
      <c r="M553" s="8" t="s">
        <v>3195</v>
      </c>
      <c r="N553" s="4" t="s">
        <v>1890</v>
      </c>
      <c r="O553" s="8" t="s">
        <v>1935</v>
      </c>
      <c r="P553" s="4">
        <v>166</v>
      </c>
      <c r="Q553" s="4" t="s">
        <v>3324</v>
      </c>
      <c r="R553" s="10">
        <v>69</v>
      </c>
      <c r="S553" s="10">
        <v>143.41</v>
      </c>
      <c r="T553" s="10">
        <f t="shared" ref="T553" si="283">S553*R553</f>
        <v>9895.2899999999991</v>
      </c>
      <c r="U553" s="10">
        <f t="shared" ref="U553" si="284">T553*1.12</f>
        <v>11082.7248</v>
      </c>
      <c r="V553" s="11"/>
      <c r="W553" s="11">
        <v>2015</v>
      </c>
      <c r="X553" s="4"/>
    </row>
    <row r="554" spans="1:24" s="23" customFormat="1" ht="76.5" customHeight="1" outlineLevel="1" x14ac:dyDescent="0.2">
      <c r="A554" s="1" t="s">
        <v>4526</v>
      </c>
      <c r="B554" s="15" t="s">
        <v>5277</v>
      </c>
      <c r="C554" s="4" t="s">
        <v>1789</v>
      </c>
      <c r="D554" s="4" t="s">
        <v>5782</v>
      </c>
      <c r="E554" s="4" t="s">
        <v>5783</v>
      </c>
      <c r="F554" s="4"/>
      <c r="G554" s="4" t="s">
        <v>1888</v>
      </c>
      <c r="H554" s="22">
        <v>0</v>
      </c>
      <c r="I554" s="4">
        <v>710000000</v>
      </c>
      <c r="J554" s="4" t="s">
        <v>1931</v>
      </c>
      <c r="K554" s="4" t="s">
        <v>5297</v>
      </c>
      <c r="L554" s="4" t="s">
        <v>1889</v>
      </c>
      <c r="M554" s="8" t="s">
        <v>3195</v>
      </c>
      <c r="N554" s="4" t="s">
        <v>1890</v>
      </c>
      <c r="O554" s="8" t="s">
        <v>1935</v>
      </c>
      <c r="P554" s="4">
        <v>166</v>
      </c>
      <c r="Q554" s="4" t="s">
        <v>3324</v>
      </c>
      <c r="R554" s="10">
        <v>15</v>
      </c>
      <c r="S554" s="10">
        <v>1785.73</v>
      </c>
      <c r="T554" s="10">
        <v>0</v>
      </c>
      <c r="U554" s="10">
        <f t="shared" si="181"/>
        <v>0</v>
      </c>
      <c r="V554" s="11"/>
      <c r="W554" s="11">
        <v>2015</v>
      </c>
      <c r="X554" s="4">
        <v>11</v>
      </c>
    </row>
    <row r="555" spans="1:24" s="23" customFormat="1" ht="76.5" customHeight="1" outlineLevel="1" x14ac:dyDescent="0.2">
      <c r="A555" s="1" t="s">
        <v>7464</v>
      </c>
      <c r="B555" s="15" t="s">
        <v>5277</v>
      </c>
      <c r="C555" s="4" t="s">
        <v>1789</v>
      </c>
      <c r="D555" s="4" t="s">
        <v>5782</v>
      </c>
      <c r="E555" s="4" t="s">
        <v>5783</v>
      </c>
      <c r="F555" s="4"/>
      <c r="G555" s="4" t="s">
        <v>1888</v>
      </c>
      <c r="H555" s="22">
        <v>0</v>
      </c>
      <c r="I555" s="4">
        <v>710000000</v>
      </c>
      <c r="J555" s="4" t="s">
        <v>1931</v>
      </c>
      <c r="K555" s="4" t="s">
        <v>7338</v>
      </c>
      <c r="L555" s="4" t="s">
        <v>1889</v>
      </c>
      <c r="M555" s="8" t="s">
        <v>3195</v>
      </c>
      <c r="N555" s="4" t="s">
        <v>1890</v>
      </c>
      <c r="O555" s="8" t="s">
        <v>1935</v>
      </c>
      <c r="P555" s="4">
        <v>166</v>
      </c>
      <c r="Q555" s="4" t="s">
        <v>3324</v>
      </c>
      <c r="R555" s="10">
        <v>15</v>
      </c>
      <c r="S555" s="10">
        <v>1785.73</v>
      </c>
      <c r="T555" s="10">
        <f t="shared" ref="T555" si="285">S555*R555</f>
        <v>26785.95</v>
      </c>
      <c r="U555" s="10">
        <f t="shared" ref="U555" si="286">T555*1.12</f>
        <v>30000.264000000003</v>
      </c>
      <c r="V555" s="11"/>
      <c r="W555" s="11">
        <v>2015</v>
      </c>
      <c r="X555" s="4"/>
    </row>
    <row r="556" spans="1:24" s="23" customFormat="1" ht="114.75" customHeight="1" outlineLevel="1" x14ac:dyDescent="0.2">
      <c r="A556" s="1" t="s">
        <v>4527</v>
      </c>
      <c r="B556" s="15" t="s">
        <v>5277</v>
      </c>
      <c r="C556" s="4" t="s">
        <v>3223</v>
      </c>
      <c r="D556" s="4" t="s">
        <v>5847</v>
      </c>
      <c r="E556" s="4" t="s">
        <v>9885</v>
      </c>
      <c r="F556" s="4"/>
      <c r="G556" s="4" t="s">
        <v>1888</v>
      </c>
      <c r="H556" s="22">
        <v>0</v>
      </c>
      <c r="I556" s="4">
        <v>710000000</v>
      </c>
      <c r="J556" s="4" t="s">
        <v>1931</v>
      </c>
      <c r="K556" s="4" t="s">
        <v>5297</v>
      </c>
      <c r="L556" s="4" t="s">
        <v>1889</v>
      </c>
      <c r="M556" s="8" t="s">
        <v>3195</v>
      </c>
      <c r="N556" s="4" t="s">
        <v>1890</v>
      </c>
      <c r="O556" s="8" t="s">
        <v>1935</v>
      </c>
      <c r="P556" s="8">
        <v>796</v>
      </c>
      <c r="Q556" s="8" t="s">
        <v>3196</v>
      </c>
      <c r="R556" s="10">
        <v>9218</v>
      </c>
      <c r="S556" s="10">
        <v>58.03</v>
      </c>
      <c r="T556" s="10">
        <v>0</v>
      </c>
      <c r="U556" s="10">
        <f t="shared" si="181"/>
        <v>0</v>
      </c>
      <c r="V556" s="11"/>
      <c r="W556" s="11">
        <v>2015</v>
      </c>
      <c r="X556" s="4">
        <v>11</v>
      </c>
    </row>
    <row r="557" spans="1:24" s="23" customFormat="1" ht="114.75" customHeight="1" outlineLevel="1" x14ac:dyDescent="0.2">
      <c r="A557" s="1" t="s">
        <v>7465</v>
      </c>
      <c r="B557" s="15" t="s">
        <v>5277</v>
      </c>
      <c r="C557" s="4" t="s">
        <v>3223</v>
      </c>
      <c r="D557" s="4" t="s">
        <v>5847</v>
      </c>
      <c r="E557" s="4" t="s">
        <v>9885</v>
      </c>
      <c r="F557" s="4"/>
      <c r="G557" s="4" t="s">
        <v>1888</v>
      </c>
      <c r="H557" s="22">
        <v>0</v>
      </c>
      <c r="I557" s="4">
        <v>710000000</v>
      </c>
      <c r="J557" s="4" t="s">
        <v>1931</v>
      </c>
      <c r="K557" s="4" t="s">
        <v>7338</v>
      </c>
      <c r="L557" s="4" t="s">
        <v>1889</v>
      </c>
      <c r="M557" s="8" t="s">
        <v>3195</v>
      </c>
      <c r="N557" s="4" t="s">
        <v>1890</v>
      </c>
      <c r="O557" s="8" t="s">
        <v>1935</v>
      </c>
      <c r="P557" s="8">
        <v>796</v>
      </c>
      <c r="Q557" s="8" t="s">
        <v>3196</v>
      </c>
      <c r="R557" s="10">
        <v>9218</v>
      </c>
      <c r="S557" s="10">
        <v>58.03</v>
      </c>
      <c r="T557" s="10">
        <f t="shared" ref="T557" si="287">S557*R557</f>
        <v>534920.54</v>
      </c>
      <c r="U557" s="10">
        <f t="shared" ref="U557" si="288">T557*1.12</f>
        <v>599111.00480000011</v>
      </c>
      <c r="V557" s="11"/>
      <c r="W557" s="11">
        <v>2015</v>
      </c>
      <c r="X557" s="4"/>
    </row>
    <row r="558" spans="1:24" s="23" customFormat="1" ht="76.5" customHeight="1" outlineLevel="1" x14ac:dyDescent="0.2">
      <c r="A558" s="1" t="s">
        <v>4528</v>
      </c>
      <c r="B558" s="15" t="s">
        <v>5277</v>
      </c>
      <c r="C558" s="4" t="s">
        <v>1808</v>
      </c>
      <c r="D558" s="4" t="s">
        <v>5810</v>
      </c>
      <c r="E558" s="4" t="s">
        <v>5811</v>
      </c>
      <c r="F558" s="4" t="s">
        <v>5812</v>
      </c>
      <c r="G558" s="4" t="s">
        <v>1888</v>
      </c>
      <c r="H558" s="22">
        <v>1</v>
      </c>
      <c r="I558" s="4">
        <v>710000000</v>
      </c>
      <c r="J558" s="4" t="s">
        <v>1931</v>
      </c>
      <c r="K558" s="4" t="s">
        <v>5297</v>
      </c>
      <c r="L558" s="4" t="s">
        <v>1889</v>
      </c>
      <c r="M558" s="8" t="s">
        <v>3195</v>
      </c>
      <c r="N558" s="4" t="s">
        <v>1890</v>
      </c>
      <c r="O558" s="8" t="s">
        <v>1935</v>
      </c>
      <c r="P558" s="4">
        <v>778</v>
      </c>
      <c r="Q558" s="4" t="s">
        <v>3327</v>
      </c>
      <c r="R558" s="10">
        <v>446</v>
      </c>
      <c r="S558" s="10">
        <v>1220.52</v>
      </c>
      <c r="T558" s="10">
        <v>0</v>
      </c>
      <c r="U558" s="10">
        <f t="shared" si="181"/>
        <v>0</v>
      </c>
      <c r="V558" s="11"/>
      <c r="W558" s="11">
        <v>2015</v>
      </c>
      <c r="X558" s="4">
        <v>11</v>
      </c>
    </row>
    <row r="559" spans="1:24" s="23" customFormat="1" ht="76.5" customHeight="1" outlineLevel="1" x14ac:dyDescent="0.2">
      <c r="A559" s="1" t="s">
        <v>7466</v>
      </c>
      <c r="B559" s="15" t="s">
        <v>5277</v>
      </c>
      <c r="C559" s="4" t="s">
        <v>1808</v>
      </c>
      <c r="D559" s="4" t="s">
        <v>5810</v>
      </c>
      <c r="E559" s="4" t="s">
        <v>5811</v>
      </c>
      <c r="F559" s="4" t="s">
        <v>5812</v>
      </c>
      <c r="G559" s="4" t="s">
        <v>1888</v>
      </c>
      <c r="H559" s="22">
        <v>1</v>
      </c>
      <c r="I559" s="4">
        <v>710000000</v>
      </c>
      <c r="J559" s="4" t="s">
        <v>1931</v>
      </c>
      <c r="K559" s="4" t="s">
        <v>7338</v>
      </c>
      <c r="L559" s="4" t="s">
        <v>1889</v>
      </c>
      <c r="M559" s="8" t="s">
        <v>3195</v>
      </c>
      <c r="N559" s="4" t="s">
        <v>1890</v>
      </c>
      <c r="O559" s="8" t="s">
        <v>1935</v>
      </c>
      <c r="P559" s="4">
        <v>778</v>
      </c>
      <c r="Q559" s="4" t="s">
        <v>3327</v>
      </c>
      <c r="R559" s="10">
        <v>446</v>
      </c>
      <c r="S559" s="10">
        <v>1220.52</v>
      </c>
      <c r="T559" s="10">
        <f t="shared" ref="T559" si="289">S559*R559</f>
        <v>544351.92000000004</v>
      </c>
      <c r="U559" s="10">
        <f t="shared" ref="U559" si="290">T559*1.12</f>
        <v>609674.15040000016</v>
      </c>
      <c r="V559" s="11"/>
      <c r="W559" s="11">
        <v>2015</v>
      </c>
      <c r="X559" s="4"/>
    </row>
    <row r="560" spans="1:24" s="23" customFormat="1" ht="76.5" customHeight="1" outlineLevel="1" x14ac:dyDescent="0.2">
      <c r="A560" s="1" t="s">
        <v>4529</v>
      </c>
      <c r="B560" s="15" t="s">
        <v>5277</v>
      </c>
      <c r="C560" s="4" t="s">
        <v>3567</v>
      </c>
      <c r="D560" s="4" t="s">
        <v>5915</v>
      </c>
      <c r="E560" s="4" t="s">
        <v>5916</v>
      </c>
      <c r="F560" s="4"/>
      <c r="G560" s="4" t="s">
        <v>1888</v>
      </c>
      <c r="H560" s="22">
        <v>1</v>
      </c>
      <c r="I560" s="4">
        <v>710000000</v>
      </c>
      <c r="J560" s="4" t="s">
        <v>1931</v>
      </c>
      <c r="K560" s="4" t="s">
        <v>5297</v>
      </c>
      <c r="L560" s="4" t="s">
        <v>1889</v>
      </c>
      <c r="M560" s="8" t="s">
        <v>3195</v>
      </c>
      <c r="N560" s="4" t="s">
        <v>1890</v>
      </c>
      <c r="O560" s="8" t="s">
        <v>1935</v>
      </c>
      <c r="P560" s="4">
        <v>166</v>
      </c>
      <c r="Q560" s="4" t="s">
        <v>3324</v>
      </c>
      <c r="R560" s="10">
        <v>333</v>
      </c>
      <c r="S560" s="10">
        <v>464.42</v>
      </c>
      <c r="T560" s="10">
        <v>0</v>
      </c>
      <c r="U560" s="10">
        <f t="shared" si="181"/>
        <v>0</v>
      </c>
      <c r="V560" s="11"/>
      <c r="W560" s="11">
        <v>2015</v>
      </c>
      <c r="X560" s="4" t="s">
        <v>6562</v>
      </c>
    </row>
    <row r="561" spans="1:24" s="23" customFormat="1" ht="76.5" customHeight="1" outlineLevel="1" x14ac:dyDescent="0.2">
      <c r="A561" s="1" t="s">
        <v>6916</v>
      </c>
      <c r="B561" s="15" t="s">
        <v>5277</v>
      </c>
      <c r="C561" s="4" t="s">
        <v>3567</v>
      </c>
      <c r="D561" s="4" t="s">
        <v>5915</v>
      </c>
      <c r="E561" s="4" t="s">
        <v>5916</v>
      </c>
      <c r="F561" s="4"/>
      <c r="G561" s="4" t="s">
        <v>1888</v>
      </c>
      <c r="H561" s="22">
        <v>1</v>
      </c>
      <c r="I561" s="4">
        <v>710000000</v>
      </c>
      <c r="J561" s="4" t="s">
        <v>1931</v>
      </c>
      <c r="K561" s="4" t="s">
        <v>5297</v>
      </c>
      <c r="L561" s="4" t="s">
        <v>1889</v>
      </c>
      <c r="M561" s="8" t="s">
        <v>3195</v>
      </c>
      <c r="N561" s="4" t="s">
        <v>1890</v>
      </c>
      <c r="O561" s="8" t="s">
        <v>1935</v>
      </c>
      <c r="P561" s="4">
        <v>166</v>
      </c>
      <c r="Q561" s="4" t="s">
        <v>3324</v>
      </c>
      <c r="R561" s="10">
        <f>333-10</f>
        <v>323</v>
      </c>
      <c r="S561" s="10">
        <v>464.42</v>
      </c>
      <c r="T561" s="10">
        <v>0</v>
      </c>
      <c r="U561" s="10">
        <f t="shared" ref="U561" si="291">T561*1.12</f>
        <v>0</v>
      </c>
      <c r="V561" s="11"/>
      <c r="W561" s="11">
        <v>2015</v>
      </c>
      <c r="X561" s="4">
        <v>11</v>
      </c>
    </row>
    <row r="562" spans="1:24" s="23" customFormat="1" ht="76.5" customHeight="1" outlineLevel="1" x14ac:dyDescent="0.2">
      <c r="A562" s="1" t="s">
        <v>7467</v>
      </c>
      <c r="B562" s="15" t="s">
        <v>5277</v>
      </c>
      <c r="C562" s="4" t="s">
        <v>3567</v>
      </c>
      <c r="D562" s="4" t="s">
        <v>5915</v>
      </c>
      <c r="E562" s="4" t="s">
        <v>5916</v>
      </c>
      <c r="F562" s="4"/>
      <c r="G562" s="4" t="s">
        <v>1888</v>
      </c>
      <c r="H562" s="22">
        <v>1</v>
      </c>
      <c r="I562" s="4">
        <v>710000000</v>
      </c>
      <c r="J562" s="4" t="s">
        <v>1931</v>
      </c>
      <c r="K562" s="4" t="s">
        <v>7338</v>
      </c>
      <c r="L562" s="4" t="s">
        <v>1889</v>
      </c>
      <c r="M562" s="8" t="s">
        <v>3195</v>
      </c>
      <c r="N562" s="4" t="s">
        <v>1890</v>
      </c>
      <c r="O562" s="8" t="s">
        <v>1935</v>
      </c>
      <c r="P562" s="4">
        <v>166</v>
      </c>
      <c r="Q562" s="4" t="s">
        <v>3324</v>
      </c>
      <c r="R562" s="10">
        <f>333-10</f>
        <v>323</v>
      </c>
      <c r="S562" s="10">
        <v>464.42</v>
      </c>
      <c r="T562" s="10">
        <f t="shared" ref="T562" si="292">S562*R562</f>
        <v>150007.66</v>
      </c>
      <c r="U562" s="10">
        <f t="shared" ref="U562" si="293">T562*1.12</f>
        <v>168008.57920000001</v>
      </c>
      <c r="V562" s="11"/>
      <c r="W562" s="11">
        <v>2015</v>
      </c>
      <c r="X562" s="4"/>
    </row>
    <row r="563" spans="1:24" s="23" customFormat="1" ht="76.5" customHeight="1" outlineLevel="1" x14ac:dyDescent="0.2">
      <c r="A563" s="1" t="s">
        <v>4530</v>
      </c>
      <c r="B563" s="15" t="s">
        <v>5277</v>
      </c>
      <c r="C563" s="4" t="s">
        <v>2975</v>
      </c>
      <c r="D563" s="4" t="s">
        <v>5889</v>
      </c>
      <c r="E563" s="4" t="s">
        <v>5890</v>
      </c>
      <c r="F563" s="4"/>
      <c r="G563" s="4" t="s">
        <v>1888</v>
      </c>
      <c r="H563" s="22">
        <v>0</v>
      </c>
      <c r="I563" s="4">
        <v>710000000</v>
      </c>
      <c r="J563" s="4" t="s">
        <v>1931</v>
      </c>
      <c r="K563" s="4" t="s">
        <v>5297</v>
      </c>
      <c r="L563" s="4" t="s">
        <v>1889</v>
      </c>
      <c r="M563" s="8" t="s">
        <v>3195</v>
      </c>
      <c r="N563" s="4" t="s">
        <v>1890</v>
      </c>
      <c r="O563" s="8" t="s">
        <v>1935</v>
      </c>
      <c r="P563" s="4">
        <v>166</v>
      </c>
      <c r="Q563" s="4" t="s">
        <v>3324</v>
      </c>
      <c r="R563" s="10">
        <v>100</v>
      </c>
      <c r="S563" s="10">
        <v>825.9</v>
      </c>
      <c r="T563" s="10">
        <v>0</v>
      </c>
      <c r="U563" s="10">
        <f t="shared" si="181"/>
        <v>0</v>
      </c>
      <c r="V563" s="11"/>
      <c r="W563" s="11">
        <v>2015</v>
      </c>
      <c r="X563" s="4">
        <v>11</v>
      </c>
    </row>
    <row r="564" spans="1:24" s="23" customFormat="1" ht="76.5" customHeight="1" outlineLevel="1" x14ac:dyDescent="0.2">
      <c r="A564" s="1" t="s">
        <v>7468</v>
      </c>
      <c r="B564" s="15" t="s">
        <v>5277</v>
      </c>
      <c r="C564" s="4" t="s">
        <v>2975</v>
      </c>
      <c r="D564" s="4" t="s">
        <v>5889</v>
      </c>
      <c r="E564" s="4" t="s">
        <v>5890</v>
      </c>
      <c r="F564" s="4"/>
      <c r="G564" s="4" t="s">
        <v>1888</v>
      </c>
      <c r="H564" s="22">
        <v>0</v>
      </c>
      <c r="I564" s="4">
        <v>710000000</v>
      </c>
      <c r="J564" s="4" t="s">
        <v>1931</v>
      </c>
      <c r="K564" s="4" t="s">
        <v>7338</v>
      </c>
      <c r="L564" s="4" t="s">
        <v>1889</v>
      </c>
      <c r="M564" s="8" t="s">
        <v>3195</v>
      </c>
      <c r="N564" s="4" t="s">
        <v>1890</v>
      </c>
      <c r="O564" s="8" t="s">
        <v>1935</v>
      </c>
      <c r="P564" s="4">
        <v>166</v>
      </c>
      <c r="Q564" s="4" t="s">
        <v>3324</v>
      </c>
      <c r="R564" s="10">
        <v>100</v>
      </c>
      <c r="S564" s="10">
        <v>825.9</v>
      </c>
      <c r="T564" s="10">
        <f t="shared" ref="T564" si="294">S564*R564</f>
        <v>82590</v>
      </c>
      <c r="U564" s="10">
        <f t="shared" ref="U564" si="295">T564*1.12</f>
        <v>92500.800000000003</v>
      </c>
      <c r="V564" s="11"/>
      <c r="W564" s="11">
        <v>2015</v>
      </c>
      <c r="X564" s="4"/>
    </row>
    <row r="565" spans="1:24" s="23" customFormat="1" ht="127.5" customHeight="1" outlineLevel="1" x14ac:dyDescent="0.2">
      <c r="A565" s="1" t="s">
        <v>4531</v>
      </c>
      <c r="B565" s="15" t="s">
        <v>5277</v>
      </c>
      <c r="C565" s="4" t="s">
        <v>2976</v>
      </c>
      <c r="D565" s="4" t="s">
        <v>5891</v>
      </c>
      <c r="E565" s="4" t="s">
        <v>5892</v>
      </c>
      <c r="F565" s="4"/>
      <c r="G565" s="4" t="s">
        <v>1888</v>
      </c>
      <c r="H565" s="22">
        <v>0</v>
      </c>
      <c r="I565" s="4">
        <v>710000000</v>
      </c>
      <c r="J565" s="4" t="s">
        <v>1931</v>
      </c>
      <c r="K565" s="4" t="s">
        <v>5297</v>
      </c>
      <c r="L565" s="4" t="s">
        <v>1889</v>
      </c>
      <c r="M565" s="8" t="s">
        <v>3195</v>
      </c>
      <c r="N565" s="4" t="s">
        <v>1890</v>
      </c>
      <c r="O565" s="8" t="s">
        <v>1935</v>
      </c>
      <c r="P565" s="4">
        <v>166</v>
      </c>
      <c r="Q565" s="4" t="s">
        <v>3324</v>
      </c>
      <c r="R565" s="10">
        <v>102</v>
      </c>
      <c r="S565" s="10">
        <v>1054.6300000000001</v>
      </c>
      <c r="T565" s="10">
        <v>0</v>
      </c>
      <c r="U565" s="10">
        <f t="shared" si="181"/>
        <v>0</v>
      </c>
      <c r="V565" s="11"/>
      <c r="W565" s="11">
        <v>2015</v>
      </c>
      <c r="X565" s="4">
        <v>11</v>
      </c>
    </row>
    <row r="566" spans="1:24" s="23" customFormat="1" ht="127.5" customHeight="1" outlineLevel="1" x14ac:dyDescent="0.2">
      <c r="A566" s="1" t="s">
        <v>7469</v>
      </c>
      <c r="B566" s="15" t="s">
        <v>5277</v>
      </c>
      <c r="C566" s="4" t="s">
        <v>2976</v>
      </c>
      <c r="D566" s="4" t="s">
        <v>5891</v>
      </c>
      <c r="E566" s="4" t="s">
        <v>5892</v>
      </c>
      <c r="F566" s="4"/>
      <c r="G566" s="4" t="s">
        <v>1888</v>
      </c>
      <c r="H566" s="22">
        <v>0</v>
      </c>
      <c r="I566" s="4">
        <v>710000000</v>
      </c>
      <c r="J566" s="4" t="s">
        <v>1931</v>
      </c>
      <c r="K566" s="4" t="s">
        <v>7338</v>
      </c>
      <c r="L566" s="4" t="s">
        <v>1889</v>
      </c>
      <c r="M566" s="8" t="s">
        <v>3195</v>
      </c>
      <c r="N566" s="4" t="s">
        <v>1890</v>
      </c>
      <c r="O566" s="8" t="s">
        <v>1935</v>
      </c>
      <c r="P566" s="4">
        <v>166</v>
      </c>
      <c r="Q566" s="4" t="s">
        <v>3324</v>
      </c>
      <c r="R566" s="10">
        <v>102</v>
      </c>
      <c r="S566" s="10">
        <v>1054.6300000000001</v>
      </c>
      <c r="T566" s="10">
        <f t="shared" ref="T566" si="296">S566*R566</f>
        <v>107572.26000000001</v>
      </c>
      <c r="U566" s="10">
        <f t="shared" ref="U566" si="297">T566*1.12</f>
        <v>120480.93120000002</v>
      </c>
      <c r="V566" s="11"/>
      <c r="W566" s="11">
        <v>2015</v>
      </c>
      <c r="X566" s="4"/>
    </row>
    <row r="567" spans="1:24" s="23" customFormat="1" ht="76.5" customHeight="1" outlineLevel="1" x14ac:dyDescent="0.2">
      <c r="A567" s="1" t="s">
        <v>4532</v>
      </c>
      <c r="B567" s="15" t="s">
        <v>5277</v>
      </c>
      <c r="C567" s="4" t="s">
        <v>2971</v>
      </c>
      <c r="D567" s="4" t="s">
        <v>5881</v>
      </c>
      <c r="E567" s="4" t="s">
        <v>5882</v>
      </c>
      <c r="F567" s="4"/>
      <c r="G567" s="4" t="s">
        <v>1888</v>
      </c>
      <c r="H567" s="22">
        <v>0</v>
      </c>
      <c r="I567" s="4">
        <v>710000000</v>
      </c>
      <c r="J567" s="4" t="s">
        <v>1931</v>
      </c>
      <c r="K567" s="4" t="s">
        <v>5297</v>
      </c>
      <c r="L567" s="4" t="s">
        <v>1889</v>
      </c>
      <c r="M567" s="8" t="s">
        <v>3195</v>
      </c>
      <c r="N567" s="4" t="s">
        <v>1890</v>
      </c>
      <c r="O567" s="8" t="s">
        <v>1935</v>
      </c>
      <c r="P567" s="4">
        <v>166</v>
      </c>
      <c r="Q567" s="4" t="s">
        <v>3324</v>
      </c>
      <c r="R567" s="10">
        <v>6395</v>
      </c>
      <c r="S567" s="10">
        <v>312.70999999999998</v>
      </c>
      <c r="T567" s="10">
        <v>0</v>
      </c>
      <c r="U567" s="10">
        <f t="shared" si="181"/>
        <v>0</v>
      </c>
      <c r="V567" s="11"/>
      <c r="W567" s="11">
        <v>2015</v>
      </c>
      <c r="X567" s="4" t="s">
        <v>6562</v>
      </c>
    </row>
    <row r="568" spans="1:24" s="23" customFormat="1" ht="76.5" customHeight="1" outlineLevel="1" x14ac:dyDescent="0.2">
      <c r="A568" s="1" t="s">
        <v>6917</v>
      </c>
      <c r="B568" s="15" t="s">
        <v>5277</v>
      </c>
      <c r="C568" s="4" t="s">
        <v>2971</v>
      </c>
      <c r="D568" s="4" t="s">
        <v>5881</v>
      </c>
      <c r="E568" s="4" t="s">
        <v>5882</v>
      </c>
      <c r="F568" s="4"/>
      <c r="G568" s="4" t="s">
        <v>1888</v>
      </c>
      <c r="H568" s="22">
        <v>0</v>
      </c>
      <c r="I568" s="4">
        <v>710000000</v>
      </c>
      <c r="J568" s="4" t="s">
        <v>1931</v>
      </c>
      <c r="K568" s="4" t="s">
        <v>5297</v>
      </c>
      <c r="L568" s="4" t="s">
        <v>1889</v>
      </c>
      <c r="M568" s="8" t="s">
        <v>3195</v>
      </c>
      <c r="N568" s="4" t="s">
        <v>1890</v>
      </c>
      <c r="O568" s="8" t="s">
        <v>1935</v>
      </c>
      <c r="P568" s="4">
        <v>166</v>
      </c>
      <c r="Q568" s="4" t="s">
        <v>3324</v>
      </c>
      <c r="R568" s="10">
        <f>6395-100</f>
        <v>6295</v>
      </c>
      <c r="S568" s="10">
        <v>312.70999999999998</v>
      </c>
      <c r="T568" s="10">
        <v>0</v>
      </c>
      <c r="U568" s="10">
        <f t="shared" ref="U568" si="298">T568*1.12</f>
        <v>0</v>
      </c>
      <c r="V568" s="11"/>
      <c r="W568" s="11">
        <v>2015</v>
      </c>
      <c r="X568" s="4">
        <v>11</v>
      </c>
    </row>
    <row r="569" spans="1:24" s="23" customFormat="1" ht="76.5" customHeight="1" outlineLevel="1" x14ac:dyDescent="0.2">
      <c r="A569" s="1" t="s">
        <v>7470</v>
      </c>
      <c r="B569" s="15" t="s">
        <v>5277</v>
      </c>
      <c r="C569" s="4" t="s">
        <v>2971</v>
      </c>
      <c r="D569" s="4" t="s">
        <v>5881</v>
      </c>
      <c r="E569" s="4" t="s">
        <v>5882</v>
      </c>
      <c r="F569" s="4"/>
      <c r="G569" s="4" t="s">
        <v>1888</v>
      </c>
      <c r="H569" s="22">
        <v>0</v>
      </c>
      <c r="I569" s="4">
        <v>710000000</v>
      </c>
      <c r="J569" s="4" t="s">
        <v>1931</v>
      </c>
      <c r="K569" s="4" t="s">
        <v>7338</v>
      </c>
      <c r="L569" s="4" t="s">
        <v>1889</v>
      </c>
      <c r="M569" s="8" t="s">
        <v>3195</v>
      </c>
      <c r="N569" s="4" t="s">
        <v>1890</v>
      </c>
      <c r="O569" s="8" t="s">
        <v>1935</v>
      </c>
      <c r="P569" s="4">
        <v>166</v>
      </c>
      <c r="Q569" s="4" t="s">
        <v>3324</v>
      </c>
      <c r="R569" s="10">
        <f>6395-100</f>
        <v>6295</v>
      </c>
      <c r="S569" s="10">
        <v>312.70999999999998</v>
      </c>
      <c r="T569" s="10">
        <f t="shared" ref="T569" si="299">S569*R569</f>
        <v>1968509.45</v>
      </c>
      <c r="U569" s="10">
        <f t="shared" ref="U569" si="300">T569*1.12</f>
        <v>2204730.5840000003</v>
      </c>
      <c r="V569" s="11"/>
      <c r="W569" s="11">
        <v>2015</v>
      </c>
      <c r="X569" s="4"/>
    </row>
    <row r="570" spans="1:24" s="23" customFormat="1" ht="76.5" customHeight="1" outlineLevel="1" x14ac:dyDescent="0.2">
      <c r="A570" s="1" t="s">
        <v>4533</v>
      </c>
      <c r="B570" s="15" t="s">
        <v>5277</v>
      </c>
      <c r="C570" s="4" t="s">
        <v>1784</v>
      </c>
      <c r="D570" s="4" t="s">
        <v>5774</v>
      </c>
      <c r="E570" s="4" t="s">
        <v>5775</v>
      </c>
      <c r="F570" s="4"/>
      <c r="G570" s="4" t="s">
        <v>1888</v>
      </c>
      <c r="H570" s="22">
        <v>1</v>
      </c>
      <c r="I570" s="4">
        <v>710000000</v>
      </c>
      <c r="J570" s="4" t="s">
        <v>1931</v>
      </c>
      <c r="K570" s="4" t="s">
        <v>5297</v>
      </c>
      <c r="L570" s="4" t="s">
        <v>1889</v>
      </c>
      <c r="M570" s="8" t="s">
        <v>3195</v>
      </c>
      <c r="N570" s="4" t="s">
        <v>1890</v>
      </c>
      <c r="O570" s="8" t="s">
        <v>1935</v>
      </c>
      <c r="P570" s="8">
        <v>796</v>
      </c>
      <c r="Q570" s="8" t="s">
        <v>3196</v>
      </c>
      <c r="R570" s="10">
        <v>40559</v>
      </c>
      <c r="S570" s="10">
        <v>20.59</v>
      </c>
      <c r="T570" s="10">
        <v>0</v>
      </c>
      <c r="U570" s="10">
        <f t="shared" si="181"/>
        <v>0</v>
      </c>
      <c r="V570" s="11"/>
      <c r="W570" s="11">
        <v>2015</v>
      </c>
      <c r="X570" s="4" t="s">
        <v>6562</v>
      </c>
    </row>
    <row r="571" spans="1:24" s="23" customFormat="1" ht="76.5" customHeight="1" outlineLevel="1" x14ac:dyDescent="0.2">
      <c r="A571" s="1" t="s">
        <v>6918</v>
      </c>
      <c r="B571" s="15" t="s">
        <v>5277</v>
      </c>
      <c r="C571" s="4" t="s">
        <v>1784</v>
      </c>
      <c r="D571" s="4" t="s">
        <v>5774</v>
      </c>
      <c r="E571" s="4" t="s">
        <v>5775</v>
      </c>
      <c r="F571" s="4"/>
      <c r="G571" s="4" t="s">
        <v>1888</v>
      </c>
      <c r="H571" s="22">
        <v>1</v>
      </c>
      <c r="I571" s="4">
        <v>710000000</v>
      </c>
      <c r="J571" s="4" t="s">
        <v>1931</v>
      </c>
      <c r="K571" s="4" t="s">
        <v>5297</v>
      </c>
      <c r="L571" s="4" t="s">
        <v>1889</v>
      </c>
      <c r="M571" s="8" t="s">
        <v>3195</v>
      </c>
      <c r="N571" s="4" t="s">
        <v>1890</v>
      </c>
      <c r="O571" s="8" t="s">
        <v>1935</v>
      </c>
      <c r="P571" s="8">
        <v>796</v>
      </c>
      <c r="Q571" s="8" t="s">
        <v>3196</v>
      </c>
      <c r="R571" s="10">
        <f>40559-1800</f>
        <v>38759</v>
      </c>
      <c r="S571" s="10">
        <v>20.59</v>
      </c>
      <c r="T571" s="10">
        <v>0</v>
      </c>
      <c r="U571" s="10">
        <f t="shared" ref="U571" si="301">T571*1.12</f>
        <v>0</v>
      </c>
      <c r="V571" s="11"/>
      <c r="W571" s="11">
        <v>2015</v>
      </c>
      <c r="X571" s="4">
        <v>11</v>
      </c>
    </row>
    <row r="572" spans="1:24" s="23" customFormat="1" ht="76.5" customHeight="1" outlineLevel="1" x14ac:dyDescent="0.2">
      <c r="A572" s="1" t="s">
        <v>7471</v>
      </c>
      <c r="B572" s="15" t="s">
        <v>5277</v>
      </c>
      <c r="C572" s="4" t="s">
        <v>1784</v>
      </c>
      <c r="D572" s="4" t="s">
        <v>5774</v>
      </c>
      <c r="E572" s="4" t="s">
        <v>5775</v>
      </c>
      <c r="F572" s="4"/>
      <c r="G572" s="4" t="s">
        <v>1888</v>
      </c>
      <c r="H572" s="22">
        <v>1</v>
      </c>
      <c r="I572" s="4">
        <v>710000000</v>
      </c>
      <c r="J572" s="4" t="s">
        <v>1931</v>
      </c>
      <c r="K572" s="4" t="s">
        <v>7338</v>
      </c>
      <c r="L572" s="4" t="s">
        <v>1889</v>
      </c>
      <c r="M572" s="8" t="s">
        <v>3195</v>
      </c>
      <c r="N572" s="4" t="s">
        <v>1890</v>
      </c>
      <c r="O572" s="8" t="s">
        <v>1935</v>
      </c>
      <c r="P572" s="8">
        <v>796</v>
      </c>
      <c r="Q572" s="8" t="s">
        <v>3196</v>
      </c>
      <c r="R572" s="10">
        <f>40559-1800</f>
        <v>38759</v>
      </c>
      <c r="S572" s="10">
        <v>20.59</v>
      </c>
      <c r="T572" s="10">
        <f t="shared" ref="T572" si="302">S572*R572</f>
        <v>798047.80999999994</v>
      </c>
      <c r="U572" s="10">
        <f t="shared" ref="U572" si="303">T572*1.12</f>
        <v>893813.54720000003</v>
      </c>
      <c r="V572" s="11"/>
      <c r="W572" s="11">
        <v>2015</v>
      </c>
      <c r="X572" s="4"/>
    </row>
    <row r="573" spans="1:24" s="23" customFormat="1" ht="124.5" customHeight="1" outlineLevel="1" x14ac:dyDescent="0.2">
      <c r="A573" s="1" t="s">
        <v>4534</v>
      </c>
      <c r="B573" s="15" t="s">
        <v>5277</v>
      </c>
      <c r="C573" s="4" t="s">
        <v>3575</v>
      </c>
      <c r="D573" s="4" t="s">
        <v>5928</v>
      </c>
      <c r="E573" s="4" t="s">
        <v>6459</v>
      </c>
      <c r="F573" s="4"/>
      <c r="G573" s="4" t="s">
        <v>1888</v>
      </c>
      <c r="H573" s="22">
        <v>0.5</v>
      </c>
      <c r="I573" s="4">
        <v>710000000</v>
      </c>
      <c r="J573" s="4" t="s">
        <v>1931</v>
      </c>
      <c r="K573" s="4" t="s">
        <v>5297</v>
      </c>
      <c r="L573" s="4" t="s">
        <v>1889</v>
      </c>
      <c r="M573" s="8" t="s">
        <v>3195</v>
      </c>
      <c r="N573" s="4" t="s">
        <v>1890</v>
      </c>
      <c r="O573" s="8" t="s">
        <v>1935</v>
      </c>
      <c r="P573" s="4">
        <v>868</v>
      </c>
      <c r="Q573" s="4" t="s">
        <v>5521</v>
      </c>
      <c r="R573" s="10">
        <v>1152</v>
      </c>
      <c r="S573" s="10">
        <v>1010.55</v>
      </c>
      <c r="T573" s="10">
        <v>0</v>
      </c>
      <c r="U573" s="10">
        <f t="shared" si="181"/>
        <v>0</v>
      </c>
      <c r="V573" s="11"/>
      <c r="W573" s="11">
        <v>2015</v>
      </c>
      <c r="X573" s="4">
        <v>11</v>
      </c>
    </row>
    <row r="574" spans="1:24" s="23" customFormat="1" ht="124.5" customHeight="1" outlineLevel="1" x14ac:dyDescent="0.2">
      <c r="A574" s="1" t="s">
        <v>7472</v>
      </c>
      <c r="B574" s="15" t="s">
        <v>5277</v>
      </c>
      <c r="C574" s="4" t="s">
        <v>3575</v>
      </c>
      <c r="D574" s="4" t="s">
        <v>5928</v>
      </c>
      <c r="E574" s="4" t="s">
        <v>6459</v>
      </c>
      <c r="F574" s="4"/>
      <c r="G574" s="4" t="s">
        <v>1888</v>
      </c>
      <c r="H574" s="22">
        <v>0.5</v>
      </c>
      <c r="I574" s="4">
        <v>710000000</v>
      </c>
      <c r="J574" s="4" t="s">
        <v>1931</v>
      </c>
      <c r="K574" s="4" t="s">
        <v>7338</v>
      </c>
      <c r="L574" s="4" t="s">
        <v>1889</v>
      </c>
      <c r="M574" s="8" t="s">
        <v>3195</v>
      </c>
      <c r="N574" s="4" t="s">
        <v>1890</v>
      </c>
      <c r="O574" s="8" t="s">
        <v>1935</v>
      </c>
      <c r="P574" s="4">
        <v>868</v>
      </c>
      <c r="Q574" s="4" t="s">
        <v>5521</v>
      </c>
      <c r="R574" s="10">
        <v>1152</v>
      </c>
      <c r="S574" s="10">
        <v>1010.55</v>
      </c>
      <c r="T574" s="10">
        <v>0</v>
      </c>
      <c r="U574" s="10">
        <f t="shared" ref="U574" si="304">T574*1.12</f>
        <v>0</v>
      </c>
      <c r="V574" s="11"/>
      <c r="W574" s="11">
        <v>2015</v>
      </c>
      <c r="X574" s="4">
        <v>11.22</v>
      </c>
    </row>
    <row r="575" spans="1:24" s="23" customFormat="1" ht="124.5" customHeight="1" outlineLevel="1" x14ac:dyDescent="0.2">
      <c r="A575" s="1" t="s">
        <v>8453</v>
      </c>
      <c r="B575" s="15" t="s">
        <v>5277</v>
      </c>
      <c r="C575" s="4" t="s">
        <v>3575</v>
      </c>
      <c r="D575" s="4" t="s">
        <v>5928</v>
      </c>
      <c r="E575" s="4" t="s">
        <v>6459</v>
      </c>
      <c r="F575" s="4"/>
      <c r="G575" s="4" t="s">
        <v>1888</v>
      </c>
      <c r="H575" s="22">
        <v>0.5</v>
      </c>
      <c r="I575" s="4">
        <v>710000000</v>
      </c>
      <c r="J575" s="4" t="s">
        <v>1931</v>
      </c>
      <c r="K575" s="4" t="s">
        <v>8400</v>
      </c>
      <c r="L575" s="4" t="s">
        <v>1889</v>
      </c>
      <c r="M575" s="8" t="s">
        <v>3195</v>
      </c>
      <c r="N575" s="4" t="s">
        <v>1890</v>
      </c>
      <c r="O575" s="8" t="s">
        <v>1935</v>
      </c>
      <c r="P575" s="4">
        <v>868</v>
      </c>
      <c r="Q575" s="4" t="s">
        <v>5521</v>
      </c>
      <c r="R575" s="10">
        <v>1152</v>
      </c>
      <c r="S575" s="10">
        <v>1010.55</v>
      </c>
      <c r="T575" s="10">
        <f t="shared" ref="T575" si="305">S575*R575</f>
        <v>1164153.5999999999</v>
      </c>
      <c r="U575" s="10">
        <f t="shared" ref="U575" si="306">T575*1.12</f>
        <v>1303852.0319999999</v>
      </c>
      <c r="V575" s="11"/>
      <c r="W575" s="11">
        <v>2015</v>
      </c>
      <c r="X575" s="4"/>
    </row>
    <row r="576" spans="1:24" s="23" customFormat="1" ht="140.25" customHeight="1" outlineLevel="1" x14ac:dyDescent="0.2">
      <c r="A576" s="1" t="s">
        <v>4535</v>
      </c>
      <c r="B576" s="15" t="s">
        <v>5277</v>
      </c>
      <c r="C576" s="4" t="s">
        <v>3576</v>
      </c>
      <c r="D576" s="4" t="s">
        <v>5928</v>
      </c>
      <c r="E576" s="4" t="s">
        <v>5929</v>
      </c>
      <c r="F576" s="4"/>
      <c r="G576" s="4" t="s">
        <v>1888</v>
      </c>
      <c r="H576" s="22">
        <v>0.5</v>
      </c>
      <c r="I576" s="4">
        <v>710000000</v>
      </c>
      <c r="J576" s="4" t="s">
        <v>1931</v>
      </c>
      <c r="K576" s="4" t="s">
        <v>5297</v>
      </c>
      <c r="L576" s="4" t="s">
        <v>1889</v>
      </c>
      <c r="M576" s="8" t="s">
        <v>3195</v>
      </c>
      <c r="N576" s="4" t="s">
        <v>1890</v>
      </c>
      <c r="O576" s="8" t="s">
        <v>1935</v>
      </c>
      <c r="P576" s="4">
        <v>868</v>
      </c>
      <c r="Q576" s="4" t="s">
        <v>5521</v>
      </c>
      <c r="R576" s="10">
        <v>24</v>
      </c>
      <c r="S576" s="10">
        <v>25000</v>
      </c>
      <c r="T576" s="10">
        <v>0</v>
      </c>
      <c r="U576" s="10">
        <f t="shared" si="181"/>
        <v>0</v>
      </c>
      <c r="V576" s="11"/>
      <c r="W576" s="11">
        <v>2015</v>
      </c>
      <c r="X576" s="4">
        <v>11</v>
      </c>
    </row>
    <row r="577" spans="1:24" s="23" customFormat="1" ht="140.25" customHeight="1" outlineLevel="1" x14ac:dyDescent="0.2">
      <c r="A577" s="1" t="s">
        <v>7473</v>
      </c>
      <c r="B577" s="15" t="s">
        <v>5277</v>
      </c>
      <c r="C577" s="4" t="s">
        <v>3576</v>
      </c>
      <c r="D577" s="4" t="s">
        <v>5928</v>
      </c>
      <c r="E577" s="4" t="s">
        <v>5929</v>
      </c>
      <c r="F577" s="4"/>
      <c r="G577" s="4" t="s">
        <v>1888</v>
      </c>
      <c r="H577" s="22">
        <v>0.5</v>
      </c>
      <c r="I577" s="4">
        <v>710000000</v>
      </c>
      <c r="J577" s="4" t="s">
        <v>1931</v>
      </c>
      <c r="K577" s="4" t="s">
        <v>7338</v>
      </c>
      <c r="L577" s="4" t="s">
        <v>1889</v>
      </c>
      <c r="M577" s="8" t="s">
        <v>3195</v>
      </c>
      <c r="N577" s="4" t="s">
        <v>1890</v>
      </c>
      <c r="O577" s="8" t="s">
        <v>1935</v>
      </c>
      <c r="P577" s="4">
        <v>868</v>
      </c>
      <c r="Q577" s="4" t="s">
        <v>5521</v>
      </c>
      <c r="R577" s="10">
        <v>24</v>
      </c>
      <c r="S577" s="10">
        <v>25000</v>
      </c>
      <c r="T577" s="10">
        <v>0</v>
      </c>
      <c r="U577" s="10">
        <f t="shared" ref="U577" si="307">T577*1.12</f>
        <v>0</v>
      </c>
      <c r="V577" s="11"/>
      <c r="W577" s="11">
        <v>2015</v>
      </c>
      <c r="X577" s="4">
        <v>11.22</v>
      </c>
    </row>
    <row r="578" spans="1:24" s="23" customFormat="1" ht="140.25" customHeight="1" outlineLevel="1" x14ac:dyDescent="0.2">
      <c r="A578" s="1" t="s">
        <v>8454</v>
      </c>
      <c r="B578" s="15" t="s">
        <v>5277</v>
      </c>
      <c r="C578" s="4" t="s">
        <v>3576</v>
      </c>
      <c r="D578" s="4" t="s">
        <v>5928</v>
      </c>
      <c r="E578" s="4" t="s">
        <v>5929</v>
      </c>
      <c r="F578" s="4"/>
      <c r="G578" s="4" t="s">
        <v>1888</v>
      </c>
      <c r="H578" s="22">
        <v>0.5</v>
      </c>
      <c r="I578" s="4">
        <v>710000000</v>
      </c>
      <c r="J578" s="4" t="s">
        <v>1931</v>
      </c>
      <c r="K578" s="4" t="s">
        <v>8400</v>
      </c>
      <c r="L578" s="4" t="s">
        <v>1889</v>
      </c>
      <c r="M578" s="8" t="s">
        <v>3195</v>
      </c>
      <c r="N578" s="4" t="s">
        <v>1890</v>
      </c>
      <c r="O578" s="8" t="s">
        <v>1935</v>
      </c>
      <c r="P578" s="4">
        <v>868</v>
      </c>
      <c r="Q578" s="4" t="s">
        <v>5521</v>
      </c>
      <c r="R578" s="10">
        <v>24</v>
      </c>
      <c r="S578" s="10">
        <v>25000</v>
      </c>
      <c r="T578" s="10">
        <f t="shared" ref="T578" si="308">S578*R578</f>
        <v>600000</v>
      </c>
      <c r="U578" s="10">
        <f t="shared" ref="U578" si="309">T578*1.12</f>
        <v>672000.00000000012</v>
      </c>
      <c r="V578" s="11"/>
      <c r="W578" s="11">
        <v>2015</v>
      </c>
      <c r="X578" s="4"/>
    </row>
    <row r="579" spans="1:24" s="23" customFormat="1" ht="76.5" customHeight="1" outlineLevel="1" x14ac:dyDescent="0.2">
      <c r="A579" s="1" t="s">
        <v>4536</v>
      </c>
      <c r="B579" s="15" t="s">
        <v>5277</v>
      </c>
      <c r="C579" s="4" t="s">
        <v>3577</v>
      </c>
      <c r="D579" s="4" t="s">
        <v>5930</v>
      </c>
      <c r="E579" s="4" t="s">
        <v>3578</v>
      </c>
      <c r="F579" s="4"/>
      <c r="G579" s="4" t="s">
        <v>1888</v>
      </c>
      <c r="H579" s="22">
        <v>0.5</v>
      </c>
      <c r="I579" s="4">
        <v>710000000</v>
      </c>
      <c r="J579" s="4" t="s">
        <v>1931</v>
      </c>
      <c r="K579" s="4" t="s">
        <v>5297</v>
      </c>
      <c r="L579" s="4" t="s">
        <v>1889</v>
      </c>
      <c r="M579" s="8" t="s">
        <v>3195</v>
      </c>
      <c r="N579" s="4" t="s">
        <v>1890</v>
      </c>
      <c r="O579" s="8" t="s">
        <v>1935</v>
      </c>
      <c r="P579" s="4">
        <v>868</v>
      </c>
      <c r="Q579" s="4" t="s">
        <v>5521</v>
      </c>
      <c r="R579" s="10">
        <v>1624</v>
      </c>
      <c r="S579" s="10">
        <v>700</v>
      </c>
      <c r="T579" s="10">
        <v>0</v>
      </c>
      <c r="U579" s="10">
        <f t="shared" si="181"/>
        <v>0</v>
      </c>
      <c r="V579" s="11"/>
      <c r="W579" s="11">
        <v>2015</v>
      </c>
      <c r="X579" s="4">
        <v>11</v>
      </c>
    </row>
    <row r="580" spans="1:24" s="23" customFormat="1" ht="76.5" customHeight="1" outlineLevel="1" x14ac:dyDescent="0.2">
      <c r="A580" s="1" t="s">
        <v>7474</v>
      </c>
      <c r="B580" s="15" t="s">
        <v>5277</v>
      </c>
      <c r="C580" s="4" t="s">
        <v>3577</v>
      </c>
      <c r="D580" s="4" t="s">
        <v>5930</v>
      </c>
      <c r="E580" s="4" t="s">
        <v>3578</v>
      </c>
      <c r="F580" s="4"/>
      <c r="G580" s="4" t="s">
        <v>1888</v>
      </c>
      <c r="H580" s="22">
        <v>0.5</v>
      </c>
      <c r="I580" s="4">
        <v>710000000</v>
      </c>
      <c r="J580" s="4" t="s">
        <v>1931</v>
      </c>
      <c r="K580" s="4" t="s">
        <v>7338</v>
      </c>
      <c r="L580" s="4" t="s">
        <v>1889</v>
      </c>
      <c r="M580" s="8" t="s">
        <v>3195</v>
      </c>
      <c r="N580" s="4" t="s">
        <v>1890</v>
      </c>
      <c r="O580" s="8" t="s">
        <v>1935</v>
      </c>
      <c r="P580" s="4">
        <v>868</v>
      </c>
      <c r="Q580" s="4" t="s">
        <v>5521</v>
      </c>
      <c r="R580" s="10">
        <v>1624</v>
      </c>
      <c r="S580" s="10">
        <v>700</v>
      </c>
      <c r="T580" s="10">
        <v>0</v>
      </c>
      <c r="U580" s="10">
        <f t="shared" ref="U580" si="310">T580*1.12</f>
        <v>0</v>
      </c>
      <c r="V580" s="11"/>
      <c r="W580" s="11">
        <v>2015</v>
      </c>
      <c r="X580" s="4">
        <v>11.22</v>
      </c>
    </row>
    <row r="581" spans="1:24" s="23" customFormat="1" ht="76.5" customHeight="1" outlineLevel="1" x14ac:dyDescent="0.2">
      <c r="A581" s="1" t="s">
        <v>8455</v>
      </c>
      <c r="B581" s="15" t="s">
        <v>5277</v>
      </c>
      <c r="C581" s="4" t="s">
        <v>3577</v>
      </c>
      <c r="D581" s="4" t="s">
        <v>5930</v>
      </c>
      <c r="E581" s="4" t="s">
        <v>3578</v>
      </c>
      <c r="F581" s="4"/>
      <c r="G581" s="4" t="s">
        <v>1888</v>
      </c>
      <c r="H581" s="22">
        <v>0.5</v>
      </c>
      <c r="I581" s="4">
        <v>710000000</v>
      </c>
      <c r="J581" s="4" t="s">
        <v>1931</v>
      </c>
      <c r="K581" s="4" t="s">
        <v>8400</v>
      </c>
      <c r="L581" s="4" t="s">
        <v>1889</v>
      </c>
      <c r="M581" s="8" t="s">
        <v>3195</v>
      </c>
      <c r="N581" s="4" t="s">
        <v>1890</v>
      </c>
      <c r="O581" s="8" t="s">
        <v>1935</v>
      </c>
      <c r="P581" s="4">
        <v>868</v>
      </c>
      <c r="Q581" s="4" t="s">
        <v>5521</v>
      </c>
      <c r="R581" s="10">
        <v>1624</v>
      </c>
      <c r="S581" s="10">
        <v>700</v>
      </c>
      <c r="T581" s="10">
        <f t="shared" ref="T581" si="311">S581*R581</f>
        <v>1136800</v>
      </c>
      <c r="U581" s="10">
        <f t="shared" ref="U581" si="312">T581*1.12</f>
        <v>1273216.0000000002</v>
      </c>
      <c r="V581" s="11"/>
      <c r="W581" s="11">
        <v>2015</v>
      </c>
      <c r="X581" s="4"/>
    </row>
    <row r="582" spans="1:24" s="23" customFormat="1" ht="216.75" customHeight="1" outlineLevel="1" x14ac:dyDescent="0.2">
      <c r="A582" s="1" t="s">
        <v>4537</v>
      </c>
      <c r="B582" s="15" t="s">
        <v>5277</v>
      </c>
      <c r="C582" s="4" t="s">
        <v>3579</v>
      </c>
      <c r="D582" s="4" t="s">
        <v>3580</v>
      </c>
      <c r="E582" s="4" t="s">
        <v>3581</v>
      </c>
      <c r="F582" s="4"/>
      <c r="G582" s="4" t="s">
        <v>1888</v>
      </c>
      <c r="H582" s="22">
        <v>0.5</v>
      </c>
      <c r="I582" s="4">
        <v>710000000</v>
      </c>
      <c r="J582" s="4" t="s">
        <v>1931</v>
      </c>
      <c r="K582" s="4" t="s">
        <v>5297</v>
      </c>
      <c r="L582" s="4" t="s">
        <v>1889</v>
      </c>
      <c r="M582" s="8" t="s">
        <v>3195</v>
      </c>
      <c r="N582" s="4" t="s">
        <v>1890</v>
      </c>
      <c r="O582" s="8" t="s">
        <v>1935</v>
      </c>
      <c r="P582" s="4">
        <v>868</v>
      </c>
      <c r="Q582" s="4" t="s">
        <v>5521</v>
      </c>
      <c r="R582" s="10">
        <v>31</v>
      </c>
      <c r="S582" s="10">
        <v>1652.9</v>
      </c>
      <c r="T582" s="10">
        <v>0</v>
      </c>
      <c r="U582" s="10">
        <f t="shared" si="181"/>
        <v>0</v>
      </c>
      <c r="V582" s="11"/>
      <c r="W582" s="11">
        <v>2015</v>
      </c>
      <c r="X582" s="4">
        <v>11</v>
      </c>
    </row>
    <row r="583" spans="1:24" s="23" customFormat="1" ht="216.75" customHeight="1" outlineLevel="1" x14ac:dyDescent="0.2">
      <c r="A583" s="1" t="s">
        <v>7475</v>
      </c>
      <c r="B583" s="15" t="s">
        <v>5277</v>
      </c>
      <c r="C583" s="4" t="s">
        <v>3579</v>
      </c>
      <c r="D583" s="4" t="s">
        <v>3580</v>
      </c>
      <c r="E583" s="4" t="s">
        <v>3581</v>
      </c>
      <c r="F583" s="4"/>
      <c r="G583" s="4" t="s">
        <v>1888</v>
      </c>
      <c r="H583" s="22">
        <v>0.5</v>
      </c>
      <c r="I583" s="4">
        <v>710000000</v>
      </c>
      <c r="J583" s="4" t="s">
        <v>1931</v>
      </c>
      <c r="K583" s="4" t="s">
        <v>7338</v>
      </c>
      <c r="L583" s="4" t="s">
        <v>1889</v>
      </c>
      <c r="M583" s="8" t="s">
        <v>3195</v>
      </c>
      <c r="N583" s="4" t="s">
        <v>1890</v>
      </c>
      <c r="O583" s="8" t="s">
        <v>1935</v>
      </c>
      <c r="P583" s="4">
        <v>868</v>
      </c>
      <c r="Q583" s="4" t="s">
        <v>5521</v>
      </c>
      <c r="R583" s="10">
        <v>31</v>
      </c>
      <c r="S583" s="10">
        <v>1652.9</v>
      </c>
      <c r="T583" s="10">
        <v>0</v>
      </c>
      <c r="U583" s="10">
        <f t="shared" ref="U583" si="313">T583*1.12</f>
        <v>0</v>
      </c>
      <c r="V583" s="11"/>
      <c r="W583" s="11">
        <v>2015</v>
      </c>
      <c r="X583" s="4">
        <v>11.22</v>
      </c>
    </row>
    <row r="584" spans="1:24" s="23" customFormat="1" ht="216.75" customHeight="1" outlineLevel="1" x14ac:dyDescent="0.2">
      <c r="A584" s="1" t="s">
        <v>8456</v>
      </c>
      <c r="B584" s="15" t="s">
        <v>5277</v>
      </c>
      <c r="C584" s="4" t="s">
        <v>3579</v>
      </c>
      <c r="D584" s="4" t="s">
        <v>3580</v>
      </c>
      <c r="E584" s="4" t="s">
        <v>3581</v>
      </c>
      <c r="F584" s="4"/>
      <c r="G584" s="4" t="s">
        <v>1888</v>
      </c>
      <c r="H584" s="22">
        <v>0.5</v>
      </c>
      <c r="I584" s="4">
        <v>710000000</v>
      </c>
      <c r="J584" s="4" t="s">
        <v>1931</v>
      </c>
      <c r="K584" s="4" t="s">
        <v>8400</v>
      </c>
      <c r="L584" s="4" t="s">
        <v>1889</v>
      </c>
      <c r="M584" s="8" t="s">
        <v>3195</v>
      </c>
      <c r="N584" s="4" t="s">
        <v>1890</v>
      </c>
      <c r="O584" s="8" t="s">
        <v>1935</v>
      </c>
      <c r="P584" s="4">
        <v>868</v>
      </c>
      <c r="Q584" s="4" t="s">
        <v>5521</v>
      </c>
      <c r="R584" s="10">
        <v>31</v>
      </c>
      <c r="S584" s="10">
        <v>1652.9</v>
      </c>
      <c r="T584" s="10">
        <f t="shared" ref="T584" si="314">S584*R584</f>
        <v>51239.9</v>
      </c>
      <c r="U584" s="10">
        <f t="shared" ref="U584" si="315">T584*1.12</f>
        <v>57388.688000000009</v>
      </c>
      <c r="V584" s="11"/>
      <c r="W584" s="11">
        <v>2015</v>
      </c>
      <c r="X584" s="4"/>
    </row>
    <row r="585" spans="1:24" s="23" customFormat="1" ht="127.5" customHeight="1" outlineLevel="1" x14ac:dyDescent="0.2">
      <c r="A585" s="1" t="s">
        <v>4538</v>
      </c>
      <c r="B585" s="15" t="s">
        <v>5277</v>
      </c>
      <c r="C585" s="4" t="s">
        <v>3574</v>
      </c>
      <c r="D585" s="4" t="s">
        <v>3573</v>
      </c>
      <c r="E585" s="4" t="s">
        <v>5927</v>
      </c>
      <c r="F585" s="4"/>
      <c r="G585" s="4" t="s">
        <v>1888</v>
      </c>
      <c r="H585" s="22">
        <v>0.5</v>
      </c>
      <c r="I585" s="4">
        <v>710000000</v>
      </c>
      <c r="J585" s="4" t="s">
        <v>1931</v>
      </c>
      <c r="K585" s="4" t="s">
        <v>5297</v>
      </c>
      <c r="L585" s="4" t="s">
        <v>1889</v>
      </c>
      <c r="M585" s="8" t="s">
        <v>3195</v>
      </c>
      <c r="N585" s="4" t="s">
        <v>1890</v>
      </c>
      <c r="O585" s="8" t="s">
        <v>1935</v>
      </c>
      <c r="P585" s="4">
        <v>868</v>
      </c>
      <c r="Q585" s="4" t="s">
        <v>5521</v>
      </c>
      <c r="R585" s="10">
        <v>2</v>
      </c>
      <c r="S585" s="10">
        <v>21600</v>
      </c>
      <c r="T585" s="10">
        <v>0</v>
      </c>
      <c r="U585" s="10">
        <f t="shared" si="181"/>
        <v>0</v>
      </c>
      <c r="V585" s="11"/>
      <c r="W585" s="11">
        <v>2015</v>
      </c>
      <c r="X585" s="4">
        <v>11</v>
      </c>
    </row>
    <row r="586" spans="1:24" s="23" customFormat="1" ht="127.5" customHeight="1" outlineLevel="1" x14ac:dyDescent="0.2">
      <c r="A586" s="1" t="s">
        <v>7476</v>
      </c>
      <c r="B586" s="15" t="s">
        <v>5277</v>
      </c>
      <c r="C586" s="4" t="s">
        <v>3574</v>
      </c>
      <c r="D586" s="4" t="s">
        <v>3573</v>
      </c>
      <c r="E586" s="4" t="s">
        <v>5927</v>
      </c>
      <c r="F586" s="4"/>
      <c r="G586" s="4" t="s">
        <v>1888</v>
      </c>
      <c r="H586" s="22">
        <v>0.5</v>
      </c>
      <c r="I586" s="4">
        <v>710000000</v>
      </c>
      <c r="J586" s="4" t="s">
        <v>1931</v>
      </c>
      <c r="K586" s="4" t="s">
        <v>7338</v>
      </c>
      <c r="L586" s="4" t="s">
        <v>1889</v>
      </c>
      <c r="M586" s="8" t="s">
        <v>3195</v>
      </c>
      <c r="N586" s="4" t="s">
        <v>1890</v>
      </c>
      <c r="O586" s="8" t="s">
        <v>1935</v>
      </c>
      <c r="P586" s="4">
        <v>868</v>
      </c>
      <c r="Q586" s="4" t="s">
        <v>5521</v>
      </c>
      <c r="R586" s="10">
        <v>2</v>
      </c>
      <c r="S586" s="10">
        <v>21600</v>
      </c>
      <c r="T586" s="10">
        <v>0</v>
      </c>
      <c r="U586" s="10">
        <f t="shared" ref="U586" si="316">T586*1.12</f>
        <v>0</v>
      </c>
      <c r="V586" s="11"/>
      <c r="W586" s="11">
        <v>2015</v>
      </c>
      <c r="X586" s="4">
        <v>11.22</v>
      </c>
    </row>
    <row r="587" spans="1:24" s="23" customFormat="1" ht="127.5" customHeight="1" outlineLevel="1" x14ac:dyDescent="0.2">
      <c r="A587" s="1" t="s">
        <v>8457</v>
      </c>
      <c r="B587" s="15" t="s">
        <v>5277</v>
      </c>
      <c r="C587" s="4" t="s">
        <v>3574</v>
      </c>
      <c r="D587" s="4" t="s">
        <v>3573</v>
      </c>
      <c r="E587" s="4" t="s">
        <v>5927</v>
      </c>
      <c r="F587" s="4"/>
      <c r="G587" s="4" t="s">
        <v>1888</v>
      </c>
      <c r="H587" s="22">
        <v>0.5</v>
      </c>
      <c r="I587" s="4">
        <v>710000000</v>
      </c>
      <c r="J587" s="4" t="s">
        <v>1931</v>
      </c>
      <c r="K587" s="4" t="s">
        <v>8400</v>
      </c>
      <c r="L587" s="4" t="s">
        <v>1889</v>
      </c>
      <c r="M587" s="8" t="s">
        <v>3195</v>
      </c>
      <c r="N587" s="4" t="s">
        <v>1890</v>
      </c>
      <c r="O587" s="8" t="s">
        <v>1935</v>
      </c>
      <c r="P587" s="4">
        <v>868</v>
      </c>
      <c r="Q587" s="4" t="s">
        <v>5521</v>
      </c>
      <c r="R587" s="10">
        <v>2</v>
      </c>
      <c r="S587" s="10">
        <v>21600</v>
      </c>
      <c r="T587" s="10">
        <f t="shared" ref="T587" si="317">S587*R587</f>
        <v>43200</v>
      </c>
      <c r="U587" s="10">
        <f t="shared" ref="U587" si="318">T587*1.12</f>
        <v>48384.000000000007</v>
      </c>
      <c r="V587" s="11"/>
      <c r="W587" s="11">
        <v>2015</v>
      </c>
      <c r="X587" s="4"/>
    </row>
    <row r="588" spans="1:24" s="23" customFormat="1" ht="127.5" customHeight="1" outlineLevel="1" x14ac:dyDescent="0.2">
      <c r="A588" s="1" t="s">
        <v>3084</v>
      </c>
      <c r="B588" s="15" t="s">
        <v>5277</v>
      </c>
      <c r="C588" s="4" t="s">
        <v>3572</v>
      </c>
      <c r="D588" s="4" t="s">
        <v>3573</v>
      </c>
      <c r="E588" s="4" t="s">
        <v>5926</v>
      </c>
      <c r="F588" s="4"/>
      <c r="G588" s="4" t="s">
        <v>1888</v>
      </c>
      <c r="H588" s="22">
        <v>0.5</v>
      </c>
      <c r="I588" s="4">
        <v>710000000</v>
      </c>
      <c r="J588" s="4" t="s">
        <v>1931</v>
      </c>
      <c r="K588" s="4" t="s">
        <v>5297</v>
      </c>
      <c r="L588" s="4" t="s">
        <v>1889</v>
      </c>
      <c r="M588" s="8" t="s">
        <v>3195</v>
      </c>
      <c r="N588" s="4" t="s">
        <v>1890</v>
      </c>
      <c r="O588" s="8" t="s">
        <v>1935</v>
      </c>
      <c r="P588" s="4">
        <v>868</v>
      </c>
      <c r="Q588" s="4" t="s">
        <v>5521</v>
      </c>
      <c r="R588" s="10">
        <v>146</v>
      </c>
      <c r="S588" s="10">
        <v>840</v>
      </c>
      <c r="T588" s="10">
        <v>0</v>
      </c>
      <c r="U588" s="10">
        <f t="shared" si="181"/>
        <v>0</v>
      </c>
      <c r="V588" s="11"/>
      <c r="W588" s="11">
        <v>2015</v>
      </c>
      <c r="X588" s="4">
        <v>11</v>
      </c>
    </row>
    <row r="589" spans="1:24" s="23" customFormat="1" ht="127.5" customHeight="1" outlineLevel="1" x14ac:dyDescent="0.2">
      <c r="A589" s="1" t="s">
        <v>7477</v>
      </c>
      <c r="B589" s="15" t="s">
        <v>5277</v>
      </c>
      <c r="C589" s="4" t="s">
        <v>3572</v>
      </c>
      <c r="D589" s="4" t="s">
        <v>3573</v>
      </c>
      <c r="E589" s="4" t="s">
        <v>5926</v>
      </c>
      <c r="F589" s="4"/>
      <c r="G589" s="4" t="s">
        <v>1888</v>
      </c>
      <c r="H589" s="22">
        <v>0.5</v>
      </c>
      <c r="I589" s="4">
        <v>710000000</v>
      </c>
      <c r="J589" s="4" t="s">
        <v>1931</v>
      </c>
      <c r="K589" s="4" t="s">
        <v>7338</v>
      </c>
      <c r="L589" s="4" t="s">
        <v>1889</v>
      </c>
      <c r="M589" s="8" t="s">
        <v>3195</v>
      </c>
      <c r="N589" s="4" t="s">
        <v>1890</v>
      </c>
      <c r="O589" s="8" t="s">
        <v>1935</v>
      </c>
      <c r="P589" s="4">
        <v>868</v>
      </c>
      <c r="Q589" s="4" t="s">
        <v>5521</v>
      </c>
      <c r="R589" s="10">
        <v>146</v>
      </c>
      <c r="S589" s="10">
        <v>840</v>
      </c>
      <c r="T589" s="10">
        <v>0</v>
      </c>
      <c r="U589" s="10">
        <f t="shared" ref="U589" si="319">T589*1.12</f>
        <v>0</v>
      </c>
      <c r="V589" s="11"/>
      <c r="W589" s="11">
        <v>2015</v>
      </c>
      <c r="X589" s="4">
        <v>11.22</v>
      </c>
    </row>
    <row r="590" spans="1:24" s="23" customFormat="1" ht="127.5" customHeight="1" outlineLevel="1" x14ac:dyDescent="0.2">
      <c r="A590" s="1" t="s">
        <v>8458</v>
      </c>
      <c r="B590" s="15" t="s">
        <v>5277</v>
      </c>
      <c r="C590" s="4" t="s">
        <v>3572</v>
      </c>
      <c r="D590" s="4" t="s">
        <v>3573</v>
      </c>
      <c r="E590" s="4" t="s">
        <v>5926</v>
      </c>
      <c r="F590" s="4"/>
      <c r="G590" s="4" t="s">
        <v>1888</v>
      </c>
      <c r="H590" s="22">
        <v>0.5</v>
      </c>
      <c r="I590" s="4">
        <v>710000000</v>
      </c>
      <c r="J590" s="4" t="s">
        <v>1931</v>
      </c>
      <c r="K590" s="4" t="s">
        <v>8400</v>
      </c>
      <c r="L590" s="4" t="s">
        <v>1889</v>
      </c>
      <c r="M590" s="8" t="s">
        <v>3195</v>
      </c>
      <c r="N590" s="4" t="s">
        <v>1890</v>
      </c>
      <c r="O590" s="8" t="s">
        <v>1935</v>
      </c>
      <c r="P590" s="4">
        <v>868</v>
      </c>
      <c r="Q590" s="4" t="s">
        <v>5521</v>
      </c>
      <c r="R590" s="10">
        <v>146</v>
      </c>
      <c r="S590" s="10">
        <v>840</v>
      </c>
      <c r="T590" s="10">
        <f t="shared" ref="T590" si="320">S590*R590</f>
        <v>122640</v>
      </c>
      <c r="U590" s="10">
        <f t="shared" ref="U590" si="321">T590*1.12</f>
        <v>137356.80000000002</v>
      </c>
      <c r="V590" s="11"/>
      <c r="W590" s="11">
        <v>2015</v>
      </c>
      <c r="X590" s="4"/>
    </row>
    <row r="591" spans="1:24" s="23" customFormat="1" ht="162.75" customHeight="1" outlineLevel="1" x14ac:dyDescent="0.2">
      <c r="A591" s="1" t="s">
        <v>4539</v>
      </c>
      <c r="B591" s="15" t="s">
        <v>5277</v>
      </c>
      <c r="C591" s="4" t="s">
        <v>3572</v>
      </c>
      <c r="D591" s="4" t="s">
        <v>3573</v>
      </c>
      <c r="E591" s="4" t="s">
        <v>5926</v>
      </c>
      <c r="F591" s="4"/>
      <c r="G591" s="4" t="s">
        <v>1888</v>
      </c>
      <c r="H591" s="22">
        <v>0.5</v>
      </c>
      <c r="I591" s="4">
        <v>710000000</v>
      </c>
      <c r="J591" s="4" t="s">
        <v>1931</v>
      </c>
      <c r="K591" s="4" t="s">
        <v>5297</v>
      </c>
      <c r="L591" s="4" t="s">
        <v>1889</v>
      </c>
      <c r="M591" s="8" t="s">
        <v>3195</v>
      </c>
      <c r="N591" s="4" t="s">
        <v>1890</v>
      </c>
      <c r="O591" s="8" t="s">
        <v>1935</v>
      </c>
      <c r="P591" s="4">
        <v>868</v>
      </c>
      <c r="Q591" s="4" t="s">
        <v>5521</v>
      </c>
      <c r="R591" s="10">
        <v>12</v>
      </c>
      <c r="S591" s="10">
        <v>12295</v>
      </c>
      <c r="T591" s="10">
        <v>0</v>
      </c>
      <c r="U591" s="10">
        <f t="shared" si="181"/>
        <v>0</v>
      </c>
      <c r="V591" s="11"/>
      <c r="W591" s="11">
        <v>2015</v>
      </c>
      <c r="X591" s="4">
        <v>11</v>
      </c>
    </row>
    <row r="592" spans="1:24" s="23" customFormat="1" ht="162.75" customHeight="1" outlineLevel="1" x14ac:dyDescent="0.2">
      <c r="A592" s="1" t="s">
        <v>7478</v>
      </c>
      <c r="B592" s="15" t="s">
        <v>5277</v>
      </c>
      <c r="C592" s="4" t="s">
        <v>3572</v>
      </c>
      <c r="D592" s="4" t="s">
        <v>3573</v>
      </c>
      <c r="E592" s="4" t="s">
        <v>5926</v>
      </c>
      <c r="F592" s="4"/>
      <c r="G592" s="4" t="s">
        <v>1888</v>
      </c>
      <c r="H592" s="22">
        <v>0.5</v>
      </c>
      <c r="I592" s="4">
        <v>710000000</v>
      </c>
      <c r="J592" s="4" t="s">
        <v>1931</v>
      </c>
      <c r="K592" s="4" t="s">
        <v>7338</v>
      </c>
      <c r="L592" s="4" t="s">
        <v>1889</v>
      </c>
      <c r="M592" s="8" t="s">
        <v>3195</v>
      </c>
      <c r="N592" s="4" t="s">
        <v>1890</v>
      </c>
      <c r="O592" s="8" t="s">
        <v>1935</v>
      </c>
      <c r="P592" s="4">
        <v>868</v>
      </c>
      <c r="Q592" s="4" t="s">
        <v>5521</v>
      </c>
      <c r="R592" s="10">
        <v>12</v>
      </c>
      <c r="S592" s="10">
        <v>12295</v>
      </c>
      <c r="T592" s="10">
        <v>0</v>
      </c>
      <c r="U592" s="10">
        <f t="shared" ref="U592" si="322">T592*1.12</f>
        <v>0</v>
      </c>
      <c r="V592" s="11"/>
      <c r="W592" s="11">
        <v>2015</v>
      </c>
      <c r="X592" s="4">
        <v>11.22</v>
      </c>
    </row>
    <row r="593" spans="1:24" s="23" customFormat="1" ht="162.75" customHeight="1" outlineLevel="1" x14ac:dyDescent="0.2">
      <c r="A593" s="1" t="s">
        <v>8459</v>
      </c>
      <c r="B593" s="15" t="s">
        <v>5277</v>
      </c>
      <c r="C593" s="4" t="s">
        <v>3572</v>
      </c>
      <c r="D593" s="4" t="s">
        <v>3573</v>
      </c>
      <c r="E593" s="4" t="s">
        <v>5926</v>
      </c>
      <c r="F593" s="4"/>
      <c r="G593" s="4" t="s">
        <v>1888</v>
      </c>
      <c r="H593" s="22">
        <v>0.5</v>
      </c>
      <c r="I593" s="4">
        <v>710000000</v>
      </c>
      <c r="J593" s="4" t="s">
        <v>1931</v>
      </c>
      <c r="K593" s="4" t="s">
        <v>8400</v>
      </c>
      <c r="L593" s="4" t="s">
        <v>1889</v>
      </c>
      <c r="M593" s="8" t="s">
        <v>3195</v>
      </c>
      <c r="N593" s="4" t="s">
        <v>1890</v>
      </c>
      <c r="O593" s="8" t="s">
        <v>1935</v>
      </c>
      <c r="P593" s="4">
        <v>868</v>
      </c>
      <c r="Q593" s="4" t="s">
        <v>5521</v>
      </c>
      <c r="R593" s="10">
        <v>12</v>
      </c>
      <c r="S593" s="10">
        <v>12295</v>
      </c>
      <c r="T593" s="10">
        <f t="shared" ref="T593" si="323">S593*R593</f>
        <v>147540</v>
      </c>
      <c r="U593" s="10">
        <f t="shared" ref="U593" si="324">T593*1.12</f>
        <v>165244.80000000002</v>
      </c>
      <c r="V593" s="11"/>
      <c r="W593" s="11">
        <v>2015</v>
      </c>
      <c r="X593" s="4"/>
    </row>
    <row r="594" spans="1:24" s="23" customFormat="1" ht="102" customHeight="1" outlineLevel="1" x14ac:dyDescent="0.2">
      <c r="A594" s="1" t="s">
        <v>4540</v>
      </c>
      <c r="B594" s="15" t="s">
        <v>5277</v>
      </c>
      <c r="C594" s="4" t="s">
        <v>3582</v>
      </c>
      <c r="D594" s="4" t="s">
        <v>3583</v>
      </c>
      <c r="E594" s="4" t="s">
        <v>5931</v>
      </c>
      <c r="F594" s="4"/>
      <c r="G594" s="4" t="s">
        <v>1888</v>
      </c>
      <c r="H594" s="22">
        <v>0.5</v>
      </c>
      <c r="I594" s="4">
        <v>710000000</v>
      </c>
      <c r="J594" s="4" t="s">
        <v>1931</v>
      </c>
      <c r="K594" s="4" t="s">
        <v>5297</v>
      </c>
      <c r="L594" s="4" t="s">
        <v>1889</v>
      </c>
      <c r="M594" s="8" t="s">
        <v>3195</v>
      </c>
      <c r="N594" s="4" t="s">
        <v>1890</v>
      </c>
      <c r="O594" s="8" t="s">
        <v>1935</v>
      </c>
      <c r="P594" s="4">
        <v>868</v>
      </c>
      <c r="Q594" s="4" t="s">
        <v>5521</v>
      </c>
      <c r="R594" s="10">
        <v>48</v>
      </c>
      <c r="S594" s="10">
        <v>217.5</v>
      </c>
      <c r="T594" s="10">
        <v>0</v>
      </c>
      <c r="U594" s="10">
        <f t="shared" si="181"/>
        <v>0</v>
      </c>
      <c r="V594" s="11"/>
      <c r="W594" s="11">
        <v>2015</v>
      </c>
      <c r="X594" s="4">
        <v>11</v>
      </c>
    </row>
    <row r="595" spans="1:24" s="23" customFormat="1" ht="102" customHeight="1" outlineLevel="1" x14ac:dyDescent="0.2">
      <c r="A595" s="1" t="s">
        <v>7479</v>
      </c>
      <c r="B595" s="15" t="s">
        <v>5277</v>
      </c>
      <c r="C595" s="4" t="s">
        <v>3582</v>
      </c>
      <c r="D595" s="4" t="s">
        <v>3583</v>
      </c>
      <c r="E595" s="4" t="s">
        <v>5931</v>
      </c>
      <c r="F595" s="4"/>
      <c r="G595" s="4" t="s">
        <v>1888</v>
      </c>
      <c r="H595" s="22">
        <v>0.5</v>
      </c>
      <c r="I595" s="4">
        <v>710000000</v>
      </c>
      <c r="J595" s="4" t="s">
        <v>1931</v>
      </c>
      <c r="K595" s="4" t="s">
        <v>7338</v>
      </c>
      <c r="L595" s="4" t="s">
        <v>1889</v>
      </c>
      <c r="M595" s="8" t="s">
        <v>3195</v>
      </c>
      <c r="N595" s="4" t="s">
        <v>1890</v>
      </c>
      <c r="O595" s="8" t="s">
        <v>1935</v>
      </c>
      <c r="P595" s="4">
        <v>868</v>
      </c>
      <c r="Q595" s="4" t="s">
        <v>5521</v>
      </c>
      <c r="R595" s="10">
        <v>48</v>
      </c>
      <c r="S595" s="10">
        <v>217.5</v>
      </c>
      <c r="T595" s="10">
        <v>0</v>
      </c>
      <c r="U595" s="10">
        <f t="shared" ref="U595" si="325">T595*1.12</f>
        <v>0</v>
      </c>
      <c r="V595" s="11"/>
      <c r="W595" s="11">
        <v>2015</v>
      </c>
      <c r="X595" s="4">
        <v>11.22</v>
      </c>
    </row>
    <row r="596" spans="1:24" ht="76.5" customHeight="1" outlineLevel="1" x14ac:dyDescent="0.2">
      <c r="A596" s="1" t="s">
        <v>4541</v>
      </c>
      <c r="B596" s="24" t="s">
        <v>5277</v>
      </c>
      <c r="C596" s="7" t="s">
        <v>3073</v>
      </c>
      <c r="D596" s="7" t="s">
        <v>5934</v>
      </c>
      <c r="E596" s="18" t="s">
        <v>5935</v>
      </c>
      <c r="F596" s="25" t="s">
        <v>5936</v>
      </c>
      <c r="G596" s="4" t="s">
        <v>1888</v>
      </c>
      <c r="H596" s="17">
        <v>0</v>
      </c>
      <c r="I596" s="18">
        <v>710000000</v>
      </c>
      <c r="J596" s="4" t="s">
        <v>1931</v>
      </c>
      <c r="K596" s="4" t="s">
        <v>5297</v>
      </c>
      <c r="L596" s="7" t="s">
        <v>1932</v>
      </c>
      <c r="M596" s="8" t="s">
        <v>3195</v>
      </c>
      <c r="N596" s="4" t="s">
        <v>1890</v>
      </c>
      <c r="O596" s="8" t="s">
        <v>1935</v>
      </c>
      <c r="P596" s="1">
        <v>868</v>
      </c>
      <c r="Q596" s="4" t="s">
        <v>5521</v>
      </c>
      <c r="R596" s="10">
        <v>1008</v>
      </c>
      <c r="S596" s="10">
        <v>357.14285714285717</v>
      </c>
      <c r="T596" s="10">
        <v>0</v>
      </c>
      <c r="U596" s="10">
        <f t="shared" si="181"/>
        <v>0</v>
      </c>
      <c r="V596" s="8"/>
      <c r="W596" s="11">
        <v>2015</v>
      </c>
      <c r="X596" s="4">
        <v>11</v>
      </c>
    </row>
    <row r="597" spans="1:24" ht="76.5" customHeight="1" outlineLevel="1" x14ac:dyDescent="0.2">
      <c r="A597" s="1" t="s">
        <v>7480</v>
      </c>
      <c r="B597" s="24" t="s">
        <v>5277</v>
      </c>
      <c r="C597" s="7" t="s">
        <v>3073</v>
      </c>
      <c r="D597" s="7" t="s">
        <v>5934</v>
      </c>
      <c r="E597" s="18" t="s">
        <v>5935</v>
      </c>
      <c r="F597" s="25" t="s">
        <v>5936</v>
      </c>
      <c r="G597" s="4" t="s">
        <v>1888</v>
      </c>
      <c r="H597" s="17">
        <v>0</v>
      </c>
      <c r="I597" s="18">
        <v>710000000</v>
      </c>
      <c r="J597" s="4" t="s">
        <v>1931</v>
      </c>
      <c r="K597" s="4" t="s">
        <v>7338</v>
      </c>
      <c r="L597" s="7" t="s">
        <v>1932</v>
      </c>
      <c r="M597" s="8" t="s">
        <v>3195</v>
      </c>
      <c r="N597" s="4" t="s">
        <v>1890</v>
      </c>
      <c r="O597" s="8" t="s">
        <v>1935</v>
      </c>
      <c r="P597" s="1">
        <v>868</v>
      </c>
      <c r="Q597" s="4" t="s">
        <v>5521</v>
      </c>
      <c r="R597" s="10">
        <v>1008</v>
      </c>
      <c r="S597" s="10">
        <v>357.14285714285717</v>
      </c>
      <c r="T597" s="10">
        <v>0</v>
      </c>
      <c r="U597" s="10">
        <f t="shared" ref="U597" si="326">T597*1.12</f>
        <v>0</v>
      </c>
      <c r="V597" s="8"/>
      <c r="W597" s="11">
        <v>2015</v>
      </c>
      <c r="X597" s="20">
        <v>11.22</v>
      </c>
    </row>
    <row r="598" spans="1:24" ht="76.5" customHeight="1" outlineLevel="1" x14ac:dyDescent="0.2">
      <c r="A598" s="1" t="s">
        <v>8448</v>
      </c>
      <c r="B598" s="24" t="s">
        <v>5277</v>
      </c>
      <c r="C598" s="7" t="s">
        <v>3073</v>
      </c>
      <c r="D598" s="7" t="s">
        <v>5934</v>
      </c>
      <c r="E598" s="18" t="s">
        <v>5935</v>
      </c>
      <c r="F598" s="25" t="s">
        <v>5936</v>
      </c>
      <c r="G598" s="4" t="s">
        <v>1888</v>
      </c>
      <c r="H598" s="17">
        <v>0</v>
      </c>
      <c r="I598" s="18">
        <v>710000000</v>
      </c>
      <c r="J598" s="4" t="s">
        <v>1931</v>
      </c>
      <c r="K598" s="4" t="s">
        <v>8400</v>
      </c>
      <c r="L598" s="7" t="s">
        <v>1932</v>
      </c>
      <c r="M598" s="8" t="s">
        <v>3195</v>
      </c>
      <c r="N598" s="4" t="s">
        <v>1890</v>
      </c>
      <c r="O598" s="8" t="s">
        <v>1935</v>
      </c>
      <c r="P598" s="1">
        <v>868</v>
      </c>
      <c r="Q598" s="4" t="s">
        <v>5521</v>
      </c>
      <c r="R598" s="10">
        <v>1008</v>
      </c>
      <c r="S598" s="10">
        <v>357.14285714285717</v>
      </c>
      <c r="T598" s="10">
        <f t="shared" ref="T598" si="327">S598*R598</f>
        <v>360000</v>
      </c>
      <c r="U598" s="10">
        <f t="shared" ref="U598" si="328">T598*1.12</f>
        <v>403200.00000000006</v>
      </c>
      <c r="V598" s="8"/>
      <c r="W598" s="11">
        <v>2015</v>
      </c>
      <c r="X598" s="20"/>
    </row>
    <row r="599" spans="1:24" ht="76.5" customHeight="1" outlineLevel="1" x14ac:dyDescent="0.2">
      <c r="A599" s="1" t="s">
        <v>4542</v>
      </c>
      <c r="B599" s="24" t="s">
        <v>5277</v>
      </c>
      <c r="C599" s="7" t="s">
        <v>3075</v>
      </c>
      <c r="D599" s="7" t="s">
        <v>5934</v>
      </c>
      <c r="E599" s="18" t="s">
        <v>5937</v>
      </c>
      <c r="F599" s="25" t="s">
        <v>5938</v>
      </c>
      <c r="G599" s="4" t="s">
        <v>1888</v>
      </c>
      <c r="H599" s="17">
        <v>0</v>
      </c>
      <c r="I599" s="18">
        <v>710000000</v>
      </c>
      <c r="J599" s="4" t="s">
        <v>1931</v>
      </c>
      <c r="K599" s="4" t="s">
        <v>5297</v>
      </c>
      <c r="L599" s="7" t="s">
        <v>1933</v>
      </c>
      <c r="M599" s="8" t="s">
        <v>3195</v>
      </c>
      <c r="N599" s="4" t="s">
        <v>1890</v>
      </c>
      <c r="O599" s="8" t="s">
        <v>1935</v>
      </c>
      <c r="P599" s="1">
        <v>868</v>
      </c>
      <c r="Q599" s="4" t="s">
        <v>5521</v>
      </c>
      <c r="R599" s="10">
        <v>7300</v>
      </c>
      <c r="S599" s="10">
        <v>100</v>
      </c>
      <c r="T599" s="10">
        <v>0</v>
      </c>
      <c r="U599" s="10">
        <f t="shared" ref="U599:U665" si="329">T599*1.12</f>
        <v>0</v>
      </c>
      <c r="V599" s="8"/>
      <c r="W599" s="11">
        <v>2015</v>
      </c>
      <c r="X599" s="4">
        <v>11</v>
      </c>
    </row>
    <row r="600" spans="1:24" ht="76.5" customHeight="1" outlineLevel="1" x14ac:dyDescent="0.2">
      <c r="A600" s="1" t="s">
        <v>7481</v>
      </c>
      <c r="B600" s="24" t="s">
        <v>5277</v>
      </c>
      <c r="C600" s="7" t="s">
        <v>3075</v>
      </c>
      <c r="D600" s="7" t="s">
        <v>5934</v>
      </c>
      <c r="E600" s="18" t="s">
        <v>5937</v>
      </c>
      <c r="F600" s="25" t="s">
        <v>5938</v>
      </c>
      <c r="G600" s="4" t="s">
        <v>1888</v>
      </c>
      <c r="H600" s="17">
        <v>0</v>
      </c>
      <c r="I600" s="18">
        <v>710000000</v>
      </c>
      <c r="J600" s="4" t="s">
        <v>1931</v>
      </c>
      <c r="K600" s="4" t="s">
        <v>7338</v>
      </c>
      <c r="L600" s="7" t="s">
        <v>1933</v>
      </c>
      <c r="M600" s="8" t="s">
        <v>3195</v>
      </c>
      <c r="N600" s="4" t="s">
        <v>1890</v>
      </c>
      <c r="O600" s="8" t="s">
        <v>1935</v>
      </c>
      <c r="P600" s="1">
        <v>868</v>
      </c>
      <c r="Q600" s="4" t="s">
        <v>5521</v>
      </c>
      <c r="R600" s="10">
        <v>7300</v>
      </c>
      <c r="S600" s="10">
        <v>100</v>
      </c>
      <c r="T600" s="10">
        <f t="shared" ref="T600" si="330">S600*R600</f>
        <v>730000</v>
      </c>
      <c r="U600" s="10">
        <f t="shared" ref="U600" si="331">T600*1.12</f>
        <v>817600.00000000012</v>
      </c>
      <c r="V600" s="8"/>
      <c r="W600" s="11">
        <v>2015</v>
      </c>
      <c r="X600" s="20"/>
    </row>
    <row r="601" spans="1:24" ht="76.5" customHeight="1" outlineLevel="1" x14ac:dyDescent="0.2">
      <c r="A601" s="1" t="s">
        <v>4543</v>
      </c>
      <c r="B601" s="24" t="s">
        <v>5277</v>
      </c>
      <c r="C601" s="7" t="s">
        <v>3074</v>
      </c>
      <c r="D601" s="7" t="s">
        <v>5934</v>
      </c>
      <c r="E601" s="18" t="s">
        <v>5939</v>
      </c>
      <c r="F601" s="25" t="s">
        <v>5919</v>
      </c>
      <c r="G601" s="4" t="s">
        <v>1888</v>
      </c>
      <c r="H601" s="17">
        <v>0</v>
      </c>
      <c r="I601" s="18">
        <v>710000000</v>
      </c>
      <c r="J601" s="4" t="s">
        <v>1931</v>
      </c>
      <c r="K601" s="4" t="s">
        <v>5297</v>
      </c>
      <c r="L601" s="7" t="s">
        <v>1934</v>
      </c>
      <c r="M601" s="8" t="s">
        <v>3195</v>
      </c>
      <c r="N601" s="4" t="s">
        <v>1890</v>
      </c>
      <c r="O601" s="8" t="s">
        <v>1935</v>
      </c>
      <c r="P601" s="1">
        <v>868</v>
      </c>
      <c r="Q601" s="4" t="s">
        <v>5521</v>
      </c>
      <c r="R601" s="26">
        <v>4500</v>
      </c>
      <c r="S601" s="26">
        <v>75.78</v>
      </c>
      <c r="T601" s="10">
        <f t="shared" ref="T601:T660" si="332">S601*R601</f>
        <v>341010</v>
      </c>
      <c r="U601" s="10">
        <f t="shared" si="329"/>
        <v>381931.2</v>
      </c>
      <c r="V601" s="8"/>
      <c r="W601" s="11">
        <v>2015</v>
      </c>
      <c r="X601" s="20"/>
    </row>
    <row r="602" spans="1:24" s="28" customFormat="1" ht="76.5" customHeight="1" outlineLevel="1" x14ac:dyDescent="0.2">
      <c r="A602" s="1" t="s">
        <v>4544</v>
      </c>
      <c r="B602" s="24" t="s">
        <v>5277</v>
      </c>
      <c r="C602" s="18" t="s">
        <v>3073</v>
      </c>
      <c r="D602" s="7" t="s">
        <v>5934</v>
      </c>
      <c r="E602" s="18" t="s">
        <v>5935</v>
      </c>
      <c r="F602" s="8" t="s">
        <v>5936</v>
      </c>
      <c r="G602" s="4" t="s">
        <v>1888</v>
      </c>
      <c r="H602" s="22">
        <v>0</v>
      </c>
      <c r="I602" s="18">
        <v>710000000</v>
      </c>
      <c r="J602" s="4" t="s">
        <v>1931</v>
      </c>
      <c r="K602" s="4" t="s">
        <v>5297</v>
      </c>
      <c r="L602" s="7" t="s">
        <v>5689</v>
      </c>
      <c r="M602" s="8" t="s">
        <v>3195</v>
      </c>
      <c r="N602" s="4" t="s">
        <v>1890</v>
      </c>
      <c r="O602" s="8" t="s">
        <v>1935</v>
      </c>
      <c r="P602" s="8" t="s">
        <v>3568</v>
      </c>
      <c r="Q602" s="1" t="s">
        <v>5521</v>
      </c>
      <c r="R602" s="26">
        <v>2238</v>
      </c>
      <c r="S602" s="26">
        <v>457</v>
      </c>
      <c r="T602" s="10">
        <v>0</v>
      </c>
      <c r="U602" s="10">
        <f t="shared" si="329"/>
        <v>0</v>
      </c>
      <c r="V602" s="11"/>
      <c r="W602" s="11">
        <v>2015</v>
      </c>
      <c r="X602" s="27" t="s">
        <v>7006</v>
      </c>
    </row>
    <row r="603" spans="1:24" s="28" customFormat="1" ht="76.5" customHeight="1" outlineLevel="1" x14ac:dyDescent="0.2">
      <c r="A603" s="1" t="s">
        <v>6736</v>
      </c>
      <c r="B603" s="24" t="s">
        <v>5277</v>
      </c>
      <c r="C603" s="18" t="s">
        <v>3073</v>
      </c>
      <c r="D603" s="7" t="s">
        <v>5934</v>
      </c>
      <c r="E603" s="18" t="s">
        <v>5935</v>
      </c>
      <c r="F603" s="8" t="s">
        <v>5936</v>
      </c>
      <c r="G603" s="4" t="s">
        <v>1888</v>
      </c>
      <c r="H603" s="22">
        <v>0</v>
      </c>
      <c r="I603" s="18">
        <v>710000000</v>
      </c>
      <c r="J603" s="4" t="s">
        <v>1931</v>
      </c>
      <c r="K603" s="4" t="s">
        <v>5292</v>
      </c>
      <c r="L603" s="7" t="s">
        <v>5689</v>
      </c>
      <c r="M603" s="8" t="s">
        <v>3195</v>
      </c>
      <c r="N603" s="4" t="s">
        <v>1890</v>
      </c>
      <c r="O603" s="8" t="s">
        <v>1935</v>
      </c>
      <c r="P603" s="8" t="s">
        <v>3568</v>
      </c>
      <c r="Q603" s="1" t="s">
        <v>5521</v>
      </c>
      <c r="R603" s="26">
        <v>2280</v>
      </c>
      <c r="S603" s="26">
        <v>457</v>
      </c>
      <c r="T603" s="10">
        <v>0</v>
      </c>
      <c r="U603" s="10">
        <f t="shared" ref="U603" si="333">T603*1.12</f>
        <v>0</v>
      </c>
      <c r="V603" s="11"/>
      <c r="W603" s="11">
        <v>2015</v>
      </c>
      <c r="X603" s="27" t="s">
        <v>8451</v>
      </c>
    </row>
    <row r="604" spans="1:24" s="28" customFormat="1" ht="76.5" customHeight="1" outlineLevel="1" x14ac:dyDescent="0.2">
      <c r="A604" s="1" t="s">
        <v>8449</v>
      </c>
      <c r="B604" s="24" t="s">
        <v>5277</v>
      </c>
      <c r="C604" s="18" t="s">
        <v>3073</v>
      </c>
      <c r="D604" s="7" t="s">
        <v>5934</v>
      </c>
      <c r="E604" s="18" t="s">
        <v>5935</v>
      </c>
      <c r="F604" s="8" t="s">
        <v>5936</v>
      </c>
      <c r="G604" s="4" t="s">
        <v>1888</v>
      </c>
      <c r="H604" s="22">
        <v>0</v>
      </c>
      <c r="I604" s="18">
        <v>710000000</v>
      </c>
      <c r="J604" s="4" t="s">
        <v>1931</v>
      </c>
      <c r="K604" s="4" t="s">
        <v>8450</v>
      </c>
      <c r="L604" s="7" t="s">
        <v>5689</v>
      </c>
      <c r="M604" s="8" t="s">
        <v>3195</v>
      </c>
      <c r="N604" s="4" t="s">
        <v>1890</v>
      </c>
      <c r="O604" s="8" t="s">
        <v>1935</v>
      </c>
      <c r="P604" s="8" t="s">
        <v>3568</v>
      </c>
      <c r="Q604" s="1" t="s">
        <v>5521</v>
      </c>
      <c r="R604" s="26">
        <v>2280</v>
      </c>
      <c r="S604" s="26">
        <v>457</v>
      </c>
      <c r="T604" s="10">
        <f t="shared" ref="T604" si="334">S604*R604</f>
        <v>1041960</v>
      </c>
      <c r="U604" s="10">
        <f t="shared" ref="U604" si="335">T604*1.12</f>
        <v>1166995.2000000002</v>
      </c>
      <c r="V604" s="11"/>
      <c r="W604" s="11">
        <v>2015</v>
      </c>
      <c r="X604" s="27"/>
    </row>
    <row r="605" spans="1:24" ht="76.5" customHeight="1" outlineLevel="1" x14ac:dyDescent="0.2">
      <c r="A605" s="1" t="s">
        <v>4545</v>
      </c>
      <c r="B605" s="24" t="s">
        <v>5277</v>
      </c>
      <c r="C605" s="7" t="s">
        <v>3074</v>
      </c>
      <c r="D605" s="7" t="s">
        <v>5934</v>
      </c>
      <c r="E605" s="18" t="s">
        <v>5939</v>
      </c>
      <c r="F605" s="25" t="s">
        <v>5919</v>
      </c>
      <c r="G605" s="4" t="s">
        <v>1888</v>
      </c>
      <c r="H605" s="17">
        <v>0</v>
      </c>
      <c r="I605" s="18">
        <v>710000000</v>
      </c>
      <c r="J605" s="4" t="s">
        <v>1931</v>
      </c>
      <c r="K605" s="4" t="s">
        <v>5297</v>
      </c>
      <c r="L605" s="7" t="s">
        <v>5689</v>
      </c>
      <c r="M605" s="8" t="s">
        <v>3195</v>
      </c>
      <c r="N605" s="4" t="s">
        <v>1890</v>
      </c>
      <c r="O605" s="8" t="s">
        <v>1935</v>
      </c>
      <c r="P605" s="1" t="s">
        <v>3568</v>
      </c>
      <c r="Q605" s="4" t="s">
        <v>5521</v>
      </c>
      <c r="R605" s="10">
        <v>9600</v>
      </c>
      <c r="S605" s="10">
        <v>60</v>
      </c>
      <c r="T605" s="10">
        <f t="shared" si="332"/>
        <v>576000</v>
      </c>
      <c r="U605" s="10">
        <f t="shared" si="329"/>
        <v>645120.00000000012</v>
      </c>
      <c r="V605" s="8"/>
      <c r="W605" s="11">
        <v>2015</v>
      </c>
      <c r="X605" s="20"/>
    </row>
    <row r="606" spans="1:24" s="194" customFormat="1" ht="114.75" customHeight="1" outlineLevel="1" x14ac:dyDescent="0.2">
      <c r="A606" s="1" t="s">
        <v>4546</v>
      </c>
      <c r="B606" s="24" t="s">
        <v>5277</v>
      </c>
      <c r="C606" s="4" t="s">
        <v>3892</v>
      </c>
      <c r="D606" s="4" t="s">
        <v>5815</v>
      </c>
      <c r="E606" s="4" t="s">
        <v>5932</v>
      </c>
      <c r="F606" s="4" t="s">
        <v>5933</v>
      </c>
      <c r="G606" s="4" t="s">
        <v>1888</v>
      </c>
      <c r="H606" s="22">
        <v>0.5</v>
      </c>
      <c r="I606" s="18">
        <v>710000000</v>
      </c>
      <c r="J606" s="4" t="s">
        <v>1931</v>
      </c>
      <c r="K606" s="4" t="s">
        <v>5282</v>
      </c>
      <c r="L606" s="7" t="s">
        <v>5668</v>
      </c>
      <c r="M606" s="8" t="s">
        <v>3195</v>
      </c>
      <c r="N606" s="4" t="s">
        <v>1890</v>
      </c>
      <c r="O606" s="8" t="s">
        <v>1935</v>
      </c>
      <c r="P606" s="4">
        <v>778</v>
      </c>
      <c r="Q606" s="4" t="s">
        <v>3327</v>
      </c>
      <c r="R606" s="26">
        <v>12996</v>
      </c>
      <c r="S606" s="26">
        <v>137</v>
      </c>
      <c r="T606" s="10">
        <f t="shared" si="332"/>
        <v>1780452</v>
      </c>
      <c r="U606" s="10">
        <f t="shared" si="329"/>
        <v>1994106.2400000002</v>
      </c>
      <c r="V606" s="11"/>
      <c r="W606" s="11">
        <v>2015</v>
      </c>
      <c r="X606" s="68"/>
    </row>
    <row r="607" spans="1:24" ht="76.5" customHeight="1" outlineLevel="1" x14ac:dyDescent="0.2">
      <c r="A607" s="1" t="s">
        <v>4547</v>
      </c>
      <c r="B607" s="16" t="s">
        <v>5277</v>
      </c>
      <c r="C607" s="7" t="s">
        <v>3062</v>
      </c>
      <c r="D607" s="7" t="s">
        <v>5363</v>
      </c>
      <c r="E607" s="18" t="s">
        <v>5364</v>
      </c>
      <c r="F607" s="25" t="s">
        <v>3618</v>
      </c>
      <c r="G607" s="1" t="s">
        <v>1888</v>
      </c>
      <c r="H607" s="17">
        <v>0</v>
      </c>
      <c r="I607" s="18">
        <v>710000000</v>
      </c>
      <c r="J607" s="4" t="s">
        <v>1931</v>
      </c>
      <c r="K607" s="4" t="s">
        <v>5297</v>
      </c>
      <c r="L607" s="7" t="s">
        <v>1940</v>
      </c>
      <c r="M607" s="8" t="s">
        <v>3195</v>
      </c>
      <c r="N607" s="8" t="s">
        <v>1890</v>
      </c>
      <c r="O607" s="8" t="s">
        <v>1935</v>
      </c>
      <c r="P607" s="8">
        <v>796</v>
      </c>
      <c r="Q607" s="8" t="s">
        <v>3196</v>
      </c>
      <c r="R607" s="10">
        <v>12</v>
      </c>
      <c r="S607" s="10">
        <v>9234</v>
      </c>
      <c r="T607" s="10">
        <f t="shared" si="332"/>
        <v>110808</v>
      </c>
      <c r="U607" s="10">
        <f t="shared" si="329"/>
        <v>124104.96000000001</v>
      </c>
      <c r="V607" s="8"/>
      <c r="W607" s="11">
        <v>2015</v>
      </c>
      <c r="X607" s="20"/>
    </row>
    <row r="608" spans="1:24" ht="76.5" customHeight="1" outlineLevel="1" x14ac:dyDescent="0.2">
      <c r="A608" s="1" t="s">
        <v>4548</v>
      </c>
      <c r="B608" s="16" t="s">
        <v>5277</v>
      </c>
      <c r="C608" s="7" t="s">
        <v>3062</v>
      </c>
      <c r="D608" s="7" t="s">
        <v>5363</v>
      </c>
      <c r="E608" s="18" t="s">
        <v>5364</v>
      </c>
      <c r="F608" s="25" t="s">
        <v>1941</v>
      </c>
      <c r="G608" s="1" t="s">
        <v>1888</v>
      </c>
      <c r="H608" s="17">
        <v>0</v>
      </c>
      <c r="I608" s="18">
        <v>710000000</v>
      </c>
      <c r="J608" s="4" t="s">
        <v>1931</v>
      </c>
      <c r="K608" s="4" t="s">
        <v>5297</v>
      </c>
      <c r="L608" s="7" t="s">
        <v>1940</v>
      </c>
      <c r="M608" s="8" t="s">
        <v>3195</v>
      </c>
      <c r="N608" s="8" t="s">
        <v>1890</v>
      </c>
      <c r="O608" s="8" t="s">
        <v>1935</v>
      </c>
      <c r="P608" s="8">
        <v>796</v>
      </c>
      <c r="Q608" s="8" t="s">
        <v>3196</v>
      </c>
      <c r="R608" s="10">
        <v>50</v>
      </c>
      <c r="S608" s="10">
        <v>10551</v>
      </c>
      <c r="T608" s="10">
        <f t="shared" si="332"/>
        <v>527550</v>
      </c>
      <c r="U608" s="10">
        <f t="shared" si="329"/>
        <v>590856</v>
      </c>
      <c r="V608" s="8"/>
      <c r="W608" s="11">
        <v>2015</v>
      </c>
      <c r="X608" s="20"/>
    </row>
    <row r="609" spans="1:24" ht="76.5" customHeight="1" outlineLevel="1" x14ac:dyDescent="0.2">
      <c r="A609" s="1" t="s">
        <v>4549</v>
      </c>
      <c r="B609" s="16" t="s">
        <v>5277</v>
      </c>
      <c r="C609" s="7" t="s">
        <v>3062</v>
      </c>
      <c r="D609" s="7" t="s">
        <v>5363</v>
      </c>
      <c r="E609" s="18" t="s">
        <v>5364</v>
      </c>
      <c r="F609" s="25" t="s">
        <v>1942</v>
      </c>
      <c r="G609" s="1" t="s">
        <v>1888</v>
      </c>
      <c r="H609" s="17">
        <v>0</v>
      </c>
      <c r="I609" s="18">
        <v>710000000</v>
      </c>
      <c r="J609" s="4" t="s">
        <v>1931</v>
      </c>
      <c r="K609" s="4" t="s">
        <v>5297</v>
      </c>
      <c r="L609" s="7" t="s">
        <v>1940</v>
      </c>
      <c r="M609" s="8" t="s">
        <v>3195</v>
      </c>
      <c r="N609" s="8" t="s">
        <v>1890</v>
      </c>
      <c r="O609" s="8" t="s">
        <v>1935</v>
      </c>
      <c r="P609" s="8">
        <v>796</v>
      </c>
      <c r="Q609" s="8" t="s">
        <v>3196</v>
      </c>
      <c r="R609" s="10">
        <v>80</v>
      </c>
      <c r="S609" s="10">
        <v>5263</v>
      </c>
      <c r="T609" s="10">
        <f t="shared" si="332"/>
        <v>421040</v>
      </c>
      <c r="U609" s="10">
        <f t="shared" si="329"/>
        <v>471564.80000000005</v>
      </c>
      <c r="V609" s="8"/>
      <c r="W609" s="11">
        <v>2015</v>
      </c>
      <c r="X609" s="20"/>
    </row>
    <row r="610" spans="1:24" ht="76.5" customHeight="1" outlineLevel="1" x14ac:dyDescent="0.2">
      <c r="A610" s="1" t="s">
        <v>4550</v>
      </c>
      <c r="B610" s="16" t="s">
        <v>5277</v>
      </c>
      <c r="C610" s="7" t="s">
        <v>3062</v>
      </c>
      <c r="D610" s="7" t="s">
        <v>5363</v>
      </c>
      <c r="E610" s="18" t="s">
        <v>5364</v>
      </c>
      <c r="F610" s="25" t="s">
        <v>3069</v>
      </c>
      <c r="G610" s="1" t="s">
        <v>1888</v>
      </c>
      <c r="H610" s="17">
        <v>0</v>
      </c>
      <c r="I610" s="18">
        <v>710000000</v>
      </c>
      <c r="J610" s="4" t="s">
        <v>1931</v>
      </c>
      <c r="K610" s="4" t="s">
        <v>5297</v>
      </c>
      <c r="L610" s="7" t="s">
        <v>1940</v>
      </c>
      <c r="M610" s="8" t="s">
        <v>3195</v>
      </c>
      <c r="N610" s="8" t="s">
        <v>1890</v>
      </c>
      <c r="O610" s="8" t="s">
        <v>1935</v>
      </c>
      <c r="P610" s="8">
        <v>796</v>
      </c>
      <c r="Q610" s="8" t="s">
        <v>3196</v>
      </c>
      <c r="R610" s="10">
        <v>10</v>
      </c>
      <c r="S610" s="10">
        <v>6098</v>
      </c>
      <c r="T610" s="10">
        <f t="shared" si="332"/>
        <v>60980</v>
      </c>
      <c r="U610" s="10">
        <f t="shared" si="329"/>
        <v>68297.600000000006</v>
      </c>
      <c r="V610" s="8"/>
      <c r="W610" s="11">
        <v>2015</v>
      </c>
      <c r="X610" s="20"/>
    </row>
    <row r="611" spans="1:24" ht="76.5" customHeight="1" outlineLevel="1" x14ac:dyDescent="0.2">
      <c r="A611" s="1" t="s">
        <v>4551</v>
      </c>
      <c r="B611" s="16" t="s">
        <v>5277</v>
      </c>
      <c r="C611" s="7" t="s">
        <v>3062</v>
      </c>
      <c r="D611" s="7" t="s">
        <v>5363</v>
      </c>
      <c r="E611" s="18" t="s">
        <v>5364</v>
      </c>
      <c r="F611" s="25" t="s">
        <v>1943</v>
      </c>
      <c r="G611" s="1" t="s">
        <v>1888</v>
      </c>
      <c r="H611" s="17">
        <v>0</v>
      </c>
      <c r="I611" s="18">
        <v>710000000</v>
      </c>
      <c r="J611" s="4" t="s">
        <v>1931</v>
      </c>
      <c r="K611" s="4" t="s">
        <v>5297</v>
      </c>
      <c r="L611" s="7" t="s">
        <v>1940</v>
      </c>
      <c r="M611" s="8" t="s">
        <v>3195</v>
      </c>
      <c r="N611" s="8" t="s">
        <v>1890</v>
      </c>
      <c r="O611" s="8" t="s">
        <v>1935</v>
      </c>
      <c r="P611" s="8">
        <v>796</v>
      </c>
      <c r="Q611" s="8" t="s">
        <v>3196</v>
      </c>
      <c r="R611" s="10">
        <v>40</v>
      </c>
      <c r="S611" s="10">
        <v>8515</v>
      </c>
      <c r="T611" s="10">
        <f t="shared" si="332"/>
        <v>340600</v>
      </c>
      <c r="U611" s="10">
        <f t="shared" si="329"/>
        <v>381472.00000000006</v>
      </c>
      <c r="V611" s="8"/>
      <c r="W611" s="11">
        <v>2015</v>
      </c>
      <c r="X611" s="20"/>
    </row>
    <row r="612" spans="1:24" s="58" customFormat="1" ht="76.5" customHeight="1" outlineLevel="1" x14ac:dyDescent="0.2">
      <c r="A612" s="1" t="s">
        <v>4552</v>
      </c>
      <c r="B612" s="16" t="s">
        <v>5277</v>
      </c>
      <c r="C612" s="16" t="s">
        <v>3062</v>
      </c>
      <c r="D612" s="16" t="s">
        <v>5363</v>
      </c>
      <c r="E612" s="16" t="s">
        <v>5364</v>
      </c>
      <c r="F612" s="16" t="s">
        <v>1944</v>
      </c>
      <c r="G612" s="1" t="s">
        <v>1888</v>
      </c>
      <c r="H612" s="17">
        <v>0</v>
      </c>
      <c r="I612" s="16">
        <v>710000000</v>
      </c>
      <c r="J612" s="16" t="s">
        <v>1931</v>
      </c>
      <c r="K612" s="4" t="s">
        <v>5297</v>
      </c>
      <c r="L612" s="16" t="s">
        <v>1940</v>
      </c>
      <c r="M612" s="8" t="s">
        <v>3195</v>
      </c>
      <c r="N612" s="8" t="s">
        <v>1890</v>
      </c>
      <c r="O612" s="16" t="s">
        <v>1935</v>
      </c>
      <c r="P612" s="8">
        <v>796</v>
      </c>
      <c r="Q612" s="8" t="s">
        <v>3196</v>
      </c>
      <c r="R612" s="10">
        <v>30</v>
      </c>
      <c r="S612" s="10">
        <v>3358</v>
      </c>
      <c r="T612" s="10">
        <f t="shared" si="332"/>
        <v>100740</v>
      </c>
      <c r="U612" s="10">
        <f t="shared" si="329"/>
        <v>112828.80000000002</v>
      </c>
      <c r="V612" s="16"/>
      <c r="W612" s="11">
        <v>2015</v>
      </c>
      <c r="X612" s="16"/>
    </row>
    <row r="613" spans="1:24" s="58" customFormat="1" ht="76.5" customHeight="1" outlineLevel="1" x14ac:dyDescent="0.2">
      <c r="A613" s="1" t="s">
        <v>4553</v>
      </c>
      <c r="B613" s="16" t="s">
        <v>5277</v>
      </c>
      <c r="C613" s="16" t="s">
        <v>3062</v>
      </c>
      <c r="D613" s="16" t="s">
        <v>5363</v>
      </c>
      <c r="E613" s="16" t="s">
        <v>5364</v>
      </c>
      <c r="F613" s="16" t="s">
        <v>3064</v>
      </c>
      <c r="G613" s="1" t="s">
        <v>1888</v>
      </c>
      <c r="H613" s="17">
        <v>0</v>
      </c>
      <c r="I613" s="16">
        <v>710000000</v>
      </c>
      <c r="J613" s="16" t="s">
        <v>1931</v>
      </c>
      <c r="K613" s="4" t="s">
        <v>5297</v>
      </c>
      <c r="L613" s="16" t="s">
        <v>1940</v>
      </c>
      <c r="M613" s="8" t="s">
        <v>3195</v>
      </c>
      <c r="N613" s="8" t="s">
        <v>1890</v>
      </c>
      <c r="O613" s="16" t="s">
        <v>1935</v>
      </c>
      <c r="P613" s="8">
        <v>796</v>
      </c>
      <c r="Q613" s="8" t="s">
        <v>3196</v>
      </c>
      <c r="R613" s="10">
        <v>8</v>
      </c>
      <c r="S613" s="10">
        <v>13720</v>
      </c>
      <c r="T613" s="10">
        <f t="shared" si="332"/>
        <v>109760</v>
      </c>
      <c r="U613" s="10">
        <f t="shared" si="329"/>
        <v>122931.20000000001</v>
      </c>
      <c r="V613" s="16"/>
      <c r="W613" s="11">
        <v>2015</v>
      </c>
      <c r="X613" s="16"/>
    </row>
    <row r="614" spans="1:24" s="58" customFormat="1" ht="76.5" customHeight="1" outlineLevel="1" x14ac:dyDescent="0.2">
      <c r="A614" s="1" t="s">
        <v>4554</v>
      </c>
      <c r="B614" s="16" t="s">
        <v>5277</v>
      </c>
      <c r="C614" s="16" t="s">
        <v>4118</v>
      </c>
      <c r="D614" s="16" t="s">
        <v>5363</v>
      </c>
      <c r="E614" s="16" t="s">
        <v>5365</v>
      </c>
      <c r="F614" s="16" t="s">
        <v>3622</v>
      </c>
      <c r="G614" s="1" t="s">
        <v>1888</v>
      </c>
      <c r="H614" s="17">
        <v>0</v>
      </c>
      <c r="I614" s="16">
        <v>710000000</v>
      </c>
      <c r="J614" s="16" t="s">
        <v>1931</v>
      </c>
      <c r="K614" s="4" t="s">
        <v>5297</v>
      </c>
      <c r="L614" s="16" t="s">
        <v>1940</v>
      </c>
      <c r="M614" s="8" t="s">
        <v>3195</v>
      </c>
      <c r="N614" s="8" t="s">
        <v>1890</v>
      </c>
      <c r="O614" s="16" t="s">
        <v>1935</v>
      </c>
      <c r="P614" s="8">
        <v>796</v>
      </c>
      <c r="Q614" s="8" t="s">
        <v>3196</v>
      </c>
      <c r="R614" s="10">
        <v>2</v>
      </c>
      <c r="S614" s="10">
        <v>37837</v>
      </c>
      <c r="T614" s="10">
        <f t="shared" si="332"/>
        <v>75674</v>
      </c>
      <c r="U614" s="10">
        <f t="shared" si="329"/>
        <v>84754.880000000005</v>
      </c>
      <c r="V614" s="16"/>
      <c r="W614" s="11">
        <v>2015</v>
      </c>
      <c r="X614" s="16"/>
    </row>
    <row r="615" spans="1:24" s="58" customFormat="1" ht="76.5" customHeight="1" outlineLevel="1" x14ac:dyDescent="0.2">
      <c r="A615" s="1" t="s">
        <v>4555</v>
      </c>
      <c r="B615" s="16" t="s">
        <v>5277</v>
      </c>
      <c r="C615" s="16" t="s">
        <v>4118</v>
      </c>
      <c r="D615" s="16" t="s">
        <v>5363</v>
      </c>
      <c r="E615" s="16" t="s">
        <v>5365</v>
      </c>
      <c r="F615" s="16" t="s">
        <v>1945</v>
      </c>
      <c r="G615" s="1" t="s">
        <v>1888</v>
      </c>
      <c r="H615" s="17">
        <v>0</v>
      </c>
      <c r="I615" s="16">
        <v>710000000</v>
      </c>
      <c r="J615" s="16" t="s">
        <v>1931</v>
      </c>
      <c r="K615" s="4" t="s">
        <v>5297</v>
      </c>
      <c r="L615" s="16" t="s">
        <v>1940</v>
      </c>
      <c r="M615" s="8" t="s">
        <v>3195</v>
      </c>
      <c r="N615" s="8" t="s">
        <v>1890</v>
      </c>
      <c r="O615" s="16" t="s">
        <v>1935</v>
      </c>
      <c r="P615" s="8">
        <v>796</v>
      </c>
      <c r="Q615" s="8" t="s">
        <v>3196</v>
      </c>
      <c r="R615" s="10">
        <v>10</v>
      </c>
      <c r="S615" s="10">
        <v>24986</v>
      </c>
      <c r="T615" s="10">
        <f t="shared" si="332"/>
        <v>249860</v>
      </c>
      <c r="U615" s="10">
        <f t="shared" si="329"/>
        <v>279843.20000000001</v>
      </c>
      <c r="V615" s="16"/>
      <c r="W615" s="11">
        <v>2015</v>
      </c>
      <c r="X615" s="16"/>
    </row>
    <row r="616" spans="1:24" s="58" customFormat="1" ht="76.5" customHeight="1" outlineLevel="1" x14ac:dyDescent="0.2">
      <c r="A616" s="1" t="s">
        <v>4556</v>
      </c>
      <c r="B616" s="16" t="s">
        <v>5277</v>
      </c>
      <c r="C616" s="16" t="s">
        <v>3067</v>
      </c>
      <c r="D616" s="16" t="s">
        <v>5363</v>
      </c>
      <c r="E616" s="16" t="s">
        <v>5366</v>
      </c>
      <c r="F616" s="16" t="s">
        <v>1946</v>
      </c>
      <c r="G616" s="1" t="s">
        <v>1888</v>
      </c>
      <c r="H616" s="17">
        <v>0</v>
      </c>
      <c r="I616" s="16">
        <v>710000000</v>
      </c>
      <c r="J616" s="16" t="s">
        <v>1931</v>
      </c>
      <c r="K616" s="4" t="s">
        <v>5297</v>
      </c>
      <c r="L616" s="16" t="s">
        <v>1940</v>
      </c>
      <c r="M616" s="8" t="s">
        <v>3195</v>
      </c>
      <c r="N616" s="8" t="s">
        <v>1890</v>
      </c>
      <c r="O616" s="16" t="s">
        <v>1935</v>
      </c>
      <c r="P616" s="8">
        <v>796</v>
      </c>
      <c r="Q616" s="8" t="s">
        <v>3196</v>
      </c>
      <c r="R616" s="10">
        <v>2</v>
      </c>
      <c r="S616" s="10">
        <v>3103</v>
      </c>
      <c r="T616" s="10">
        <f t="shared" si="332"/>
        <v>6206</v>
      </c>
      <c r="U616" s="10">
        <f t="shared" si="329"/>
        <v>6950.72</v>
      </c>
      <c r="V616" s="16"/>
      <c r="W616" s="11">
        <v>2015</v>
      </c>
      <c r="X616" s="16"/>
    </row>
    <row r="617" spans="1:24" s="58" customFormat="1" ht="76.5" customHeight="1" outlineLevel="1" x14ac:dyDescent="0.2">
      <c r="A617" s="1" t="s">
        <v>4557</v>
      </c>
      <c r="B617" s="16" t="s">
        <v>5277</v>
      </c>
      <c r="C617" s="16" t="s">
        <v>3067</v>
      </c>
      <c r="D617" s="16" t="s">
        <v>5363</v>
      </c>
      <c r="E617" s="16" t="s">
        <v>5366</v>
      </c>
      <c r="F617" s="16" t="s">
        <v>1947</v>
      </c>
      <c r="G617" s="1" t="s">
        <v>1888</v>
      </c>
      <c r="H617" s="17">
        <v>0</v>
      </c>
      <c r="I617" s="16">
        <v>710000000</v>
      </c>
      <c r="J617" s="16" t="s">
        <v>1931</v>
      </c>
      <c r="K617" s="4" t="s">
        <v>5297</v>
      </c>
      <c r="L617" s="16" t="s">
        <v>1940</v>
      </c>
      <c r="M617" s="8" t="s">
        <v>3195</v>
      </c>
      <c r="N617" s="8" t="s">
        <v>1890</v>
      </c>
      <c r="O617" s="16" t="s">
        <v>1935</v>
      </c>
      <c r="P617" s="8">
        <v>796</v>
      </c>
      <c r="Q617" s="8" t="s">
        <v>3196</v>
      </c>
      <c r="R617" s="10">
        <v>2</v>
      </c>
      <c r="S617" s="10">
        <v>2232</v>
      </c>
      <c r="T617" s="10">
        <f t="shared" si="332"/>
        <v>4464</v>
      </c>
      <c r="U617" s="10">
        <f t="shared" si="329"/>
        <v>4999.68</v>
      </c>
      <c r="V617" s="16"/>
      <c r="W617" s="11">
        <v>2015</v>
      </c>
      <c r="X617" s="16"/>
    </row>
    <row r="618" spans="1:24" s="58" customFormat="1" ht="76.5" customHeight="1" outlineLevel="1" x14ac:dyDescent="0.2">
      <c r="A618" s="1" t="s">
        <v>4558</v>
      </c>
      <c r="B618" s="16" t="s">
        <v>5277</v>
      </c>
      <c r="C618" s="16" t="s">
        <v>1948</v>
      </c>
      <c r="D618" s="16" t="s">
        <v>5363</v>
      </c>
      <c r="E618" s="16" t="s">
        <v>1949</v>
      </c>
      <c r="F618" s="16" t="s">
        <v>3066</v>
      </c>
      <c r="G618" s="1" t="s">
        <v>1888</v>
      </c>
      <c r="H618" s="17">
        <v>0</v>
      </c>
      <c r="I618" s="16">
        <v>710000000</v>
      </c>
      <c r="J618" s="16" t="s">
        <v>1931</v>
      </c>
      <c r="K618" s="4" t="s">
        <v>5297</v>
      </c>
      <c r="L618" s="16" t="s">
        <v>1940</v>
      </c>
      <c r="M618" s="8" t="s">
        <v>3195</v>
      </c>
      <c r="N618" s="8" t="s">
        <v>1890</v>
      </c>
      <c r="O618" s="16" t="s">
        <v>1935</v>
      </c>
      <c r="P618" s="8">
        <v>796</v>
      </c>
      <c r="Q618" s="8" t="s">
        <v>3196</v>
      </c>
      <c r="R618" s="10">
        <v>8</v>
      </c>
      <c r="S618" s="10">
        <v>5804</v>
      </c>
      <c r="T618" s="10">
        <f t="shared" si="332"/>
        <v>46432</v>
      </c>
      <c r="U618" s="10">
        <f t="shared" si="329"/>
        <v>52003.840000000004</v>
      </c>
      <c r="V618" s="16"/>
      <c r="W618" s="11">
        <v>2015</v>
      </c>
      <c r="X618" s="16"/>
    </row>
    <row r="619" spans="1:24" s="58" customFormat="1" ht="76.5" customHeight="1" outlineLevel="1" x14ac:dyDescent="0.2">
      <c r="A619" s="1" t="s">
        <v>4559</v>
      </c>
      <c r="B619" s="16" t="s">
        <v>5277</v>
      </c>
      <c r="C619" s="16" t="s">
        <v>3068</v>
      </c>
      <c r="D619" s="16" t="s">
        <v>5367</v>
      </c>
      <c r="E619" s="16" t="s">
        <v>5368</v>
      </c>
      <c r="F619" s="16" t="s">
        <v>3618</v>
      </c>
      <c r="G619" s="1" t="s">
        <v>1888</v>
      </c>
      <c r="H619" s="17">
        <v>0</v>
      </c>
      <c r="I619" s="16">
        <v>710000000</v>
      </c>
      <c r="J619" s="16" t="s">
        <v>1931</v>
      </c>
      <c r="K619" s="4" t="s">
        <v>5297</v>
      </c>
      <c r="L619" s="16" t="s">
        <v>1940</v>
      </c>
      <c r="M619" s="8" t="s">
        <v>3195</v>
      </c>
      <c r="N619" s="8" t="s">
        <v>1890</v>
      </c>
      <c r="O619" s="16" t="s">
        <v>1935</v>
      </c>
      <c r="P619" s="8">
        <v>796</v>
      </c>
      <c r="Q619" s="8" t="s">
        <v>3196</v>
      </c>
      <c r="R619" s="10">
        <v>3</v>
      </c>
      <c r="S619" s="10">
        <v>9807</v>
      </c>
      <c r="T619" s="10">
        <f t="shared" si="332"/>
        <v>29421</v>
      </c>
      <c r="U619" s="10">
        <f t="shared" si="329"/>
        <v>32951.520000000004</v>
      </c>
      <c r="V619" s="16"/>
      <c r="W619" s="11">
        <v>2015</v>
      </c>
      <c r="X619" s="16"/>
    </row>
    <row r="620" spans="1:24" s="58" customFormat="1" ht="76.5" customHeight="1" outlineLevel="1" x14ac:dyDescent="0.2">
      <c r="A620" s="1" t="s">
        <v>4560</v>
      </c>
      <c r="B620" s="16" t="s">
        <v>5277</v>
      </c>
      <c r="C620" s="16" t="s">
        <v>3068</v>
      </c>
      <c r="D620" s="16" t="s">
        <v>5367</v>
      </c>
      <c r="E620" s="16" t="s">
        <v>5368</v>
      </c>
      <c r="F620" s="16" t="s">
        <v>1950</v>
      </c>
      <c r="G620" s="1" t="s">
        <v>1888</v>
      </c>
      <c r="H620" s="17">
        <v>0</v>
      </c>
      <c r="I620" s="16">
        <v>710000000</v>
      </c>
      <c r="J620" s="16" t="s">
        <v>1931</v>
      </c>
      <c r="K620" s="4" t="s">
        <v>5297</v>
      </c>
      <c r="L620" s="16" t="s">
        <v>1940</v>
      </c>
      <c r="M620" s="8" t="s">
        <v>3195</v>
      </c>
      <c r="N620" s="8" t="s">
        <v>1890</v>
      </c>
      <c r="O620" s="16" t="s">
        <v>1935</v>
      </c>
      <c r="P620" s="8">
        <v>796</v>
      </c>
      <c r="Q620" s="8" t="s">
        <v>3196</v>
      </c>
      <c r="R620" s="10">
        <v>17</v>
      </c>
      <c r="S620" s="10">
        <v>9807</v>
      </c>
      <c r="T620" s="10">
        <f t="shared" si="332"/>
        <v>166719</v>
      </c>
      <c r="U620" s="10">
        <f t="shared" si="329"/>
        <v>186725.28000000003</v>
      </c>
      <c r="V620" s="16"/>
      <c r="W620" s="11">
        <v>2015</v>
      </c>
      <c r="X620" s="16"/>
    </row>
    <row r="621" spans="1:24" s="58" customFormat="1" ht="76.5" customHeight="1" outlineLevel="1" x14ac:dyDescent="0.2">
      <c r="A621" s="1" t="s">
        <v>4561</v>
      </c>
      <c r="B621" s="16" t="s">
        <v>5277</v>
      </c>
      <c r="C621" s="16" t="s">
        <v>3068</v>
      </c>
      <c r="D621" s="16" t="s">
        <v>5367</v>
      </c>
      <c r="E621" s="16" t="s">
        <v>5368</v>
      </c>
      <c r="F621" s="16" t="s">
        <v>1942</v>
      </c>
      <c r="G621" s="1" t="s">
        <v>1888</v>
      </c>
      <c r="H621" s="17">
        <v>0</v>
      </c>
      <c r="I621" s="16">
        <v>710000000</v>
      </c>
      <c r="J621" s="16" t="s">
        <v>1931</v>
      </c>
      <c r="K621" s="4" t="s">
        <v>5297</v>
      </c>
      <c r="L621" s="16" t="s">
        <v>1940</v>
      </c>
      <c r="M621" s="8" t="s">
        <v>3195</v>
      </c>
      <c r="N621" s="8" t="s">
        <v>1890</v>
      </c>
      <c r="O621" s="16" t="s">
        <v>1935</v>
      </c>
      <c r="P621" s="8">
        <v>796</v>
      </c>
      <c r="Q621" s="8" t="s">
        <v>3196</v>
      </c>
      <c r="R621" s="10">
        <v>25</v>
      </c>
      <c r="S621" s="10">
        <v>11870</v>
      </c>
      <c r="T621" s="10">
        <f t="shared" si="332"/>
        <v>296750</v>
      </c>
      <c r="U621" s="10">
        <f t="shared" si="329"/>
        <v>332360.00000000006</v>
      </c>
      <c r="V621" s="16"/>
      <c r="W621" s="11">
        <v>2015</v>
      </c>
      <c r="X621" s="16"/>
    </row>
    <row r="622" spans="1:24" s="58" customFormat="1" ht="76.5" customHeight="1" outlineLevel="1" x14ac:dyDescent="0.2">
      <c r="A622" s="1" t="s">
        <v>4562</v>
      </c>
      <c r="B622" s="16" t="s">
        <v>5277</v>
      </c>
      <c r="C622" s="16" t="s">
        <v>3068</v>
      </c>
      <c r="D622" s="16" t="s">
        <v>5367</v>
      </c>
      <c r="E622" s="16" t="s">
        <v>5368</v>
      </c>
      <c r="F622" s="16" t="s">
        <v>3069</v>
      </c>
      <c r="G622" s="1" t="s">
        <v>1888</v>
      </c>
      <c r="H622" s="17">
        <v>0</v>
      </c>
      <c r="I622" s="16">
        <v>710000000</v>
      </c>
      <c r="J622" s="16" t="s">
        <v>1931</v>
      </c>
      <c r="K622" s="4" t="s">
        <v>5297</v>
      </c>
      <c r="L622" s="16" t="s">
        <v>1940</v>
      </c>
      <c r="M622" s="8" t="s">
        <v>3195</v>
      </c>
      <c r="N622" s="8" t="s">
        <v>1890</v>
      </c>
      <c r="O622" s="16" t="s">
        <v>1935</v>
      </c>
      <c r="P622" s="8">
        <v>796</v>
      </c>
      <c r="Q622" s="8" t="s">
        <v>3196</v>
      </c>
      <c r="R622" s="10">
        <v>5</v>
      </c>
      <c r="S622" s="10">
        <v>12500</v>
      </c>
      <c r="T622" s="10">
        <f t="shared" si="332"/>
        <v>62500</v>
      </c>
      <c r="U622" s="10">
        <f t="shared" si="329"/>
        <v>70000</v>
      </c>
      <c r="V622" s="16"/>
      <c r="W622" s="11">
        <v>2015</v>
      </c>
      <c r="X622" s="16"/>
    </row>
    <row r="623" spans="1:24" s="58" customFormat="1" ht="76.5" customHeight="1" outlineLevel="1" x14ac:dyDescent="0.2">
      <c r="A623" s="1" t="s">
        <v>4563</v>
      </c>
      <c r="B623" s="16" t="s">
        <v>5277</v>
      </c>
      <c r="C623" s="16" t="s">
        <v>3068</v>
      </c>
      <c r="D623" s="16" t="s">
        <v>5367</v>
      </c>
      <c r="E623" s="16" t="s">
        <v>5368</v>
      </c>
      <c r="F623" s="16" t="s">
        <v>1951</v>
      </c>
      <c r="G623" s="1" t="s">
        <v>1888</v>
      </c>
      <c r="H623" s="17">
        <v>0</v>
      </c>
      <c r="I623" s="16">
        <v>710000000</v>
      </c>
      <c r="J623" s="16" t="s">
        <v>1931</v>
      </c>
      <c r="K623" s="4" t="s">
        <v>5297</v>
      </c>
      <c r="L623" s="16" t="s">
        <v>1940</v>
      </c>
      <c r="M623" s="8" t="s">
        <v>3195</v>
      </c>
      <c r="N623" s="8" t="s">
        <v>1890</v>
      </c>
      <c r="O623" s="16" t="s">
        <v>1935</v>
      </c>
      <c r="P623" s="8">
        <v>796</v>
      </c>
      <c r="Q623" s="8" t="s">
        <v>3196</v>
      </c>
      <c r="R623" s="10">
        <v>10</v>
      </c>
      <c r="S623" s="10">
        <v>6863</v>
      </c>
      <c r="T623" s="10">
        <f t="shared" si="332"/>
        <v>68630</v>
      </c>
      <c r="U623" s="10">
        <f t="shared" si="329"/>
        <v>76865.600000000006</v>
      </c>
      <c r="V623" s="16"/>
      <c r="W623" s="11">
        <v>2015</v>
      </c>
      <c r="X623" s="16"/>
    </row>
    <row r="624" spans="1:24" s="58" customFormat="1" ht="76.5" customHeight="1" outlineLevel="1" x14ac:dyDescent="0.2">
      <c r="A624" s="1" t="s">
        <v>4564</v>
      </c>
      <c r="B624" s="16" t="s">
        <v>5277</v>
      </c>
      <c r="C624" s="16" t="s">
        <v>3068</v>
      </c>
      <c r="D624" s="16" t="s">
        <v>5367</v>
      </c>
      <c r="E624" s="16" t="s">
        <v>5368</v>
      </c>
      <c r="F624" s="16" t="s">
        <v>1944</v>
      </c>
      <c r="G624" s="1" t="s">
        <v>1888</v>
      </c>
      <c r="H624" s="17">
        <v>0</v>
      </c>
      <c r="I624" s="16">
        <v>710000000</v>
      </c>
      <c r="J624" s="16" t="s">
        <v>1931</v>
      </c>
      <c r="K624" s="4" t="s">
        <v>5297</v>
      </c>
      <c r="L624" s="16" t="s">
        <v>1940</v>
      </c>
      <c r="M624" s="8" t="s">
        <v>3195</v>
      </c>
      <c r="N624" s="8" t="s">
        <v>1890</v>
      </c>
      <c r="O624" s="16" t="s">
        <v>1935</v>
      </c>
      <c r="P624" s="8">
        <v>796</v>
      </c>
      <c r="Q624" s="8" t="s">
        <v>3196</v>
      </c>
      <c r="R624" s="10">
        <v>10</v>
      </c>
      <c r="S624" s="10">
        <v>7258</v>
      </c>
      <c r="T624" s="10">
        <f t="shared" si="332"/>
        <v>72580</v>
      </c>
      <c r="U624" s="10">
        <f t="shared" si="329"/>
        <v>81289.600000000006</v>
      </c>
      <c r="V624" s="16"/>
      <c r="W624" s="11">
        <v>2015</v>
      </c>
      <c r="X624" s="16"/>
    </row>
    <row r="625" spans="1:24" s="58" customFormat="1" ht="76.5" customHeight="1" outlineLevel="1" x14ac:dyDescent="0.2">
      <c r="A625" s="1" t="s">
        <v>4565</v>
      </c>
      <c r="B625" s="16" t="s">
        <v>5277</v>
      </c>
      <c r="C625" s="16" t="s">
        <v>2761</v>
      </c>
      <c r="D625" s="16" t="s">
        <v>1952</v>
      </c>
      <c r="E625" s="16" t="s">
        <v>1953</v>
      </c>
      <c r="F625" s="16" t="s">
        <v>3065</v>
      </c>
      <c r="G625" s="1" t="s">
        <v>1888</v>
      </c>
      <c r="H625" s="17">
        <v>0</v>
      </c>
      <c r="I625" s="16">
        <v>710000000</v>
      </c>
      <c r="J625" s="16" t="s">
        <v>1931</v>
      </c>
      <c r="K625" s="4" t="s">
        <v>5297</v>
      </c>
      <c r="L625" s="16" t="s">
        <v>1940</v>
      </c>
      <c r="M625" s="8" t="s">
        <v>3195</v>
      </c>
      <c r="N625" s="8" t="s">
        <v>1890</v>
      </c>
      <c r="O625" s="16" t="s">
        <v>1935</v>
      </c>
      <c r="P625" s="8">
        <v>796</v>
      </c>
      <c r="Q625" s="8" t="s">
        <v>3196</v>
      </c>
      <c r="R625" s="10">
        <v>10</v>
      </c>
      <c r="S625" s="10">
        <v>4427</v>
      </c>
      <c r="T625" s="10">
        <f t="shared" si="332"/>
        <v>44270</v>
      </c>
      <c r="U625" s="10">
        <f t="shared" si="329"/>
        <v>49582.400000000001</v>
      </c>
      <c r="V625" s="16"/>
      <c r="W625" s="11">
        <v>2015</v>
      </c>
      <c r="X625" s="16"/>
    </row>
    <row r="626" spans="1:24" s="58" customFormat="1" ht="76.5" customHeight="1" outlineLevel="1" x14ac:dyDescent="0.2">
      <c r="A626" s="1" t="s">
        <v>4566</v>
      </c>
      <c r="B626" s="16" t="s">
        <v>5277</v>
      </c>
      <c r="C626" s="16" t="s">
        <v>2761</v>
      </c>
      <c r="D626" s="16" t="s">
        <v>1952</v>
      </c>
      <c r="E626" s="16" t="s">
        <v>1953</v>
      </c>
      <c r="F626" s="16" t="s">
        <v>3622</v>
      </c>
      <c r="G626" s="1" t="s">
        <v>1888</v>
      </c>
      <c r="H626" s="17">
        <v>0</v>
      </c>
      <c r="I626" s="16">
        <v>710000000</v>
      </c>
      <c r="J626" s="16" t="s">
        <v>1931</v>
      </c>
      <c r="K626" s="4" t="s">
        <v>5297</v>
      </c>
      <c r="L626" s="16" t="s">
        <v>1940</v>
      </c>
      <c r="M626" s="8" t="s">
        <v>3195</v>
      </c>
      <c r="N626" s="8" t="s">
        <v>1890</v>
      </c>
      <c r="O626" s="16" t="s">
        <v>1935</v>
      </c>
      <c r="P626" s="8">
        <v>796</v>
      </c>
      <c r="Q626" s="8" t="s">
        <v>3196</v>
      </c>
      <c r="R626" s="10">
        <v>6</v>
      </c>
      <c r="S626" s="10">
        <v>3571</v>
      </c>
      <c r="T626" s="10">
        <f t="shared" si="332"/>
        <v>21426</v>
      </c>
      <c r="U626" s="10">
        <f t="shared" si="329"/>
        <v>23997.120000000003</v>
      </c>
      <c r="V626" s="16"/>
      <c r="W626" s="11">
        <v>2015</v>
      </c>
      <c r="X626" s="16"/>
    </row>
    <row r="627" spans="1:24" s="58" customFormat="1" ht="76.5" customHeight="1" outlineLevel="1" x14ac:dyDescent="0.2">
      <c r="A627" s="1" t="s">
        <v>4567</v>
      </c>
      <c r="B627" s="16" t="s">
        <v>5277</v>
      </c>
      <c r="C627" s="16" t="s">
        <v>3257</v>
      </c>
      <c r="D627" s="16" t="s">
        <v>5367</v>
      </c>
      <c r="E627" s="16" t="s">
        <v>5369</v>
      </c>
      <c r="F627" s="16" t="s">
        <v>1947</v>
      </c>
      <c r="G627" s="1" t="s">
        <v>1888</v>
      </c>
      <c r="H627" s="17">
        <v>0</v>
      </c>
      <c r="I627" s="16">
        <v>710000000</v>
      </c>
      <c r="J627" s="16" t="s">
        <v>1931</v>
      </c>
      <c r="K627" s="4" t="s">
        <v>5297</v>
      </c>
      <c r="L627" s="16" t="s">
        <v>1940</v>
      </c>
      <c r="M627" s="8" t="s">
        <v>3195</v>
      </c>
      <c r="N627" s="8" t="s">
        <v>1890</v>
      </c>
      <c r="O627" s="16" t="s">
        <v>1935</v>
      </c>
      <c r="P627" s="8">
        <v>796</v>
      </c>
      <c r="Q627" s="8" t="s">
        <v>3196</v>
      </c>
      <c r="R627" s="10">
        <v>4</v>
      </c>
      <c r="S627" s="10">
        <v>625</v>
      </c>
      <c r="T627" s="10">
        <f t="shared" si="332"/>
        <v>2500</v>
      </c>
      <c r="U627" s="10">
        <f t="shared" si="329"/>
        <v>2800.0000000000005</v>
      </c>
      <c r="V627" s="16"/>
      <c r="W627" s="11">
        <v>2015</v>
      </c>
      <c r="X627" s="16"/>
    </row>
    <row r="628" spans="1:24" s="58" customFormat="1" ht="76.5" customHeight="1" outlineLevel="1" x14ac:dyDescent="0.2">
      <c r="A628" s="1" t="s">
        <v>4568</v>
      </c>
      <c r="B628" s="16" t="s">
        <v>5277</v>
      </c>
      <c r="C628" s="16" t="s">
        <v>3257</v>
      </c>
      <c r="D628" s="16" t="s">
        <v>5367</v>
      </c>
      <c r="E628" s="16" t="s">
        <v>5369</v>
      </c>
      <c r="F628" s="16" t="s">
        <v>1954</v>
      </c>
      <c r="G628" s="1" t="s">
        <v>1888</v>
      </c>
      <c r="H628" s="17">
        <v>0</v>
      </c>
      <c r="I628" s="16">
        <v>710000000</v>
      </c>
      <c r="J628" s="16" t="s">
        <v>1931</v>
      </c>
      <c r="K628" s="4" t="s">
        <v>5297</v>
      </c>
      <c r="L628" s="16" t="s">
        <v>1940</v>
      </c>
      <c r="M628" s="8" t="s">
        <v>3195</v>
      </c>
      <c r="N628" s="8" t="s">
        <v>1890</v>
      </c>
      <c r="O628" s="16" t="s">
        <v>1935</v>
      </c>
      <c r="P628" s="8">
        <v>796</v>
      </c>
      <c r="Q628" s="8" t="s">
        <v>3196</v>
      </c>
      <c r="R628" s="10">
        <v>12</v>
      </c>
      <c r="S628" s="10">
        <v>625</v>
      </c>
      <c r="T628" s="10">
        <f t="shared" si="332"/>
        <v>7500</v>
      </c>
      <c r="U628" s="10">
        <f t="shared" si="329"/>
        <v>8400</v>
      </c>
      <c r="V628" s="16"/>
      <c r="W628" s="11">
        <v>2015</v>
      </c>
      <c r="X628" s="16"/>
    </row>
    <row r="629" spans="1:24" s="58" customFormat="1" ht="76.5" customHeight="1" outlineLevel="1" x14ac:dyDescent="0.2">
      <c r="A629" s="1" t="s">
        <v>4569</v>
      </c>
      <c r="B629" s="16" t="s">
        <v>5277</v>
      </c>
      <c r="C629" s="16" t="s">
        <v>2773</v>
      </c>
      <c r="D629" s="16" t="s">
        <v>1952</v>
      </c>
      <c r="E629" s="16" t="s">
        <v>1955</v>
      </c>
      <c r="F629" s="16" t="s">
        <v>3066</v>
      </c>
      <c r="G629" s="1" t="s">
        <v>1888</v>
      </c>
      <c r="H629" s="63">
        <v>0</v>
      </c>
      <c r="I629" s="16">
        <v>710000000</v>
      </c>
      <c r="J629" s="16" t="s">
        <v>1931</v>
      </c>
      <c r="K629" s="4" t="s">
        <v>5297</v>
      </c>
      <c r="L629" s="16" t="s">
        <v>1940</v>
      </c>
      <c r="M629" s="8" t="s">
        <v>3195</v>
      </c>
      <c r="N629" s="8" t="s">
        <v>1890</v>
      </c>
      <c r="O629" s="16" t="s">
        <v>1935</v>
      </c>
      <c r="P629" s="8">
        <v>796</v>
      </c>
      <c r="Q629" s="8" t="s">
        <v>3196</v>
      </c>
      <c r="R629" s="10">
        <v>10</v>
      </c>
      <c r="S629" s="10">
        <v>8929</v>
      </c>
      <c r="T629" s="10">
        <f t="shared" si="332"/>
        <v>89290</v>
      </c>
      <c r="U629" s="10">
        <f t="shared" si="329"/>
        <v>100004.8</v>
      </c>
      <c r="V629" s="16"/>
      <c r="W629" s="11">
        <v>2015</v>
      </c>
      <c r="X629" s="16"/>
    </row>
    <row r="630" spans="1:24" s="58" customFormat="1" ht="76.5" customHeight="1" outlineLevel="1" x14ac:dyDescent="0.2">
      <c r="A630" s="1" t="s">
        <v>4570</v>
      </c>
      <c r="B630" s="16" t="s">
        <v>5277</v>
      </c>
      <c r="C630" s="16" t="s">
        <v>2773</v>
      </c>
      <c r="D630" s="16" t="s">
        <v>1952</v>
      </c>
      <c r="E630" s="16" t="s">
        <v>1955</v>
      </c>
      <c r="F630" s="16" t="s">
        <v>2772</v>
      </c>
      <c r="G630" s="1" t="s">
        <v>1888</v>
      </c>
      <c r="H630" s="63">
        <v>0</v>
      </c>
      <c r="I630" s="16">
        <v>710000000</v>
      </c>
      <c r="J630" s="16" t="s">
        <v>1931</v>
      </c>
      <c r="K630" s="4" t="s">
        <v>5297</v>
      </c>
      <c r="L630" s="16" t="s">
        <v>1940</v>
      </c>
      <c r="M630" s="8" t="s">
        <v>3195</v>
      </c>
      <c r="N630" s="8" t="s">
        <v>1890</v>
      </c>
      <c r="O630" s="16" t="s">
        <v>1935</v>
      </c>
      <c r="P630" s="8">
        <v>796</v>
      </c>
      <c r="Q630" s="8" t="s">
        <v>3196</v>
      </c>
      <c r="R630" s="10">
        <v>6</v>
      </c>
      <c r="S630" s="10">
        <v>625</v>
      </c>
      <c r="T630" s="10">
        <f t="shared" si="332"/>
        <v>3750</v>
      </c>
      <c r="U630" s="10">
        <f t="shared" si="329"/>
        <v>4200</v>
      </c>
      <c r="V630" s="16"/>
      <c r="W630" s="11">
        <v>2015</v>
      </c>
      <c r="X630" s="16"/>
    </row>
    <row r="631" spans="1:24" s="58" customFormat="1" ht="76.5" customHeight="1" outlineLevel="1" x14ac:dyDescent="0.2">
      <c r="A631" s="1" t="s">
        <v>4571</v>
      </c>
      <c r="B631" s="16" t="s">
        <v>5277</v>
      </c>
      <c r="C631" s="16" t="s">
        <v>2773</v>
      </c>
      <c r="D631" s="16" t="s">
        <v>1952</v>
      </c>
      <c r="E631" s="16" t="s">
        <v>1955</v>
      </c>
      <c r="F631" s="16" t="s">
        <v>1956</v>
      </c>
      <c r="G631" s="1" t="s">
        <v>1888</v>
      </c>
      <c r="H631" s="63">
        <v>0</v>
      </c>
      <c r="I631" s="16">
        <v>710000000</v>
      </c>
      <c r="J631" s="16" t="s">
        <v>1931</v>
      </c>
      <c r="K631" s="4" t="s">
        <v>5297</v>
      </c>
      <c r="L631" s="16" t="s">
        <v>1940</v>
      </c>
      <c r="M631" s="8" t="s">
        <v>3195</v>
      </c>
      <c r="N631" s="8" t="s">
        <v>1890</v>
      </c>
      <c r="O631" s="16" t="s">
        <v>1935</v>
      </c>
      <c r="P631" s="8">
        <v>796</v>
      </c>
      <c r="Q631" s="8" t="s">
        <v>3196</v>
      </c>
      <c r="R631" s="10">
        <v>6</v>
      </c>
      <c r="S631" s="10">
        <v>625</v>
      </c>
      <c r="T631" s="10">
        <f t="shared" si="332"/>
        <v>3750</v>
      </c>
      <c r="U631" s="10">
        <f t="shared" si="329"/>
        <v>4200</v>
      </c>
      <c r="V631" s="16"/>
      <c r="W631" s="11">
        <v>2015</v>
      </c>
      <c r="X631" s="16"/>
    </row>
    <row r="632" spans="1:24" s="58" customFormat="1" ht="76.5" customHeight="1" outlineLevel="1" x14ac:dyDescent="0.2">
      <c r="A632" s="1" t="s">
        <v>4572</v>
      </c>
      <c r="B632" s="16" t="s">
        <v>5277</v>
      </c>
      <c r="C632" s="16" t="s">
        <v>2761</v>
      </c>
      <c r="D632" s="16" t="s">
        <v>1952</v>
      </c>
      <c r="E632" s="16" t="s">
        <v>1953</v>
      </c>
      <c r="F632" s="16" t="s">
        <v>1957</v>
      </c>
      <c r="G632" s="1" t="s">
        <v>1888</v>
      </c>
      <c r="H632" s="17">
        <v>0</v>
      </c>
      <c r="I632" s="16">
        <v>710000000</v>
      </c>
      <c r="J632" s="16" t="s">
        <v>1931</v>
      </c>
      <c r="K632" s="4" t="s">
        <v>5297</v>
      </c>
      <c r="L632" s="16" t="s">
        <v>1940</v>
      </c>
      <c r="M632" s="8" t="s">
        <v>3195</v>
      </c>
      <c r="N632" s="8" t="s">
        <v>1890</v>
      </c>
      <c r="O632" s="16" t="s">
        <v>1935</v>
      </c>
      <c r="P632" s="8">
        <v>796</v>
      </c>
      <c r="Q632" s="8" t="s">
        <v>3196</v>
      </c>
      <c r="R632" s="10">
        <v>8</v>
      </c>
      <c r="S632" s="10">
        <v>16071</v>
      </c>
      <c r="T632" s="10">
        <f t="shared" si="332"/>
        <v>128568</v>
      </c>
      <c r="U632" s="10">
        <f t="shared" si="329"/>
        <v>143996.16</v>
      </c>
      <c r="V632" s="16"/>
      <c r="W632" s="11">
        <v>2015</v>
      </c>
      <c r="X632" s="16"/>
    </row>
    <row r="633" spans="1:24" ht="76.5" customHeight="1" outlineLevel="1" x14ac:dyDescent="0.2">
      <c r="A633" s="1" t="s">
        <v>4573</v>
      </c>
      <c r="B633" s="16" t="s">
        <v>5277</v>
      </c>
      <c r="C633" s="7" t="s">
        <v>1958</v>
      </c>
      <c r="D633" s="7" t="s">
        <v>1959</v>
      </c>
      <c r="E633" s="25" t="s">
        <v>1960</v>
      </c>
      <c r="F633" s="25" t="s">
        <v>5371</v>
      </c>
      <c r="G633" s="1" t="s">
        <v>1888</v>
      </c>
      <c r="H633" s="17">
        <v>0</v>
      </c>
      <c r="I633" s="18">
        <v>710000000</v>
      </c>
      <c r="J633" s="4" t="s">
        <v>1931</v>
      </c>
      <c r="K633" s="4" t="s">
        <v>5297</v>
      </c>
      <c r="L633" s="7" t="s">
        <v>1940</v>
      </c>
      <c r="M633" s="8" t="s">
        <v>3195</v>
      </c>
      <c r="N633" s="8" t="s">
        <v>1890</v>
      </c>
      <c r="O633" s="8" t="s">
        <v>1935</v>
      </c>
      <c r="P633" s="8">
        <v>796</v>
      </c>
      <c r="Q633" s="8" t="s">
        <v>3196</v>
      </c>
      <c r="R633" s="10">
        <v>9</v>
      </c>
      <c r="S633" s="10">
        <v>9479</v>
      </c>
      <c r="T633" s="10">
        <f t="shared" si="332"/>
        <v>85311</v>
      </c>
      <c r="U633" s="10">
        <f t="shared" si="329"/>
        <v>95548.32</v>
      </c>
      <c r="V633" s="8"/>
      <c r="W633" s="11">
        <v>2015</v>
      </c>
      <c r="X633" s="20"/>
    </row>
    <row r="634" spans="1:24" ht="76.5" customHeight="1" outlineLevel="1" x14ac:dyDescent="0.2">
      <c r="A634" s="1" t="s">
        <v>4574</v>
      </c>
      <c r="B634" s="10" t="s">
        <v>5277</v>
      </c>
      <c r="C634" s="7" t="s">
        <v>1958</v>
      </c>
      <c r="D634" s="7" t="s">
        <v>1959</v>
      </c>
      <c r="E634" s="25" t="s">
        <v>1960</v>
      </c>
      <c r="F634" s="25" t="s">
        <v>1961</v>
      </c>
      <c r="G634" s="1" t="s">
        <v>1888</v>
      </c>
      <c r="H634" s="17">
        <v>0</v>
      </c>
      <c r="I634" s="18">
        <v>710000000</v>
      </c>
      <c r="J634" s="4" t="s">
        <v>1931</v>
      </c>
      <c r="K634" s="4" t="s">
        <v>5297</v>
      </c>
      <c r="L634" s="7" t="s">
        <v>1940</v>
      </c>
      <c r="M634" s="8" t="s">
        <v>3195</v>
      </c>
      <c r="N634" s="8" t="s">
        <v>1890</v>
      </c>
      <c r="O634" s="8" t="s">
        <v>1935</v>
      </c>
      <c r="P634" s="8">
        <v>796</v>
      </c>
      <c r="Q634" s="8" t="s">
        <v>3196</v>
      </c>
      <c r="R634" s="10">
        <v>30</v>
      </c>
      <c r="S634" s="10">
        <v>9479</v>
      </c>
      <c r="T634" s="10">
        <f t="shared" si="332"/>
        <v>284370</v>
      </c>
      <c r="U634" s="10">
        <f t="shared" si="329"/>
        <v>318494.40000000002</v>
      </c>
      <c r="V634" s="8"/>
      <c r="W634" s="11">
        <v>2015</v>
      </c>
      <c r="X634" s="20"/>
    </row>
    <row r="635" spans="1:24" s="114" customFormat="1" ht="76.5" customHeight="1" outlineLevel="1" x14ac:dyDescent="0.2">
      <c r="A635" s="1" t="s">
        <v>4575</v>
      </c>
      <c r="B635" s="10" t="s">
        <v>5277</v>
      </c>
      <c r="C635" s="10" t="s">
        <v>1958</v>
      </c>
      <c r="D635" s="10" t="s">
        <v>1959</v>
      </c>
      <c r="E635" s="10" t="s">
        <v>1960</v>
      </c>
      <c r="F635" s="10" t="s">
        <v>1962</v>
      </c>
      <c r="G635" s="1" t="s">
        <v>1888</v>
      </c>
      <c r="H635" s="17">
        <v>0</v>
      </c>
      <c r="I635" s="18">
        <v>710000000</v>
      </c>
      <c r="J635" s="10" t="s">
        <v>1931</v>
      </c>
      <c r="K635" s="4" t="s">
        <v>5297</v>
      </c>
      <c r="L635" s="10" t="s">
        <v>1940</v>
      </c>
      <c r="M635" s="8" t="s">
        <v>3195</v>
      </c>
      <c r="N635" s="8" t="s">
        <v>1890</v>
      </c>
      <c r="O635" s="10" t="s">
        <v>1935</v>
      </c>
      <c r="P635" s="8">
        <v>796</v>
      </c>
      <c r="Q635" s="8" t="s">
        <v>3196</v>
      </c>
      <c r="R635" s="10">
        <v>50</v>
      </c>
      <c r="S635" s="10">
        <v>9479</v>
      </c>
      <c r="T635" s="10">
        <f t="shared" si="332"/>
        <v>473950</v>
      </c>
      <c r="U635" s="10">
        <f t="shared" si="329"/>
        <v>530824</v>
      </c>
      <c r="V635" s="10"/>
      <c r="W635" s="11">
        <v>2015</v>
      </c>
      <c r="X635" s="10"/>
    </row>
    <row r="636" spans="1:24" ht="76.5" customHeight="1" outlineLevel="1" x14ac:dyDescent="0.2">
      <c r="A636" s="1" t="s">
        <v>4576</v>
      </c>
      <c r="B636" s="16" t="s">
        <v>5277</v>
      </c>
      <c r="C636" s="7" t="s">
        <v>1958</v>
      </c>
      <c r="D636" s="7" t="s">
        <v>1959</v>
      </c>
      <c r="E636" s="25" t="s">
        <v>1960</v>
      </c>
      <c r="F636" s="25" t="s">
        <v>1963</v>
      </c>
      <c r="G636" s="1" t="s">
        <v>1888</v>
      </c>
      <c r="H636" s="17">
        <v>0</v>
      </c>
      <c r="I636" s="18">
        <v>710000000</v>
      </c>
      <c r="J636" s="4" t="s">
        <v>1931</v>
      </c>
      <c r="K636" s="4" t="s">
        <v>5297</v>
      </c>
      <c r="L636" s="7" t="s">
        <v>1940</v>
      </c>
      <c r="M636" s="8" t="s">
        <v>3195</v>
      </c>
      <c r="N636" s="8" t="s">
        <v>1890</v>
      </c>
      <c r="O636" s="8" t="s">
        <v>1935</v>
      </c>
      <c r="P636" s="8">
        <v>796</v>
      </c>
      <c r="Q636" s="8" t="s">
        <v>3196</v>
      </c>
      <c r="R636" s="10">
        <v>20</v>
      </c>
      <c r="S636" s="10">
        <v>6876</v>
      </c>
      <c r="T636" s="10">
        <f t="shared" si="332"/>
        <v>137520</v>
      </c>
      <c r="U636" s="10">
        <f t="shared" si="329"/>
        <v>154022.40000000002</v>
      </c>
      <c r="V636" s="8"/>
      <c r="W636" s="11">
        <v>2015</v>
      </c>
      <c r="X636" s="20"/>
    </row>
    <row r="637" spans="1:24" s="58" customFormat="1" ht="76.5" customHeight="1" outlineLevel="1" x14ac:dyDescent="0.2">
      <c r="A637" s="1" t="s">
        <v>4577</v>
      </c>
      <c r="B637" s="16" t="s">
        <v>5277</v>
      </c>
      <c r="C637" s="16" t="s">
        <v>1958</v>
      </c>
      <c r="D637" s="16" t="s">
        <v>1959</v>
      </c>
      <c r="E637" s="16" t="s">
        <v>1960</v>
      </c>
      <c r="F637" s="16" t="s">
        <v>5372</v>
      </c>
      <c r="G637" s="1" t="s">
        <v>1888</v>
      </c>
      <c r="H637" s="17">
        <v>0</v>
      </c>
      <c r="I637" s="18">
        <v>710000000</v>
      </c>
      <c r="J637" s="16" t="s">
        <v>1931</v>
      </c>
      <c r="K637" s="4" t="s">
        <v>5297</v>
      </c>
      <c r="L637" s="16" t="s">
        <v>1940</v>
      </c>
      <c r="M637" s="8" t="s">
        <v>3195</v>
      </c>
      <c r="N637" s="8" t="s">
        <v>1890</v>
      </c>
      <c r="O637" s="16" t="s">
        <v>1935</v>
      </c>
      <c r="P637" s="8">
        <v>796</v>
      </c>
      <c r="Q637" s="8" t="s">
        <v>3196</v>
      </c>
      <c r="R637" s="10">
        <v>10</v>
      </c>
      <c r="S637" s="10">
        <v>12500</v>
      </c>
      <c r="T637" s="10">
        <f t="shared" si="332"/>
        <v>125000</v>
      </c>
      <c r="U637" s="10">
        <f t="shared" si="329"/>
        <v>140000</v>
      </c>
      <c r="V637" s="16"/>
      <c r="W637" s="11">
        <v>2015</v>
      </c>
      <c r="X637" s="16"/>
    </row>
    <row r="638" spans="1:24" s="58" customFormat="1" ht="76.5" customHeight="1" outlineLevel="1" x14ac:dyDescent="0.2">
      <c r="A638" s="1" t="s">
        <v>4578</v>
      </c>
      <c r="B638" s="16" t="s">
        <v>5277</v>
      </c>
      <c r="C638" s="16" t="s">
        <v>1964</v>
      </c>
      <c r="D638" s="16" t="s">
        <v>1965</v>
      </c>
      <c r="E638" s="16" t="s">
        <v>1966</v>
      </c>
      <c r="F638" s="16" t="s">
        <v>3065</v>
      </c>
      <c r="G638" s="1" t="s">
        <v>1888</v>
      </c>
      <c r="H638" s="17">
        <v>0</v>
      </c>
      <c r="I638" s="18">
        <v>710000000</v>
      </c>
      <c r="J638" s="16" t="s">
        <v>1931</v>
      </c>
      <c r="K638" s="4" t="s">
        <v>5297</v>
      </c>
      <c r="L638" s="16" t="s">
        <v>1940</v>
      </c>
      <c r="M638" s="8" t="s">
        <v>3195</v>
      </c>
      <c r="N638" s="8" t="s">
        <v>1890</v>
      </c>
      <c r="O638" s="16" t="s">
        <v>1935</v>
      </c>
      <c r="P638" s="8">
        <v>796</v>
      </c>
      <c r="Q638" s="8" t="s">
        <v>3196</v>
      </c>
      <c r="R638" s="10">
        <v>10</v>
      </c>
      <c r="S638" s="10">
        <v>4911</v>
      </c>
      <c r="T638" s="10">
        <f t="shared" si="332"/>
        <v>49110</v>
      </c>
      <c r="U638" s="10">
        <f t="shared" si="329"/>
        <v>55003.200000000004</v>
      </c>
      <c r="V638" s="16"/>
      <c r="W638" s="11">
        <v>2015</v>
      </c>
      <c r="X638" s="16"/>
    </row>
    <row r="639" spans="1:24" ht="76.5" customHeight="1" outlineLevel="1" x14ac:dyDescent="0.2">
      <c r="A639" s="1" t="s">
        <v>4579</v>
      </c>
      <c r="B639" s="16" t="s">
        <v>5277</v>
      </c>
      <c r="C639" s="16" t="s">
        <v>1964</v>
      </c>
      <c r="D639" s="16" t="s">
        <v>1965</v>
      </c>
      <c r="E639" s="16" t="s">
        <v>1966</v>
      </c>
      <c r="F639" s="16" t="s">
        <v>3309</v>
      </c>
      <c r="G639" s="1" t="s">
        <v>1888</v>
      </c>
      <c r="H639" s="17">
        <v>0</v>
      </c>
      <c r="I639" s="18">
        <v>710000000</v>
      </c>
      <c r="J639" s="10" t="s">
        <v>1931</v>
      </c>
      <c r="K639" s="4" t="s">
        <v>5297</v>
      </c>
      <c r="L639" s="10" t="s">
        <v>1940</v>
      </c>
      <c r="M639" s="8" t="s">
        <v>3195</v>
      </c>
      <c r="N639" s="8" t="s">
        <v>1890</v>
      </c>
      <c r="O639" s="10" t="s">
        <v>1935</v>
      </c>
      <c r="P639" s="8">
        <v>796</v>
      </c>
      <c r="Q639" s="8" t="s">
        <v>3196</v>
      </c>
      <c r="R639" s="10">
        <v>2</v>
      </c>
      <c r="S639" s="10">
        <v>4911</v>
      </c>
      <c r="T639" s="10">
        <f t="shared" si="332"/>
        <v>9822</v>
      </c>
      <c r="U639" s="10">
        <f t="shared" si="329"/>
        <v>11000.640000000001</v>
      </c>
      <c r="V639" s="10"/>
      <c r="W639" s="11">
        <v>2015</v>
      </c>
      <c r="X639" s="10"/>
    </row>
    <row r="640" spans="1:24" ht="76.5" customHeight="1" outlineLevel="1" x14ac:dyDescent="0.2">
      <c r="A640" s="1" t="s">
        <v>4580</v>
      </c>
      <c r="B640" s="124" t="s">
        <v>5277</v>
      </c>
      <c r="C640" s="16" t="s">
        <v>1967</v>
      </c>
      <c r="D640" s="16" t="s">
        <v>1968</v>
      </c>
      <c r="E640" s="16" t="s">
        <v>1969</v>
      </c>
      <c r="F640" s="148" t="s">
        <v>1947</v>
      </c>
      <c r="G640" s="1" t="s">
        <v>1888</v>
      </c>
      <c r="H640" s="195">
        <v>0</v>
      </c>
      <c r="I640" s="196">
        <v>710000000</v>
      </c>
      <c r="J640" s="83" t="s">
        <v>1931</v>
      </c>
      <c r="K640" s="4" t="s">
        <v>5297</v>
      </c>
      <c r="L640" s="197" t="s">
        <v>1940</v>
      </c>
      <c r="M640" s="8" t="s">
        <v>3195</v>
      </c>
      <c r="N640" s="8" t="s">
        <v>1890</v>
      </c>
      <c r="O640" s="198" t="s">
        <v>1935</v>
      </c>
      <c r="P640" s="8">
        <v>796</v>
      </c>
      <c r="Q640" s="8" t="s">
        <v>3196</v>
      </c>
      <c r="R640" s="199">
        <v>3</v>
      </c>
      <c r="S640" s="199">
        <v>1786</v>
      </c>
      <c r="T640" s="10">
        <f t="shared" si="332"/>
        <v>5358</v>
      </c>
      <c r="U640" s="10">
        <f t="shared" si="329"/>
        <v>6000.9600000000009</v>
      </c>
      <c r="V640" s="198"/>
      <c r="W640" s="11">
        <v>2015</v>
      </c>
      <c r="X640" s="200"/>
    </row>
    <row r="641" spans="1:24" ht="76.5" customHeight="1" outlineLevel="1" x14ac:dyDescent="0.2">
      <c r="A641" s="1" t="s">
        <v>4581</v>
      </c>
      <c r="B641" s="124" t="s">
        <v>5277</v>
      </c>
      <c r="C641" s="16" t="s">
        <v>1967</v>
      </c>
      <c r="D641" s="16" t="s">
        <v>1968</v>
      </c>
      <c r="E641" s="16" t="s">
        <v>1969</v>
      </c>
      <c r="F641" s="148" t="s">
        <v>1970</v>
      </c>
      <c r="G641" s="1" t="s">
        <v>1888</v>
      </c>
      <c r="H641" s="195">
        <v>0</v>
      </c>
      <c r="I641" s="196">
        <v>710000000</v>
      </c>
      <c r="J641" s="83" t="s">
        <v>1931</v>
      </c>
      <c r="K641" s="4" t="s">
        <v>5297</v>
      </c>
      <c r="L641" s="197" t="s">
        <v>1940</v>
      </c>
      <c r="M641" s="8" t="s">
        <v>3195</v>
      </c>
      <c r="N641" s="8" t="s">
        <v>1890</v>
      </c>
      <c r="O641" s="198" t="s">
        <v>1935</v>
      </c>
      <c r="P641" s="8">
        <v>796</v>
      </c>
      <c r="Q641" s="8" t="s">
        <v>3196</v>
      </c>
      <c r="R641" s="199">
        <v>4</v>
      </c>
      <c r="S641" s="199">
        <v>6672</v>
      </c>
      <c r="T641" s="10">
        <f t="shared" si="332"/>
        <v>26688</v>
      </c>
      <c r="U641" s="10">
        <f t="shared" si="329"/>
        <v>29890.560000000001</v>
      </c>
      <c r="V641" s="198"/>
      <c r="W641" s="11">
        <v>2015</v>
      </c>
      <c r="X641" s="200"/>
    </row>
    <row r="642" spans="1:24" ht="76.5" customHeight="1" outlineLevel="1" x14ac:dyDescent="0.2">
      <c r="A642" s="1" t="s">
        <v>4582</v>
      </c>
      <c r="B642" s="201" t="s">
        <v>5277</v>
      </c>
      <c r="C642" s="148" t="s">
        <v>1971</v>
      </c>
      <c r="D642" s="148" t="s">
        <v>5373</v>
      </c>
      <c r="E642" s="148" t="s">
        <v>5414</v>
      </c>
      <c r="F642" s="148" t="s">
        <v>1972</v>
      </c>
      <c r="G642" s="1" t="s">
        <v>1888</v>
      </c>
      <c r="H642" s="195">
        <v>0</v>
      </c>
      <c r="I642" s="196">
        <v>710000000</v>
      </c>
      <c r="J642" s="83" t="s">
        <v>1931</v>
      </c>
      <c r="K642" s="4" t="s">
        <v>5297</v>
      </c>
      <c r="L642" s="197" t="s">
        <v>1940</v>
      </c>
      <c r="M642" s="8" t="s">
        <v>3195</v>
      </c>
      <c r="N642" s="8" t="s">
        <v>1890</v>
      </c>
      <c r="O642" s="198" t="s">
        <v>1935</v>
      </c>
      <c r="P642" s="8">
        <v>796</v>
      </c>
      <c r="Q642" s="8" t="s">
        <v>3196</v>
      </c>
      <c r="R642" s="199">
        <v>10</v>
      </c>
      <c r="S642" s="199">
        <v>4911</v>
      </c>
      <c r="T642" s="10">
        <f t="shared" si="332"/>
        <v>49110</v>
      </c>
      <c r="U642" s="10">
        <f t="shared" si="329"/>
        <v>55003.200000000004</v>
      </c>
      <c r="V642" s="198"/>
      <c r="W642" s="11">
        <v>2015</v>
      </c>
      <c r="X642" s="200"/>
    </row>
    <row r="643" spans="1:24" ht="76.5" customHeight="1" outlineLevel="1" x14ac:dyDescent="0.2">
      <c r="A643" s="1" t="s">
        <v>4583</v>
      </c>
      <c r="B643" s="24" t="s">
        <v>5277</v>
      </c>
      <c r="C643" s="7" t="s">
        <v>3070</v>
      </c>
      <c r="D643" s="7" t="s">
        <v>5373</v>
      </c>
      <c r="E643" s="18" t="s">
        <v>5374</v>
      </c>
      <c r="F643" s="25" t="s">
        <v>3618</v>
      </c>
      <c r="G643" s="1" t="s">
        <v>1888</v>
      </c>
      <c r="H643" s="17">
        <v>0</v>
      </c>
      <c r="I643" s="18">
        <v>710000000</v>
      </c>
      <c r="J643" s="4" t="s">
        <v>1931</v>
      </c>
      <c r="K643" s="4" t="s">
        <v>5297</v>
      </c>
      <c r="L643" s="7" t="s">
        <v>1940</v>
      </c>
      <c r="M643" s="8" t="s">
        <v>3195</v>
      </c>
      <c r="N643" s="8" t="s">
        <v>1890</v>
      </c>
      <c r="O643" s="8" t="s">
        <v>1935</v>
      </c>
      <c r="P643" s="1">
        <v>839</v>
      </c>
      <c r="Q643" s="4" t="s">
        <v>5375</v>
      </c>
      <c r="R643" s="10">
        <v>15</v>
      </c>
      <c r="S643" s="10">
        <v>22851</v>
      </c>
      <c r="T643" s="10">
        <f t="shared" si="332"/>
        <v>342765</v>
      </c>
      <c r="U643" s="10">
        <f t="shared" si="329"/>
        <v>383896.80000000005</v>
      </c>
      <c r="V643" s="8"/>
      <c r="W643" s="11">
        <v>2015</v>
      </c>
      <c r="X643" s="20"/>
    </row>
    <row r="644" spans="1:24" ht="76.5" customHeight="1" outlineLevel="1" x14ac:dyDescent="0.2">
      <c r="A644" s="1" t="s">
        <v>4584</v>
      </c>
      <c r="B644" s="24" t="s">
        <v>5277</v>
      </c>
      <c r="C644" s="7" t="s">
        <v>3070</v>
      </c>
      <c r="D644" s="7" t="s">
        <v>5373</v>
      </c>
      <c r="E644" s="18" t="s">
        <v>5374</v>
      </c>
      <c r="F644" s="25" t="s">
        <v>1973</v>
      </c>
      <c r="G644" s="1" t="s">
        <v>1888</v>
      </c>
      <c r="H644" s="17">
        <v>0</v>
      </c>
      <c r="I644" s="18">
        <v>710000000</v>
      </c>
      <c r="J644" s="4" t="s">
        <v>1931</v>
      </c>
      <c r="K644" s="4" t="s">
        <v>5297</v>
      </c>
      <c r="L644" s="7" t="s">
        <v>1940</v>
      </c>
      <c r="M644" s="8" t="s">
        <v>3195</v>
      </c>
      <c r="N644" s="8" t="s">
        <v>1890</v>
      </c>
      <c r="O644" s="8" t="s">
        <v>1935</v>
      </c>
      <c r="P644" s="1">
        <v>839</v>
      </c>
      <c r="Q644" s="4" t="s">
        <v>5375</v>
      </c>
      <c r="R644" s="10">
        <v>50</v>
      </c>
      <c r="S644" s="10">
        <v>17463</v>
      </c>
      <c r="T644" s="10">
        <f t="shared" si="332"/>
        <v>873150</v>
      </c>
      <c r="U644" s="10">
        <f t="shared" si="329"/>
        <v>977928.00000000012</v>
      </c>
      <c r="V644" s="8"/>
      <c r="W644" s="11">
        <v>2015</v>
      </c>
      <c r="X644" s="20"/>
    </row>
    <row r="645" spans="1:24" ht="76.5" customHeight="1" outlineLevel="1" x14ac:dyDescent="0.2">
      <c r="A645" s="1" t="s">
        <v>4585</v>
      </c>
      <c r="B645" s="24" t="s">
        <v>5277</v>
      </c>
      <c r="C645" s="7" t="s">
        <v>3070</v>
      </c>
      <c r="D645" s="7" t="s">
        <v>5373</v>
      </c>
      <c r="E645" s="18" t="s">
        <v>5374</v>
      </c>
      <c r="F645" s="25" t="s">
        <v>1974</v>
      </c>
      <c r="G645" s="1" t="s">
        <v>1888</v>
      </c>
      <c r="H645" s="17">
        <v>0</v>
      </c>
      <c r="I645" s="18">
        <v>710000000</v>
      </c>
      <c r="J645" s="4" t="s">
        <v>1931</v>
      </c>
      <c r="K645" s="4" t="s">
        <v>5297</v>
      </c>
      <c r="L645" s="7" t="s">
        <v>1940</v>
      </c>
      <c r="M645" s="8" t="s">
        <v>3195</v>
      </c>
      <c r="N645" s="8" t="s">
        <v>1890</v>
      </c>
      <c r="O645" s="8" t="s">
        <v>1935</v>
      </c>
      <c r="P645" s="1">
        <v>839</v>
      </c>
      <c r="Q645" s="4" t="s">
        <v>5375</v>
      </c>
      <c r="R645" s="10">
        <v>34</v>
      </c>
      <c r="S645" s="10">
        <v>14589</v>
      </c>
      <c r="T645" s="10">
        <f t="shared" si="332"/>
        <v>496026</v>
      </c>
      <c r="U645" s="10">
        <f t="shared" si="329"/>
        <v>555549.12</v>
      </c>
      <c r="V645" s="8"/>
      <c r="W645" s="11">
        <v>2015</v>
      </c>
      <c r="X645" s="20"/>
    </row>
    <row r="646" spans="1:24" ht="76.5" customHeight="1" outlineLevel="1" x14ac:dyDescent="0.2">
      <c r="A646" s="1" t="s">
        <v>4586</v>
      </c>
      <c r="B646" s="24" t="s">
        <v>5277</v>
      </c>
      <c r="C646" s="7" t="s">
        <v>3070</v>
      </c>
      <c r="D646" s="7" t="s">
        <v>5373</v>
      </c>
      <c r="E646" s="18" t="s">
        <v>5374</v>
      </c>
      <c r="F646" s="25" t="s">
        <v>3063</v>
      </c>
      <c r="G646" s="1" t="s">
        <v>1888</v>
      </c>
      <c r="H646" s="17">
        <v>0</v>
      </c>
      <c r="I646" s="18">
        <v>710000000</v>
      </c>
      <c r="J646" s="4" t="s">
        <v>1931</v>
      </c>
      <c r="K646" s="4" t="s">
        <v>5297</v>
      </c>
      <c r="L646" s="7" t="s">
        <v>1940</v>
      </c>
      <c r="M646" s="8" t="s">
        <v>3195</v>
      </c>
      <c r="N646" s="8" t="s">
        <v>1890</v>
      </c>
      <c r="O646" s="8" t="s">
        <v>1935</v>
      </c>
      <c r="P646" s="1">
        <v>839</v>
      </c>
      <c r="Q646" s="4" t="s">
        <v>5375</v>
      </c>
      <c r="R646" s="10">
        <v>10</v>
      </c>
      <c r="S646" s="10">
        <v>16295</v>
      </c>
      <c r="T646" s="10">
        <f t="shared" si="332"/>
        <v>162950</v>
      </c>
      <c r="U646" s="10">
        <f t="shared" si="329"/>
        <v>182504.00000000003</v>
      </c>
      <c r="V646" s="8"/>
      <c r="W646" s="11">
        <v>2015</v>
      </c>
      <c r="X646" s="20"/>
    </row>
    <row r="647" spans="1:24" ht="76.5" customHeight="1" outlineLevel="1" x14ac:dyDescent="0.2">
      <c r="A647" s="1" t="s">
        <v>4587</v>
      </c>
      <c r="B647" s="24" t="s">
        <v>5277</v>
      </c>
      <c r="C647" s="7" t="s">
        <v>3070</v>
      </c>
      <c r="D647" s="7" t="s">
        <v>5373</v>
      </c>
      <c r="E647" s="18" t="s">
        <v>5374</v>
      </c>
      <c r="F647" s="25" t="s">
        <v>1975</v>
      </c>
      <c r="G647" s="1" t="s">
        <v>1888</v>
      </c>
      <c r="H647" s="17">
        <v>0</v>
      </c>
      <c r="I647" s="18">
        <v>710000000</v>
      </c>
      <c r="J647" s="4" t="s">
        <v>1931</v>
      </c>
      <c r="K647" s="4" t="s">
        <v>5297</v>
      </c>
      <c r="L647" s="7" t="s">
        <v>1940</v>
      </c>
      <c r="M647" s="8" t="s">
        <v>3195</v>
      </c>
      <c r="N647" s="8" t="s">
        <v>1890</v>
      </c>
      <c r="O647" s="8" t="s">
        <v>1935</v>
      </c>
      <c r="P647" s="1">
        <v>839</v>
      </c>
      <c r="Q647" s="4" t="s">
        <v>5375</v>
      </c>
      <c r="R647" s="10">
        <v>20</v>
      </c>
      <c r="S647" s="10">
        <v>18297</v>
      </c>
      <c r="T647" s="10">
        <f t="shared" si="332"/>
        <v>365940</v>
      </c>
      <c r="U647" s="10">
        <f t="shared" si="329"/>
        <v>409852.80000000005</v>
      </c>
      <c r="V647" s="8"/>
      <c r="W647" s="11">
        <v>2015</v>
      </c>
      <c r="X647" s="20"/>
    </row>
    <row r="648" spans="1:24" ht="76.5" customHeight="1" outlineLevel="1" x14ac:dyDescent="0.2">
      <c r="A648" s="1" t="s">
        <v>4588</v>
      </c>
      <c r="B648" s="24" t="s">
        <v>5277</v>
      </c>
      <c r="C648" s="7" t="s">
        <v>3070</v>
      </c>
      <c r="D648" s="7" t="s">
        <v>5373</v>
      </c>
      <c r="E648" s="18" t="s">
        <v>5374</v>
      </c>
      <c r="F648" s="25" t="s">
        <v>1944</v>
      </c>
      <c r="G648" s="1" t="s">
        <v>1888</v>
      </c>
      <c r="H648" s="17">
        <v>0</v>
      </c>
      <c r="I648" s="18">
        <v>710000000</v>
      </c>
      <c r="J648" s="4" t="s">
        <v>1931</v>
      </c>
      <c r="K648" s="4" t="s">
        <v>5297</v>
      </c>
      <c r="L648" s="7" t="s">
        <v>1940</v>
      </c>
      <c r="M648" s="8" t="s">
        <v>3195</v>
      </c>
      <c r="N648" s="8" t="s">
        <v>1890</v>
      </c>
      <c r="O648" s="8" t="s">
        <v>1935</v>
      </c>
      <c r="P648" s="1">
        <v>839</v>
      </c>
      <c r="Q648" s="4" t="s">
        <v>5375</v>
      </c>
      <c r="R648" s="10">
        <v>20</v>
      </c>
      <c r="S648" s="10">
        <v>16815</v>
      </c>
      <c r="T648" s="10">
        <f t="shared" si="332"/>
        <v>336300</v>
      </c>
      <c r="U648" s="10">
        <f t="shared" si="329"/>
        <v>376656.00000000006</v>
      </c>
      <c r="V648" s="8"/>
      <c r="W648" s="11">
        <v>2015</v>
      </c>
      <c r="X648" s="20"/>
    </row>
    <row r="649" spans="1:24" ht="76.5" customHeight="1" outlineLevel="1" x14ac:dyDescent="0.2">
      <c r="A649" s="1" t="s">
        <v>4589</v>
      </c>
      <c r="B649" s="24" t="s">
        <v>5277</v>
      </c>
      <c r="C649" s="7" t="s">
        <v>3070</v>
      </c>
      <c r="D649" s="7" t="s">
        <v>5373</v>
      </c>
      <c r="E649" s="18" t="s">
        <v>5374</v>
      </c>
      <c r="F649" s="25" t="s">
        <v>3071</v>
      </c>
      <c r="G649" s="1" t="s">
        <v>1888</v>
      </c>
      <c r="H649" s="17">
        <v>0</v>
      </c>
      <c r="I649" s="18">
        <v>710000000</v>
      </c>
      <c r="J649" s="4" t="s">
        <v>1931</v>
      </c>
      <c r="K649" s="4" t="s">
        <v>5297</v>
      </c>
      <c r="L649" s="7" t="s">
        <v>1940</v>
      </c>
      <c r="M649" s="8" t="s">
        <v>3195</v>
      </c>
      <c r="N649" s="8" t="s">
        <v>1890</v>
      </c>
      <c r="O649" s="8" t="s">
        <v>1935</v>
      </c>
      <c r="P649" s="1">
        <v>839</v>
      </c>
      <c r="Q649" s="4" t="s">
        <v>5375</v>
      </c>
      <c r="R649" s="10">
        <v>4</v>
      </c>
      <c r="S649" s="10">
        <v>27969</v>
      </c>
      <c r="T649" s="10">
        <f t="shared" si="332"/>
        <v>111876</v>
      </c>
      <c r="U649" s="10">
        <f t="shared" si="329"/>
        <v>125301.12000000001</v>
      </c>
      <c r="V649" s="8"/>
      <c r="W649" s="11">
        <v>2015</v>
      </c>
      <c r="X649" s="20"/>
    </row>
    <row r="650" spans="1:24" ht="76.5" customHeight="1" outlineLevel="1" x14ac:dyDescent="0.2">
      <c r="A650" s="1" t="s">
        <v>4590</v>
      </c>
      <c r="B650" s="24" t="s">
        <v>5277</v>
      </c>
      <c r="C650" s="7" t="s">
        <v>3070</v>
      </c>
      <c r="D650" s="7" t="s">
        <v>5373</v>
      </c>
      <c r="E650" s="18" t="s">
        <v>5374</v>
      </c>
      <c r="F650" s="25" t="s">
        <v>3065</v>
      </c>
      <c r="G650" s="1" t="s">
        <v>1888</v>
      </c>
      <c r="H650" s="17">
        <v>0</v>
      </c>
      <c r="I650" s="18">
        <v>710000000</v>
      </c>
      <c r="J650" s="4" t="s">
        <v>1931</v>
      </c>
      <c r="K650" s="4" t="s">
        <v>5297</v>
      </c>
      <c r="L650" s="7" t="s">
        <v>1940</v>
      </c>
      <c r="M650" s="8" t="s">
        <v>3195</v>
      </c>
      <c r="N650" s="8" t="s">
        <v>1890</v>
      </c>
      <c r="O650" s="8" t="s">
        <v>1935</v>
      </c>
      <c r="P650" s="1">
        <v>839</v>
      </c>
      <c r="Q650" s="4" t="s">
        <v>5375</v>
      </c>
      <c r="R650" s="10">
        <v>2</v>
      </c>
      <c r="S650" s="10">
        <v>68686</v>
      </c>
      <c r="T650" s="10">
        <f t="shared" si="332"/>
        <v>137372</v>
      </c>
      <c r="U650" s="10">
        <f t="shared" si="329"/>
        <v>153856.64000000001</v>
      </c>
      <c r="V650" s="8"/>
      <c r="W650" s="11">
        <v>2015</v>
      </c>
      <c r="X650" s="20"/>
    </row>
    <row r="651" spans="1:24" ht="76.5" customHeight="1" outlineLevel="1" x14ac:dyDescent="0.2">
      <c r="A651" s="1" t="s">
        <v>4591</v>
      </c>
      <c r="B651" s="24" t="s">
        <v>5277</v>
      </c>
      <c r="C651" s="7" t="s">
        <v>3072</v>
      </c>
      <c r="D651" s="7" t="s">
        <v>5373</v>
      </c>
      <c r="E651" s="18" t="s">
        <v>5376</v>
      </c>
      <c r="F651" s="25" t="s">
        <v>1976</v>
      </c>
      <c r="G651" s="1" t="s">
        <v>1888</v>
      </c>
      <c r="H651" s="17">
        <v>0</v>
      </c>
      <c r="I651" s="18">
        <v>710000000</v>
      </c>
      <c r="J651" s="4" t="s">
        <v>1931</v>
      </c>
      <c r="K651" s="4" t="s">
        <v>5297</v>
      </c>
      <c r="L651" s="7" t="s">
        <v>1940</v>
      </c>
      <c r="M651" s="8" t="s">
        <v>3195</v>
      </c>
      <c r="N651" s="8" t="s">
        <v>1890</v>
      </c>
      <c r="O651" s="8" t="s">
        <v>1935</v>
      </c>
      <c r="P651" s="1">
        <v>839</v>
      </c>
      <c r="Q651" s="4" t="s">
        <v>5375</v>
      </c>
      <c r="R651" s="10">
        <v>20</v>
      </c>
      <c r="S651" s="10">
        <v>15073</v>
      </c>
      <c r="T651" s="10">
        <f t="shared" si="332"/>
        <v>301460</v>
      </c>
      <c r="U651" s="10">
        <f t="shared" si="329"/>
        <v>337635.2</v>
      </c>
      <c r="V651" s="8"/>
      <c r="W651" s="11">
        <v>2015</v>
      </c>
      <c r="X651" s="20"/>
    </row>
    <row r="652" spans="1:24" ht="76.5" customHeight="1" outlineLevel="1" x14ac:dyDescent="0.2">
      <c r="A652" s="1" t="s">
        <v>4592</v>
      </c>
      <c r="B652" s="24" t="s">
        <v>5277</v>
      </c>
      <c r="C652" s="7" t="s">
        <v>3072</v>
      </c>
      <c r="D652" s="7" t="s">
        <v>5373</v>
      </c>
      <c r="E652" s="18" t="s">
        <v>5376</v>
      </c>
      <c r="F652" s="25" t="s">
        <v>3618</v>
      </c>
      <c r="G652" s="1" t="s">
        <v>1888</v>
      </c>
      <c r="H652" s="17">
        <v>0</v>
      </c>
      <c r="I652" s="18">
        <v>710000000</v>
      </c>
      <c r="J652" s="4" t="s">
        <v>1931</v>
      </c>
      <c r="K652" s="4" t="s">
        <v>5297</v>
      </c>
      <c r="L652" s="7" t="s">
        <v>1940</v>
      </c>
      <c r="M652" s="8" t="s">
        <v>3195</v>
      </c>
      <c r="N652" s="8" t="s">
        <v>1890</v>
      </c>
      <c r="O652" s="8" t="s">
        <v>1935</v>
      </c>
      <c r="P652" s="1">
        <v>839</v>
      </c>
      <c r="Q652" s="4" t="s">
        <v>5375</v>
      </c>
      <c r="R652" s="10">
        <v>6</v>
      </c>
      <c r="S652" s="10">
        <v>17152</v>
      </c>
      <c r="T652" s="10">
        <f t="shared" si="332"/>
        <v>102912</v>
      </c>
      <c r="U652" s="10">
        <f t="shared" si="329"/>
        <v>115261.44000000002</v>
      </c>
      <c r="V652" s="8"/>
      <c r="W652" s="11">
        <v>2015</v>
      </c>
      <c r="X652" s="20"/>
    </row>
    <row r="653" spans="1:24" ht="76.5" customHeight="1" outlineLevel="1" x14ac:dyDescent="0.2">
      <c r="A653" s="1" t="s">
        <v>4593</v>
      </c>
      <c r="B653" s="24" t="s">
        <v>5277</v>
      </c>
      <c r="C653" s="7" t="s">
        <v>3072</v>
      </c>
      <c r="D653" s="7" t="s">
        <v>5373</v>
      </c>
      <c r="E653" s="18" t="s">
        <v>5376</v>
      </c>
      <c r="F653" s="25" t="s">
        <v>1944</v>
      </c>
      <c r="G653" s="1" t="s">
        <v>1888</v>
      </c>
      <c r="H653" s="17">
        <v>0</v>
      </c>
      <c r="I653" s="18">
        <v>710000000</v>
      </c>
      <c r="J653" s="4" t="s">
        <v>1931</v>
      </c>
      <c r="K653" s="4" t="s">
        <v>5297</v>
      </c>
      <c r="L653" s="7" t="s">
        <v>1940</v>
      </c>
      <c r="M653" s="8" t="s">
        <v>3195</v>
      </c>
      <c r="N653" s="8" t="s">
        <v>1890</v>
      </c>
      <c r="O653" s="8" t="s">
        <v>1935</v>
      </c>
      <c r="P653" s="1">
        <v>839</v>
      </c>
      <c r="Q653" s="4" t="s">
        <v>5375</v>
      </c>
      <c r="R653" s="10">
        <v>20</v>
      </c>
      <c r="S653" s="10">
        <v>15179</v>
      </c>
      <c r="T653" s="10">
        <f t="shared" si="332"/>
        <v>303580</v>
      </c>
      <c r="U653" s="10">
        <f t="shared" si="329"/>
        <v>340009.60000000003</v>
      </c>
      <c r="V653" s="8"/>
      <c r="W653" s="11">
        <v>2015</v>
      </c>
      <c r="X653" s="20"/>
    </row>
    <row r="654" spans="1:24" ht="76.5" customHeight="1" outlineLevel="1" x14ac:dyDescent="0.2">
      <c r="A654" s="1" t="s">
        <v>4594</v>
      </c>
      <c r="B654" s="24" t="s">
        <v>5277</v>
      </c>
      <c r="C654" s="7" t="s">
        <v>3072</v>
      </c>
      <c r="D654" s="7" t="s">
        <v>5373</v>
      </c>
      <c r="E654" s="18" t="s">
        <v>5376</v>
      </c>
      <c r="F654" s="25" t="s">
        <v>1942</v>
      </c>
      <c r="G654" s="1" t="s">
        <v>1888</v>
      </c>
      <c r="H654" s="17">
        <v>0</v>
      </c>
      <c r="I654" s="18">
        <v>710000000</v>
      </c>
      <c r="J654" s="4" t="s">
        <v>1931</v>
      </c>
      <c r="K654" s="4" t="s">
        <v>5297</v>
      </c>
      <c r="L654" s="7" t="s">
        <v>1940</v>
      </c>
      <c r="M654" s="8" t="s">
        <v>3195</v>
      </c>
      <c r="N654" s="8" t="s">
        <v>1890</v>
      </c>
      <c r="O654" s="8" t="s">
        <v>1935</v>
      </c>
      <c r="P654" s="1">
        <v>839</v>
      </c>
      <c r="Q654" s="4" t="s">
        <v>5375</v>
      </c>
      <c r="R654" s="10">
        <v>30</v>
      </c>
      <c r="S654" s="10">
        <v>12572</v>
      </c>
      <c r="T654" s="10">
        <f t="shared" si="332"/>
        <v>377160</v>
      </c>
      <c r="U654" s="10">
        <f t="shared" si="329"/>
        <v>422419.20000000001</v>
      </c>
      <c r="V654" s="8"/>
      <c r="W654" s="11">
        <v>2015</v>
      </c>
      <c r="X654" s="20"/>
    </row>
    <row r="655" spans="1:24" ht="76.5" customHeight="1" outlineLevel="1" x14ac:dyDescent="0.2">
      <c r="A655" s="1" t="s">
        <v>4595</v>
      </c>
      <c r="B655" s="24" t="s">
        <v>5277</v>
      </c>
      <c r="C655" s="7" t="s">
        <v>3072</v>
      </c>
      <c r="D655" s="7" t="s">
        <v>5373</v>
      </c>
      <c r="E655" s="18" t="s">
        <v>5376</v>
      </c>
      <c r="F655" s="25" t="s">
        <v>3063</v>
      </c>
      <c r="G655" s="1" t="s">
        <v>1888</v>
      </c>
      <c r="H655" s="17">
        <v>0</v>
      </c>
      <c r="I655" s="18">
        <v>710000000</v>
      </c>
      <c r="J655" s="4" t="s">
        <v>1931</v>
      </c>
      <c r="K655" s="4" t="s">
        <v>5297</v>
      </c>
      <c r="L655" s="7" t="s">
        <v>1940</v>
      </c>
      <c r="M655" s="8" t="s">
        <v>3195</v>
      </c>
      <c r="N655" s="8" t="s">
        <v>1890</v>
      </c>
      <c r="O655" s="8" t="s">
        <v>1935</v>
      </c>
      <c r="P655" s="1">
        <v>839</v>
      </c>
      <c r="Q655" s="4" t="s">
        <v>5375</v>
      </c>
      <c r="R655" s="10">
        <v>8</v>
      </c>
      <c r="S655" s="10">
        <v>13393</v>
      </c>
      <c r="T655" s="10">
        <f t="shared" si="332"/>
        <v>107144</v>
      </c>
      <c r="U655" s="10">
        <f t="shared" si="329"/>
        <v>120001.28000000001</v>
      </c>
      <c r="V655" s="8"/>
      <c r="W655" s="11">
        <v>2015</v>
      </c>
      <c r="X655" s="20"/>
    </row>
    <row r="656" spans="1:24" ht="76.5" customHeight="1" outlineLevel="1" x14ac:dyDescent="0.2">
      <c r="A656" s="1" t="s">
        <v>4596</v>
      </c>
      <c r="B656" s="24" t="s">
        <v>5277</v>
      </c>
      <c r="C656" s="7" t="s">
        <v>3072</v>
      </c>
      <c r="D656" s="7" t="s">
        <v>5373</v>
      </c>
      <c r="E656" s="18" t="s">
        <v>5376</v>
      </c>
      <c r="F656" s="25" t="s">
        <v>1943</v>
      </c>
      <c r="G656" s="1" t="s">
        <v>1888</v>
      </c>
      <c r="H656" s="17">
        <v>0</v>
      </c>
      <c r="I656" s="18">
        <v>710000000</v>
      </c>
      <c r="J656" s="4" t="s">
        <v>1931</v>
      </c>
      <c r="K656" s="4" t="s">
        <v>5297</v>
      </c>
      <c r="L656" s="7" t="s">
        <v>1940</v>
      </c>
      <c r="M656" s="8" t="s">
        <v>3195</v>
      </c>
      <c r="N656" s="8" t="s">
        <v>1890</v>
      </c>
      <c r="O656" s="8" t="s">
        <v>1935</v>
      </c>
      <c r="P656" s="1">
        <v>839</v>
      </c>
      <c r="Q656" s="4" t="s">
        <v>5375</v>
      </c>
      <c r="R656" s="10">
        <v>7</v>
      </c>
      <c r="S656" s="10">
        <v>16213</v>
      </c>
      <c r="T656" s="10">
        <f t="shared" si="332"/>
        <v>113491</v>
      </c>
      <c r="U656" s="10">
        <f t="shared" si="329"/>
        <v>127109.92000000001</v>
      </c>
      <c r="V656" s="8"/>
      <c r="W656" s="11">
        <v>2015</v>
      </c>
      <c r="X656" s="20"/>
    </row>
    <row r="657" spans="1:24" ht="76.5" customHeight="1" outlineLevel="1" x14ac:dyDescent="0.2">
      <c r="A657" s="1" t="s">
        <v>4597</v>
      </c>
      <c r="B657" s="24" t="s">
        <v>5277</v>
      </c>
      <c r="C657" s="25" t="s">
        <v>2754</v>
      </c>
      <c r="D657" s="25" t="s">
        <v>5373</v>
      </c>
      <c r="E657" s="25" t="s">
        <v>5400</v>
      </c>
      <c r="F657" s="25" t="s">
        <v>3071</v>
      </c>
      <c r="G657" s="1" t="s">
        <v>1888</v>
      </c>
      <c r="H657" s="17">
        <v>0</v>
      </c>
      <c r="I657" s="18">
        <v>710000000</v>
      </c>
      <c r="J657" s="4" t="s">
        <v>1931</v>
      </c>
      <c r="K657" s="4" t="s">
        <v>5297</v>
      </c>
      <c r="L657" s="7" t="s">
        <v>1940</v>
      </c>
      <c r="M657" s="8" t="s">
        <v>3195</v>
      </c>
      <c r="N657" s="8" t="s">
        <v>1890</v>
      </c>
      <c r="O657" s="8" t="s">
        <v>1935</v>
      </c>
      <c r="P657" s="1">
        <v>839</v>
      </c>
      <c r="Q657" s="4" t="s">
        <v>5375</v>
      </c>
      <c r="R657" s="10">
        <v>4</v>
      </c>
      <c r="S657" s="10">
        <v>21429</v>
      </c>
      <c r="T657" s="10">
        <f t="shared" si="332"/>
        <v>85716</v>
      </c>
      <c r="U657" s="10">
        <f t="shared" si="329"/>
        <v>96001.920000000013</v>
      </c>
      <c r="V657" s="8"/>
      <c r="W657" s="11">
        <v>2015</v>
      </c>
      <c r="X657" s="20"/>
    </row>
    <row r="658" spans="1:24" ht="76.5" customHeight="1" outlineLevel="1" x14ac:dyDescent="0.2">
      <c r="A658" s="1" t="s">
        <v>4598</v>
      </c>
      <c r="B658" s="24" t="s">
        <v>5277</v>
      </c>
      <c r="C658" s="25" t="s">
        <v>2754</v>
      </c>
      <c r="D658" s="25" t="s">
        <v>5373</v>
      </c>
      <c r="E658" s="25" t="s">
        <v>5400</v>
      </c>
      <c r="F658" s="25" t="s">
        <v>3065</v>
      </c>
      <c r="G658" s="1" t="s">
        <v>1888</v>
      </c>
      <c r="H658" s="17">
        <v>0</v>
      </c>
      <c r="I658" s="18">
        <v>710000000</v>
      </c>
      <c r="J658" s="4" t="s">
        <v>1931</v>
      </c>
      <c r="K658" s="4" t="s">
        <v>5297</v>
      </c>
      <c r="L658" s="7" t="s">
        <v>1940</v>
      </c>
      <c r="M658" s="8" t="s">
        <v>3195</v>
      </c>
      <c r="N658" s="8" t="s">
        <v>1890</v>
      </c>
      <c r="O658" s="8" t="s">
        <v>1935</v>
      </c>
      <c r="P658" s="1">
        <v>839</v>
      </c>
      <c r="Q658" s="4" t="s">
        <v>5375</v>
      </c>
      <c r="R658" s="10">
        <v>4</v>
      </c>
      <c r="S658" s="10">
        <v>50000</v>
      </c>
      <c r="T658" s="10">
        <f t="shared" si="332"/>
        <v>200000</v>
      </c>
      <c r="U658" s="10">
        <f t="shared" si="329"/>
        <v>224000.00000000003</v>
      </c>
      <c r="V658" s="8"/>
      <c r="W658" s="11">
        <v>2015</v>
      </c>
      <c r="X658" s="20"/>
    </row>
    <row r="659" spans="1:24" ht="76.5" customHeight="1" outlineLevel="1" x14ac:dyDescent="0.2">
      <c r="A659" s="1" t="s">
        <v>4599</v>
      </c>
      <c r="B659" s="24" t="s">
        <v>5277</v>
      </c>
      <c r="C659" s="25" t="s">
        <v>2754</v>
      </c>
      <c r="D659" s="25" t="s">
        <v>5373</v>
      </c>
      <c r="E659" s="25" t="s">
        <v>5400</v>
      </c>
      <c r="F659" s="25" t="s">
        <v>3309</v>
      </c>
      <c r="G659" s="1" t="s">
        <v>1888</v>
      </c>
      <c r="H659" s="17">
        <v>0</v>
      </c>
      <c r="I659" s="18">
        <v>710000000</v>
      </c>
      <c r="J659" s="4" t="s">
        <v>1931</v>
      </c>
      <c r="K659" s="4" t="s">
        <v>5297</v>
      </c>
      <c r="L659" s="7" t="s">
        <v>1940</v>
      </c>
      <c r="M659" s="8" t="s">
        <v>3195</v>
      </c>
      <c r="N659" s="8" t="s">
        <v>1890</v>
      </c>
      <c r="O659" s="8" t="s">
        <v>1935</v>
      </c>
      <c r="P659" s="1">
        <v>839</v>
      </c>
      <c r="Q659" s="4" t="s">
        <v>5375</v>
      </c>
      <c r="R659" s="10">
        <v>1</v>
      </c>
      <c r="S659" s="10">
        <v>46875</v>
      </c>
      <c r="T659" s="10">
        <f t="shared" si="332"/>
        <v>46875</v>
      </c>
      <c r="U659" s="10">
        <f t="shared" si="329"/>
        <v>52500.000000000007</v>
      </c>
      <c r="V659" s="8"/>
      <c r="W659" s="11">
        <v>2015</v>
      </c>
      <c r="X659" s="20"/>
    </row>
    <row r="660" spans="1:24" ht="76.5" customHeight="1" outlineLevel="1" x14ac:dyDescent="0.2">
      <c r="A660" s="1" t="s">
        <v>4600</v>
      </c>
      <c r="B660" s="24" t="s">
        <v>5277</v>
      </c>
      <c r="C660" s="25" t="s">
        <v>2754</v>
      </c>
      <c r="D660" s="25" t="s">
        <v>5373</v>
      </c>
      <c r="E660" s="25" t="s">
        <v>5400</v>
      </c>
      <c r="F660" s="25" t="s">
        <v>1947</v>
      </c>
      <c r="G660" s="1" t="s">
        <v>1888</v>
      </c>
      <c r="H660" s="17">
        <v>0</v>
      </c>
      <c r="I660" s="18">
        <v>710000000</v>
      </c>
      <c r="J660" s="4" t="s">
        <v>1931</v>
      </c>
      <c r="K660" s="4" t="s">
        <v>5297</v>
      </c>
      <c r="L660" s="7" t="s">
        <v>1940</v>
      </c>
      <c r="M660" s="8" t="s">
        <v>3195</v>
      </c>
      <c r="N660" s="8" t="s">
        <v>1890</v>
      </c>
      <c r="O660" s="8" t="s">
        <v>1935</v>
      </c>
      <c r="P660" s="1">
        <v>839</v>
      </c>
      <c r="Q660" s="4" t="s">
        <v>5375</v>
      </c>
      <c r="R660" s="10">
        <v>1</v>
      </c>
      <c r="S660" s="10">
        <v>16071</v>
      </c>
      <c r="T660" s="10">
        <f t="shared" si="332"/>
        <v>16071</v>
      </c>
      <c r="U660" s="10">
        <f t="shared" si="329"/>
        <v>17999.52</v>
      </c>
      <c r="V660" s="8"/>
      <c r="W660" s="11">
        <v>2015</v>
      </c>
      <c r="X660" s="20"/>
    </row>
    <row r="661" spans="1:24" ht="76.5" customHeight="1" outlineLevel="1" x14ac:dyDescent="0.2">
      <c r="A661" s="1" t="s">
        <v>4601</v>
      </c>
      <c r="B661" s="24" t="s">
        <v>5277</v>
      </c>
      <c r="C661" s="25" t="s">
        <v>2783</v>
      </c>
      <c r="D661" s="25" t="s">
        <v>1977</v>
      </c>
      <c r="E661" s="25" t="s">
        <v>5421</v>
      </c>
      <c r="F661" s="25" t="s">
        <v>3618</v>
      </c>
      <c r="G661" s="1" t="s">
        <v>1888</v>
      </c>
      <c r="H661" s="17">
        <v>0</v>
      </c>
      <c r="I661" s="18">
        <v>710000000</v>
      </c>
      <c r="J661" s="4" t="s">
        <v>1931</v>
      </c>
      <c r="K661" s="4" t="s">
        <v>5297</v>
      </c>
      <c r="L661" s="7" t="s">
        <v>1940</v>
      </c>
      <c r="M661" s="8" t="s">
        <v>3195</v>
      </c>
      <c r="N661" s="8" t="s">
        <v>1890</v>
      </c>
      <c r="O661" s="8" t="s">
        <v>1935</v>
      </c>
      <c r="P661" s="8">
        <v>796</v>
      </c>
      <c r="Q661" s="8" t="s">
        <v>3196</v>
      </c>
      <c r="R661" s="10">
        <v>12</v>
      </c>
      <c r="S661" s="10">
        <v>3888</v>
      </c>
      <c r="T661" s="10">
        <f t="shared" ref="T661:T726" si="336">S661*R661</f>
        <v>46656</v>
      </c>
      <c r="U661" s="10">
        <f t="shared" si="329"/>
        <v>52254.720000000008</v>
      </c>
      <c r="V661" s="8"/>
      <c r="W661" s="11">
        <v>2015</v>
      </c>
      <c r="X661" s="20"/>
    </row>
    <row r="662" spans="1:24" ht="76.5" customHeight="1" outlineLevel="1" x14ac:dyDescent="0.2">
      <c r="A662" s="1" t="s">
        <v>4602</v>
      </c>
      <c r="B662" s="24" t="s">
        <v>5277</v>
      </c>
      <c r="C662" s="25" t="s">
        <v>2783</v>
      </c>
      <c r="D662" s="25" t="s">
        <v>1977</v>
      </c>
      <c r="E662" s="25" t="s">
        <v>5421</v>
      </c>
      <c r="F662" s="25" t="s">
        <v>1941</v>
      </c>
      <c r="G662" s="1" t="s">
        <v>1888</v>
      </c>
      <c r="H662" s="17">
        <v>0</v>
      </c>
      <c r="I662" s="18">
        <v>710000000</v>
      </c>
      <c r="J662" s="4" t="s">
        <v>1931</v>
      </c>
      <c r="K662" s="4" t="s">
        <v>5297</v>
      </c>
      <c r="L662" s="7" t="s">
        <v>1940</v>
      </c>
      <c r="M662" s="8" t="s">
        <v>3195</v>
      </c>
      <c r="N662" s="8" t="s">
        <v>1890</v>
      </c>
      <c r="O662" s="8" t="s">
        <v>1935</v>
      </c>
      <c r="P662" s="8">
        <v>796</v>
      </c>
      <c r="Q662" s="8" t="s">
        <v>3196</v>
      </c>
      <c r="R662" s="10">
        <v>50</v>
      </c>
      <c r="S662" s="10">
        <v>3461</v>
      </c>
      <c r="T662" s="10">
        <f t="shared" si="336"/>
        <v>173050</v>
      </c>
      <c r="U662" s="10">
        <f t="shared" si="329"/>
        <v>193816.00000000003</v>
      </c>
      <c r="V662" s="8"/>
      <c r="W662" s="11">
        <v>2015</v>
      </c>
      <c r="X662" s="20"/>
    </row>
    <row r="663" spans="1:24" ht="76.5" customHeight="1" outlineLevel="1" x14ac:dyDescent="0.2">
      <c r="A663" s="1" t="s">
        <v>4603</v>
      </c>
      <c r="B663" s="24" t="s">
        <v>5277</v>
      </c>
      <c r="C663" s="25" t="s">
        <v>2783</v>
      </c>
      <c r="D663" s="25" t="s">
        <v>1977</v>
      </c>
      <c r="E663" s="25" t="s">
        <v>5421</v>
      </c>
      <c r="F663" s="25" t="s">
        <v>1974</v>
      </c>
      <c r="G663" s="1" t="s">
        <v>1888</v>
      </c>
      <c r="H663" s="17">
        <v>0</v>
      </c>
      <c r="I663" s="18">
        <v>710000000</v>
      </c>
      <c r="J663" s="4" t="s">
        <v>1931</v>
      </c>
      <c r="K663" s="4" t="s">
        <v>5297</v>
      </c>
      <c r="L663" s="7" t="s">
        <v>1940</v>
      </c>
      <c r="M663" s="8" t="s">
        <v>3195</v>
      </c>
      <c r="N663" s="8" t="s">
        <v>1890</v>
      </c>
      <c r="O663" s="8" t="s">
        <v>1935</v>
      </c>
      <c r="P663" s="8">
        <v>796</v>
      </c>
      <c r="Q663" s="8" t="s">
        <v>3196</v>
      </c>
      <c r="R663" s="10">
        <v>80</v>
      </c>
      <c r="S663" s="10">
        <v>2836</v>
      </c>
      <c r="T663" s="10">
        <f t="shared" si="336"/>
        <v>226880</v>
      </c>
      <c r="U663" s="10">
        <f t="shared" si="329"/>
        <v>254105.60000000003</v>
      </c>
      <c r="V663" s="8"/>
      <c r="W663" s="11">
        <v>2015</v>
      </c>
      <c r="X663" s="20"/>
    </row>
    <row r="664" spans="1:24" ht="76.5" customHeight="1" outlineLevel="1" x14ac:dyDescent="0.2">
      <c r="A664" s="1" t="s">
        <v>4604</v>
      </c>
      <c r="B664" s="24" t="s">
        <v>5277</v>
      </c>
      <c r="C664" s="25" t="s">
        <v>2783</v>
      </c>
      <c r="D664" s="25" t="s">
        <v>1977</v>
      </c>
      <c r="E664" s="25" t="s">
        <v>5421</v>
      </c>
      <c r="F664" s="25" t="s">
        <v>3063</v>
      </c>
      <c r="G664" s="1" t="s">
        <v>1888</v>
      </c>
      <c r="H664" s="17">
        <v>0</v>
      </c>
      <c r="I664" s="18">
        <v>710000000</v>
      </c>
      <c r="J664" s="4" t="s">
        <v>1931</v>
      </c>
      <c r="K664" s="4" t="s">
        <v>5297</v>
      </c>
      <c r="L664" s="7" t="s">
        <v>1940</v>
      </c>
      <c r="M664" s="8" t="s">
        <v>3195</v>
      </c>
      <c r="N664" s="8" t="s">
        <v>1890</v>
      </c>
      <c r="O664" s="8" t="s">
        <v>1935</v>
      </c>
      <c r="P664" s="8">
        <v>796</v>
      </c>
      <c r="Q664" s="8" t="s">
        <v>3196</v>
      </c>
      <c r="R664" s="10">
        <v>10</v>
      </c>
      <c r="S664" s="10">
        <v>3188</v>
      </c>
      <c r="T664" s="10">
        <f t="shared" si="336"/>
        <v>31880</v>
      </c>
      <c r="U664" s="10">
        <f t="shared" si="329"/>
        <v>35705.600000000006</v>
      </c>
      <c r="V664" s="8"/>
      <c r="W664" s="11">
        <v>2015</v>
      </c>
      <c r="X664" s="20"/>
    </row>
    <row r="665" spans="1:24" ht="76.5" customHeight="1" outlineLevel="1" x14ac:dyDescent="0.2">
      <c r="A665" s="1" t="s">
        <v>4605</v>
      </c>
      <c r="B665" s="24" t="s">
        <v>5277</v>
      </c>
      <c r="C665" s="25" t="s">
        <v>2783</v>
      </c>
      <c r="D665" s="25" t="s">
        <v>1977</v>
      </c>
      <c r="E665" s="25" t="s">
        <v>5421</v>
      </c>
      <c r="F665" s="25" t="s">
        <v>1978</v>
      </c>
      <c r="G665" s="1" t="s">
        <v>1888</v>
      </c>
      <c r="H665" s="17">
        <v>0</v>
      </c>
      <c r="I665" s="18">
        <v>710000000</v>
      </c>
      <c r="J665" s="4" t="s">
        <v>1931</v>
      </c>
      <c r="K665" s="4" t="s">
        <v>5297</v>
      </c>
      <c r="L665" s="7" t="s">
        <v>1940</v>
      </c>
      <c r="M665" s="8" t="s">
        <v>3195</v>
      </c>
      <c r="N665" s="8" t="s">
        <v>1890</v>
      </c>
      <c r="O665" s="8" t="s">
        <v>1935</v>
      </c>
      <c r="P665" s="8">
        <v>796</v>
      </c>
      <c r="Q665" s="8" t="s">
        <v>3196</v>
      </c>
      <c r="R665" s="10">
        <v>12</v>
      </c>
      <c r="S665" s="10">
        <v>4138</v>
      </c>
      <c r="T665" s="10">
        <f t="shared" si="336"/>
        <v>49656</v>
      </c>
      <c r="U665" s="10">
        <f t="shared" si="329"/>
        <v>55614.720000000008</v>
      </c>
      <c r="V665" s="8"/>
      <c r="W665" s="11">
        <v>2015</v>
      </c>
      <c r="X665" s="20"/>
    </row>
    <row r="666" spans="1:24" ht="76.5" customHeight="1" outlineLevel="1" x14ac:dyDescent="0.2">
      <c r="A666" s="1" t="s">
        <v>4606</v>
      </c>
      <c r="B666" s="24" t="s">
        <v>5277</v>
      </c>
      <c r="C666" s="25" t="s">
        <v>2783</v>
      </c>
      <c r="D666" s="25" t="s">
        <v>1977</v>
      </c>
      <c r="E666" s="25" t="s">
        <v>5421</v>
      </c>
      <c r="F666" s="25" t="s">
        <v>1943</v>
      </c>
      <c r="G666" s="1" t="s">
        <v>1888</v>
      </c>
      <c r="H666" s="17">
        <v>0</v>
      </c>
      <c r="I666" s="18">
        <v>710000000</v>
      </c>
      <c r="J666" s="4" t="s">
        <v>1931</v>
      </c>
      <c r="K666" s="4" t="s">
        <v>5297</v>
      </c>
      <c r="L666" s="7" t="s">
        <v>1940</v>
      </c>
      <c r="M666" s="8" t="s">
        <v>3195</v>
      </c>
      <c r="N666" s="8" t="s">
        <v>1890</v>
      </c>
      <c r="O666" s="8" t="s">
        <v>1935</v>
      </c>
      <c r="P666" s="8">
        <v>796</v>
      </c>
      <c r="Q666" s="8" t="s">
        <v>3196</v>
      </c>
      <c r="R666" s="10">
        <v>50</v>
      </c>
      <c r="S666" s="10">
        <v>3184</v>
      </c>
      <c r="T666" s="10">
        <f t="shared" si="336"/>
        <v>159200</v>
      </c>
      <c r="U666" s="10">
        <f t="shared" ref="U666:U731" si="337">T666*1.12</f>
        <v>178304.00000000003</v>
      </c>
      <c r="V666" s="8"/>
      <c r="W666" s="11">
        <v>2015</v>
      </c>
      <c r="X666" s="20"/>
    </row>
    <row r="667" spans="1:24" ht="76.5" customHeight="1" outlineLevel="1" x14ac:dyDescent="0.2">
      <c r="A667" s="1" t="s">
        <v>4607</v>
      </c>
      <c r="B667" s="24" t="s">
        <v>5277</v>
      </c>
      <c r="C667" s="25" t="s">
        <v>2783</v>
      </c>
      <c r="D667" s="25" t="s">
        <v>1977</v>
      </c>
      <c r="E667" s="25" t="s">
        <v>5421</v>
      </c>
      <c r="F667" s="25" t="s">
        <v>1944</v>
      </c>
      <c r="G667" s="1" t="s">
        <v>1888</v>
      </c>
      <c r="H667" s="17">
        <v>0</v>
      </c>
      <c r="I667" s="18">
        <v>710000000</v>
      </c>
      <c r="J667" s="4" t="s">
        <v>1931</v>
      </c>
      <c r="K667" s="4" t="s">
        <v>5297</v>
      </c>
      <c r="L667" s="7" t="s">
        <v>1940</v>
      </c>
      <c r="M667" s="8" t="s">
        <v>3195</v>
      </c>
      <c r="N667" s="8" t="s">
        <v>1890</v>
      </c>
      <c r="O667" s="8" t="s">
        <v>1935</v>
      </c>
      <c r="P667" s="8">
        <v>796</v>
      </c>
      <c r="Q667" s="8" t="s">
        <v>3196</v>
      </c>
      <c r="R667" s="10">
        <v>30</v>
      </c>
      <c r="S667" s="10">
        <v>2790</v>
      </c>
      <c r="T667" s="10">
        <f t="shared" si="336"/>
        <v>83700</v>
      </c>
      <c r="U667" s="10">
        <f t="shared" si="337"/>
        <v>93744.000000000015</v>
      </c>
      <c r="V667" s="8"/>
      <c r="W667" s="11">
        <v>2015</v>
      </c>
      <c r="X667" s="20"/>
    </row>
    <row r="668" spans="1:24" ht="76.5" customHeight="1" outlineLevel="1" x14ac:dyDescent="0.2">
      <c r="A668" s="1" t="s">
        <v>4608</v>
      </c>
      <c r="B668" s="24" t="s">
        <v>5277</v>
      </c>
      <c r="C668" s="25" t="s">
        <v>2783</v>
      </c>
      <c r="D668" s="25" t="s">
        <v>1977</v>
      </c>
      <c r="E668" s="25" t="s">
        <v>5421</v>
      </c>
      <c r="F668" s="25" t="s">
        <v>3065</v>
      </c>
      <c r="G668" s="1" t="s">
        <v>1888</v>
      </c>
      <c r="H668" s="17">
        <v>0</v>
      </c>
      <c r="I668" s="18">
        <v>710000000</v>
      </c>
      <c r="J668" s="4" t="s">
        <v>1931</v>
      </c>
      <c r="K668" s="4" t="s">
        <v>5297</v>
      </c>
      <c r="L668" s="7" t="s">
        <v>1940</v>
      </c>
      <c r="M668" s="8" t="s">
        <v>3195</v>
      </c>
      <c r="N668" s="8" t="s">
        <v>1890</v>
      </c>
      <c r="O668" s="8" t="s">
        <v>1935</v>
      </c>
      <c r="P668" s="8">
        <v>796</v>
      </c>
      <c r="Q668" s="8" t="s">
        <v>3196</v>
      </c>
      <c r="R668" s="10">
        <v>20</v>
      </c>
      <c r="S668" s="10">
        <v>10134</v>
      </c>
      <c r="T668" s="10">
        <f t="shared" si="336"/>
        <v>202680</v>
      </c>
      <c r="U668" s="10">
        <f t="shared" si="337"/>
        <v>227001.60000000003</v>
      </c>
      <c r="V668" s="8"/>
      <c r="W668" s="11">
        <v>2015</v>
      </c>
      <c r="X668" s="20"/>
    </row>
    <row r="669" spans="1:24" ht="76.5" customHeight="1" outlineLevel="1" x14ac:dyDescent="0.2">
      <c r="A669" s="1" t="s">
        <v>4609</v>
      </c>
      <c r="B669" s="24" t="s">
        <v>5277</v>
      </c>
      <c r="C669" s="25" t="s">
        <v>2783</v>
      </c>
      <c r="D669" s="25" t="s">
        <v>1977</v>
      </c>
      <c r="E669" s="25" t="s">
        <v>5421</v>
      </c>
      <c r="F669" s="25" t="s">
        <v>3066</v>
      </c>
      <c r="G669" s="1" t="s">
        <v>1888</v>
      </c>
      <c r="H669" s="17">
        <v>0</v>
      </c>
      <c r="I669" s="18">
        <v>710000000</v>
      </c>
      <c r="J669" s="4" t="s">
        <v>1931</v>
      </c>
      <c r="K669" s="4" t="s">
        <v>5297</v>
      </c>
      <c r="L669" s="7" t="s">
        <v>1940</v>
      </c>
      <c r="M669" s="8" t="s">
        <v>3195</v>
      </c>
      <c r="N669" s="8" t="s">
        <v>1890</v>
      </c>
      <c r="O669" s="8" t="s">
        <v>1935</v>
      </c>
      <c r="P669" s="8">
        <v>796</v>
      </c>
      <c r="Q669" s="8" t="s">
        <v>3196</v>
      </c>
      <c r="R669" s="10">
        <v>10</v>
      </c>
      <c r="S669" s="10">
        <v>2679</v>
      </c>
      <c r="T669" s="10">
        <f t="shared" si="336"/>
        <v>26790</v>
      </c>
      <c r="U669" s="10">
        <f t="shared" si="337"/>
        <v>30004.800000000003</v>
      </c>
      <c r="V669" s="8"/>
      <c r="W669" s="11">
        <v>2015</v>
      </c>
      <c r="X669" s="20"/>
    </row>
    <row r="670" spans="1:24" ht="76.5" customHeight="1" outlineLevel="1" x14ac:dyDescent="0.2">
      <c r="A670" s="1" t="s">
        <v>4610</v>
      </c>
      <c r="B670" s="24" t="s">
        <v>5277</v>
      </c>
      <c r="C670" s="25" t="s">
        <v>2783</v>
      </c>
      <c r="D670" s="25" t="s">
        <v>1977</v>
      </c>
      <c r="E670" s="25" t="s">
        <v>5421</v>
      </c>
      <c r="F670" s="25" t="s">
        <v>2772</v>
      </c>
      <c r="G670" s="1" t="s">
        <v>1888</v>
      </c>
      <c r="H670" s="17">
        <v>0</v>
      </c>
      <c r="I670" s="18">
        <v>710000000</v>
      </c>
      <c r="J670" s="4" t="s">
        <v>1931</v>
      </c>
      <c r="K670" s="4" t="s">
        <v>5297</v>
      </c>
      <c r="L670" s="7" t="s">
        <v>1940</v>
      </c>
      <c r="M670" s="8" t="s">
        <v>3195</v>
      </c>
      <c r="N670" s="8" t="s">
        <v>1890</v>
      </c>
      <c r="O670" s="8" t="s">
        <v>1935</v>
      </c>
      <c r="P670" s="8">
        <v>796</v>
      </c>
      <c r="Q670" s="8" t="s">
        <v>3196</v>
      </c>
      <c r="R670" s="10">
        <v>3</v>
      </c>
      <c r="S670" s="10">
        <v>1339</v>
      </c>
      <c r="T670" s="10">
        <f t="shared" si="336"/>
        <v>4017</v>
      </c>
      <c r="U670" s="10">
        <f t="shared" si="337"/>
        <v>4499.0400000000009</v>
      </c>
      <c r="V670" s="8"/>
      <c r="W670" s="11">
        <v>2015</v>
      </c>
      <c r="X670" s="20"/>
    </row>
    <row r="671" spans="1:24" ht="76.5" customHeight="1" outlineLevel="1" x14ac:dyDescent="0.2">
      <c r="A671" s="1" t="s">
        <v>4611</v>
      </c>
      <c r="B671" s="24" t="s">
        <v>5277</v>
      </c>
      <c r="C671" s="25" t="s">
        <v>2783</v>
      </c>
      <c r="D671" s="25" t="s">
        <v>1977</v>
      </c>
      <c r="E671" s="25" t="s">
        <v>5421</v>
      </c>
      <c r="F671" s="25" t="s">
        <v>1956</v>
      </c>
      <c r="G671" s="1" t="s">
        <v>1888</v>
      </c>
      <c r="H671" s="17">
        <v>0</v>
      </c>
      <c r="I671" s="18">
        <v>710000000</v>
      </c>
      <c r="J671" s="4" t="s">
        <v>1931</v>
      </c>
      <c r="K671" s="4" t="s">
        <v>5297</v>
      </c>
      <c r="L671" s="7" t="s">
        <v>1940</v>
      </c>
      <c r="M671" s="8" t="s">
        <v>3195</v>
      </c>
      <c r="N671" s="8" t="s">
        <v>1890</v>
      </c>
      <c r="O671" s="8" t="s">
        <v>1935</v>
      </c>
      <c r="P671" s="8">
        <v>796</v>
      </c>
      <c r="Q671" s="8" t="s">
        <v>3196</v>
      </c>
      <c r="R671" s="10">
        <v>3</v>
      </c>
      <c r="S671" s="10">
        <v>1339</v>
      </c>
      <c r="T671" s="10">
        <f t="shared" si="336"/>
        <v>4017</v>
      </c>
      <c r="U671" s="10">
        <f t="shared" si="337"/>
        <v>4499.0400000000009</v>
      </c>
      <c r="V671" s="8"/>
      <c r="W671" s="11">
        <v>2015</v>
      </c>
      <c r="X671" s="20"/>
    </row>
    <row r="672" spans="1:24" ht="76.5" customHeight="1" outlineLevel="1" x14ac:dyDescent="0.2">
      <c r="A672" s="1" t="s">
        <v>4612</v>
      </c>
      <c r="B672" s="24" t="s">
        <v>5277</v>
      </c>
      <c r="C672" s="25" t="s">
        <v>1979</v>
      </c>
      <c r="D672" s="25" t="s">
        <v>5385</v>
      </c>
      <c r="E672" s="25" t="s">
        <v>5410</v>
      </c>
      <c r="F672" s="25" t="s">
        <v>3618</v>
      </c>
      <c r="G672" s="1" t="s">
        <v>1888</v>
      </c>
      <c r="H672" s="17">
        <v>0</v>
      </c>
      <c r="I672" s="18">
        <v>710000000</v>
      </c>
      <c r="J672" s="4" t="s">
        <v>1931</v>
      </c>
      <c r="K672" s="4" t="s">
        <v>5297</v>
      </c>
      <c r="L672" s="7" t="s">
        <v>1940</v>
      </c>
      <c r="M672" s="8" t="s">
        <v>3195</v>
      </c>
      <c r="N672" s="8" t="s">
        <v>1890</v>
      </c>
      <c r="O672" s="8" t="s">
        <v>1935</v>
      </c>
      <c r="P672" s="8">
        <v>796</v>
      </c>
      <c r="Q672" s="8" t="s">
        <v>3196</v>
      </c>
      <c r="R672" s="10">
        <v>6</v>
      </c>
      <c r="S672" s="10">
        <v>41161</v>
      </c>
      <c r="T672" s="10">
        <f t="shared" si="336"/>
        <v>246966</v>
      </c>
      <c r="U672" s="10">
        <f t="shared" si="337"/>
        <v>276601.92000000004</v>
      </c>
      <c r="V672" s="8"/>
      <c r="W672" s="11">
        <v>2015</v>
      </c>
      <c r="X672" s="20"/>
    </row>
    <row r="673" spans="1:24" ht="76.5" customHeight="1" outlineLevel="1" x14ac:dyDescent="0.2">
      <c r="A673" s="1" t="s">
        <v>4613</v>
      </c>
      <c r="B673" s="24" t="s">
        <v>5277</v>
      </c>
      <c r="C673" s="25" t="s">
        <v>1979</v>
      </c>
      <c r="D673" s="25" t="s">
        <v>5385</v>
      </c>
      <c r="E673" s="25" t="s">
        <v>5410</v>
      </c>
      <c r="F673" s="25" t="s">
        <v>1980</v>
      </c>
      <c r="G673" s="1" t="s">
        <v>1888</v>
      </c>
      <c r="H673" s="17">
        <v>0</v>
      </c>
      <c r="I673" s="18">
        <v>710000000</v>
      </c>
      <c r="J673" s="4" t="s">
        <v>1931</v>
      </c>
      <c r="K673" s="4" t="s">
        <v>5297</v>
      </c>
      <c r="L673" s="7" t="s">
        <v>1940</v>
      </c>
      <c r="M673" s="8" t="s">
        <v>3195</v>
      </c>
      <c r="N673" s="8" t="s">
        <v>1890</v>
      </c>
      <c r="O673" s="8" t="s">
        <v>1935</v>
      </c>
      <c r="P673" s="8">
        <v>796</v>
      </c>
      <c r="Q673" s="8" t="s">
        <v>3196</v>
      </c>
      <c r="R673" s="10">
        <v>20</v>
      </c>
      <c r="S673" s="10">
        <v>40040</v>
      </c>
      <c r="T673" s="10">
        <f t="shared" si="336"/>
        <v>800800</v>
      </c>
      <c r="U673" s="10">
        <f t="shared" si="337"/>
        <v>896896.00000000012</v>
      </c>
      <c r="V673" s="8"/>
      <c r="W673" s="11">
        <v>2015</v>
      </c>
      <c r="X673" s="20"/>
    </row>
    <row r="674" spans="1:24" ht="76.5" customHeight="1" outlineLevel="1" x14ac:dyDescent="0.2">
      <c r="A674" s="1" t="s">
        <v>4614</v>
      </c>
      <c r="B674" s="24" t="s">
        <v>5277</v>
      </c>
      <c r="C674" s="25" t="s">
        <v>1979</v>
      </c>
      <c r="D674" s="25" t="s">
        <v>5385</v>
      </c>
      <c r="E674" s="25" t="s">
        <v>5410</v>
      </c>
      <c r="F674" s="25" t="s">
        <v>1981</v>
      </c>
      <c r="G674" s="1" t="s">
        <v>1888</v>
      </c>
      <c r="H674" s="17">
        <v>0</v>
      </c>
      <c r="I674" s="18">
        <v>710000000</v>
      </c>
      <c r="J674" s="4" t="s">
        <v>1931</v>
      </c>
      <c r="K674" s="4" t="s">
        <v>5297</v>
      </c>
      <c r="L674" s="7" t="s">
        <v>1940</v>
      </c>
      <c r="M674" s="8" t="s">
        <v>3195</v>
      </c>
      <c r="N674" s="8" t="s">
        <v>1890</v>
      </c>
      <c r="O674" s="8" t="s">
        <v>1935</v>
      </c>
      <c r="P674" s="8">
        <v>796</v>
      </c>
      <c r="Q674" s="8" t="s">
        <v>3196</v>
      </c>
      <c r="R674" s="10">
        <v>30</v>
      </c>
      <c r="S674" s="10">
        <v>25223</v>
      </c>
      <c r="T674" s="10">
        <f t="shared" si="336"/>
        <v>756690</v>
      </c>
      <c r="U674" s="10">
        <f t="shared" si="337"/>
        <v>847492.8</v>
      </c>
      <c r="V674" s="8"/>
      <c r="W674" s="11">
        <v>2015</v>
      </c>
      <c r="X674" s="20"/>
    </row>
    <row r="675" spans="1:24" ht="76.5" customHeight="1" outlineLevel="1" x14ac:dyDescent="0.2">
      <c r="A675" s="1" t="s">
        <v>4615</v>
      </c>
      <c r="B675" s="24" t="s">
        <v>5277</v>
      </c>
      <c r="C675" s="25" t="s">
        <v>1979</v>
      </c>
      <c r="D675" s="25" t="s">
        <v>5385</v>
      </c>
      <c r="E675" s="25" t="s">
        <v>5410</v>
      </c>
      <c r="F675" s="25" t="s">
        <v>3063</v>
      </c>
      <c r="G675" s="1" t="s">
        <v>1888</v>
      </c>
      <c r="H675" s="17">
        <v>0</v>
      </c>
      <c r="I675" s="18">
        <v>710000000</v>
      </c>
      <c r="J675" s="4" t="s">
        <v>1931</v>
      </c>
      <c r="K675" s="4" t="s">
        <v>5297</v>
      </c>
      <c r="L675" s="7" t="s">
        <v>1940</v>
      </c>
      <c r="M675" s="8" t="s">
        <v>3195</v>
      </c>
      <c r="N675" s="8" t="s">
        <v>1890</v>
      </c>
      <c r="O675" s="8" t="s">
        <v>1935</v>
      </c>
      <c r="P675" s="8">
        <v>796</v>
      </c>
      <c r="Q675" s="8" t="s">
        <v>3196</v>
      </c>
      <c r="R675" s="10">
        <v>4</v>
      </c>
      <c r="S675" s="10">
        <v>22321</v>
      </c>
      <c r="T675" s="10">
        <f t="shared" si="336"/>
        <v>89284</v>
      </c>
      <c r="U675" s="10">
        <f t="shared" si="337"/>
        <v>99998.080000000016</v>
      </c>
      <c r="V675" s="8"/>
      <c r="W675" s="11">
        <v>2015</v>
      </c>
      <c r="X675" s="20"/>
    </row>
    <row r="676" spans="1:24" ht="76.5" customHeight="1" outlineLevel="1" x14ac:dyDescent="0.2">
      <c r="A676" s="1" t="s">
        <v>4616</v>
      </c>
      <c r="B676" s="24" t="s">
        <v>5277</v>
      </c>
      <c r="C676" s="25" t="s">
        <v>1979</v>
      </c>
      <c r="D676" s="25" t="s">
        <v>5385</v>
      </c>
      <c r="E676" s="25" t="s">
        <v>5410</v>
      </c>
      <c r="F676" s="25" t="s">
        <v>1982</v>
      </c>
      <c r="G676" s="1" t="s">
        <v>1888</v>
      </c>
      <c r="H676" s="17">
        <v>0</v>
      </c>
      <c r="I676" s="18">
        <v>710000000</v>
      </c>
      <c r="J676" s="4" t="s">
        <v>1931</v>
      </c>
      <c r="K676" s="4" t="s">
        <v>5297</v>
      </c>
      <c r="L676" s="7" t="s">
        <v>1940</v>
      </c>
      <c r="M676" s="8" t="s">
        <v>3195</v>
      </c>
      <c r="N676" s="8" t="s">
        <v>1890</v>
      </c>
      <c r="O676" s="8" t="s">
        <v>1935</v>
      </c>
      <c r="P676" s="8">
        <v>796</v>
      </c>
      <c r="Q676" s="8" t="s">
        <v>3196</v>
      </c>
      <c r="R676" s="10">
        <v>10</v>
      </c>
      <c r="S676" s="10">
        <v>30873</v>
      </c>
      <c r="T676" s="10">
        <f t="shared" si="336"/>
        <v>308730</v>
      </c>
      <c r="U676" s="10">
        <f t="shared" si="337"/>
        <v>345777.60000000003</v>
      </c>
      <c r="V676" s="8"/>
      <c r="W676" s="11">
        <v>2015</v>
      </c>
      <c r="X676" s="20"/>
    </row>
    <row r="677" spans="1:24" ht="76.5" customHeight="1" outlineLevel="1" x14ac:dyDescent="0.2">
      <c r="A677" s="1" t="s">
        <v>4617</v>
      </c>
      <c r="B677" s="24" t="s">
        <v>5277</v>
      </c>
      <c r="C677" s="25" t="s">
        <v>1979</v>
      </c>
      <c r="D677" s="25" t="s">
        <v>5385</v>
      </c>
      <c r="E677" s="25" t="s">
        <v>5410</v>
      </c>
      <c r="F677" s="25" t="s">
        <v>1944</v>
      </c>
      <c r="G677" s="1" t="s">
        <v>1888</v>
      </c>
      <c r="H677" s="17">
        <v>0</v>
      </c>
      <c r="I677" s="18">
        <v>710000000</v>
      </c>
      <c r="J677" s="4" t="s">
        <v>1931</v>
      </c>
      <c r="K677" s="4" t="s">
        <v>5297</v>
      </c>
      <c r="L677" s="7" t="s">
        <v>1940</v>
      </c>
      <c r="M677" s="8" t="s">
        <v>3195</v>
      </c>
      <c r="N677" s="8" t="s">
        <v>1890</v>
      </c>
      <c r="O677" s="8" t="s">
        <v>1935</v>
      </c>
      <c r="P677" s="8">
        <v>796</v>
      </c>
      <c r="Q677" s="8" t="s">
        <v>3196</v>
      </c>
      <c r="R677" s="10">
        <v>6</v>
      </c>
      <c r="S677" s="10">
        <v>31250</v>
      </c>
      <c r="T677" s="10">
        <f t="shared" si="336"/>
        <v>187500</v>
      </c>
      <c r="U677" s="10">
        <f t="shared" si="337"/>
        <v>210000.00000000003</v>
      </c>
      <c r="V677" s="8"/>
      <c r="W677" s="11">
        <v>2015</v>
      </c>
      <c r="X677" s="20"/>
    </row>
    <row r="678" spans="1:24" ht="76.5" customHeight="1" outlineLevel="1" x14ac:dyDescent="0.2">
      <c r="A678" s="1" t="s">
        <v>4618</v>
      </c>
      <c r="B678" s="24" t="s">
        <v>5277</v>
      </c>
      <c r="C678" s="25" t="s">
        <v>3256</v>
      </c>
      <c r="D678" s="25" t="s">
        <v>5385</v>
      </c>
      <c r="E678" s="25" t="s">
        <v>5386</v>
      </c>
      <c r="F678" s="25" t="s">
        <v>3065</v>
      </c>
      <c r="G678" s="1" t="s">
        <v>1888</v>
      </c>
      <c r="H678" s="17">
        <v>0</v>
      </c>
      <c r="I678" s="18">
        <v>710000000</v>
      </c>
      <c r="J678" s="4" t="s">
        <v>1931</v>
      </c>
      <c r="K678" s="4" t="s">
        <v>5297</v>
      </c>
      <c r="L678" s="7" t="s">
        <v>1940</v>
      </c>
      <c r="M678" s="8" t="s">
        <v>3195</v>
      </c>
      <c r="N678" s="8" t="s">
        <v>1890</v>
      </c>
      <c r="O678" s="8" t="s">
        <v>1935</v>
      </c>
      <c r="P678" s="8">
        <v>796</v>
      </c>
      <c r="Q678" s="8" t="s">
        <v>3196</v>
      </c>
      <c r="R678" s="10">
        <v>4</v>
      </c>
      <c r="S678" s="10">
        <v>35714</v>
      </c>
      <c r="T678" s="10">
        <f t="shared" si="336"/>
        <v>142856</v>
      </c>
      <c r="U678" s="10">
        <f t="shared" si="337"/>
        <v>159998.72</v>
      </c>
      <c r="V678" s="8"/>
      <c r="W678" s="11">
        <v>2015</v>
      </c>
      <c r="X678" s="20"/>
    </row>
    <row r="679" spans="1:24" ht="76.5" customHeight="1" outlineLevel="1" x14ac:dyDescent="0.2">
      <c r="A679" s="1" t="s">
        <v>4619</v>
      </c>
      <c r="B679" s="24" t="s">
        <v>5277</v>
      </c>
      <c r="C679" s="25" t="s">
        <v>3256</v>
      </c>
      <c r="D679" s="25" t="s">
        <v>5385</v>
      </c>
      <c r="E679" s="25" t="s">
        <v>5386</v>
      </c>
      <c r="F679" s="25" t="s">
        <v>1978</v>
      </c>
      <c r="G679" s="1" t="s">
        <v>1888</v>
      </c>
      <c r="H679" s="17">
        <v>0</v>
      </c>
      <c r="I679" s="18">
        <v>710000000</v>
      </c>
      <c r="J679" s="4" t="s">
        <v>1931</v>
      </c>
      <c r="K679" s="4" t="s">
        <v>5297</v>
      </c>
      <c r="L679" s="7" t="s">
        <v>1940</v>
      </c>
      <c r="M679" s="8" t="s">
        <v>3195</v>
      </c>
      <c r="N679" s="8" t="s">
        <v>1890</v>
      </c>
      <c r="O679" s="8" t="s">
        <v>1935</v>
      </c>
      <c r="P679" s="8">
        <v>796</v>
      </c>
      <c r="Q679" s="8" t="s">
        <v>3196</v>
      </c>
      <c r="R679" s="10">
        <v>4</v>
      </c>
      <c r="S679" s="10">
        <v>26786</v>
      </c>
      <c r="T679" s="10">
        <f t="shared" si="336"/>
        <v>107144</v>
      </c>
      <c r="U679" s="10">
        <f t="shared" si="337"/>
        <v>120001.28000000001</v>
      </c>
      <c r="V679" s="8"/>
      <c r="W679" s="11">
        <v>2015</v>
      </c>
      <c r="X679" s="20"/>
    </row>
    <row r="680" spans="1:24" ht="76.5" customHeight="1" outlineLevel="1" x14ac:dyDescent="0.2">
      <c r="A680" s="1" t="s">
        <v>4620</v>
      </c>
      <c r="B680" s="24" t="s">
        <v>5277</v>
      </c>
      <c r="C680" s="25" t="s">
        <v>3256</v>
      </c>
      <c r="D680" s="25" t="s">
        <v>5385</v>
      </c>
      <c r="E680" s="25" t="s">
        <v>5386</v>
      </c>
      <c r="F680" s="25" t="s">
        <v>3309</v>
      </c>
      <c r="G680" s="1" t="s">
        <v>1888</v>
      </c>
      <c r="H680" s="17">
        <v>0</v>
      </c>
      <c r="I680" s="18">
        <v>710000000</v>
      </c>
      <c r="J680" s="4" t="s">
        <v>1931</v>
      </c>
      <c r="K680" s="4" t="s">
        <v>5297</v>
      </c>
      <c r="L680" s="7" t="s">
        <v>1940</v>
      </c>
      <c r="M680" s="8" t="s">
        <v>3195</v>
      </c>
      <c r="N680" s="8" t="s">
        <v>1890</v>
      </c>
      <c r="O680" s="8" t="s">
        <v>1935</v>
      </c>
      <c r="P680" s="8">
        <v>796</v>
      </c>
      <c r="Q680" s="8" t="s">
        <v>3196</v>
      </c>
      <c r="R680" s="10">
        <v>2</v>
      </c>
      <c r="S680" s="10">
        <v>35714</v>
      </c>
      <c r="T680" s="10">
        <f t="shared" si="336"/>
        <v>71428</v>
      </c>
      <c r="U680" s="10">
        <f t="shared" si="337"/>
        <v>79999.360000000001</v>
      </c>
      <c r="V680" s="8"/>
      <c r="W680" s="11">
        <v>2015</v>
      </c>
      <c r="X680" s="20"/>
    </row>
    <row r="681" spans="1:24" ht="76.5" customHeight="1" outlineLevel="1" x14ac:dyDescent="0.2">
      <c r="A681" s="1" t="s">
        <v>4621</v>
      </c>
      <c r="B681" s="24" t="s">
        <v>5277</v>
      </c>
      <c r="C681" s="25" t="s">
        <v>1983</v>
      </c>
      <c r="D681" s="25" t="s">
        <v>5385</v>
      </c>
      <c r="E681" s="25" t="s">
        <v>1984</v>
      </c>
      <c r="F681" s="25" t="s">
        <v>3618</v>
      </c>
      <c r="G681" s="1" t="s">
        <v>1888</v>
      </c>
      <c r="H681" s="17">
        <v>0</v>
      </c>
      <c r="I681" s="18">
        <v>710000000</v>
      </c>
      <c r="J681" s="4" t="s">
        <v>1931</v>
      </c>
      <c r="K681" s="4" t="s">
        <v>5297</v>
      </c>
      <c r="L681" s="7" t="s">
        <v>1940</v>
      </c>
      <c r="M681" s="8" t="s">
        <v>3195</v>
      </c>
      <c r="N681" s="8" t="s">
        <v>1890</v>
      </c>
      <c r="O681" s="8" t="s">
        <v>1935</v>
      </c>
      <c r="P681" s="8">
        <v>796</v>
      </c>
      <c r="Q681" s="8" t="s">
        <v>3196</v>
      </c>
      <c r="R681" s="10">
        <v>4</v>
      </c>
      <c r="S681" s="10">
        <v>39196</v>
      </c>
      <c r="T681" s="10">
        <f t="shared" si="336"/>
        <v>156784</v>
      </c>
      <c r="U681" s="10">
        <f t="shared" si="337"/>
        <v>175598.08000000002</v>
      </c>
      <c r="V681" s="8"/>
      <c r="W681" s="11">
        <v>2015</v>
      </c>
      <c r="X681" s="20"/>
    </row>
    <row r="682" spans="1:24" ht="76.5" customHeight="1" outlineLevel="1" x14ac:dyDescent="0.2">
      <c r="A682" s="1" t="s">
        <v>4622</v>
      </c>
      <c r="B682" s="24" t="s">
        <v>5277</v>
      </c>
      <c r="C682" s="25" t="s">
        <v>1983</v>
      </c>
      <c r="D682" s="25" t="s">
        <v>5385</v>
      </c>
      <c r="E682" s="25" t="s">
        <v>1984</v>
      </c>
      <c r="F682" s="25" t="s">
        <v>1985</v>
      </c>
      <c r="G682" s="1" t="s">
        <v>1888</v>
      </c>
      <c r="H682" s="17">
        <v>0</v>
      </c>
      <c r="I682" s="18">
        <v>710000000</v>
      </c>
      <c r="J682" s="4" t="s">
        <v>1931</v>
      </c>
      <c r="K682" s="4" t="s">
        <v>5297</v>
      </c>
      <c r="L682" s="7" t="s">
        <v>1940</v>
      </c>
      <c r="M682" s="8" t="s">
        <v>3195</v>
      </c>
      <c r="N682" s="8" t="s">
        <v>1890</v>
      </c>
      <c r="O682" s="8" t="s">
        <v>1935</v>
      </c>
      <c r="P682" s="8">
        <v>796</v>
      </c>
      <c r="Q682" s="8" t="s">
        <v>3196</v>
      </c>
      <c r="R682" s="10">
        <v>20</v>
      </c>
      <c r="S682" s="10">
        <v>37009</v>
      </c>
      <c r="T682" s="10">
        <f t="shared" si="336"/>
        <v>740180</v>
      </c>
      <c r="U682" s="10">
        <f t="shared" si="337"/>
        <v>829001.60000000009</v>
      </c>
      <c r="V682" s="8"/>
      <c r="W682" s="11">
        <v>2015</v>
      </c>
      <c r="X682" s="20"/>
    </row>
    <row r="683" spans="1:24" ht="76.5" customHeight="1" outlineLevel="1" x14ac:dyDescent="0.2">
      <c r="A683" s="1" t="s">
        <v>4623</v>
      </c>
      <c r="B683" s="24" t="s">
        <v>5277</v>
      </c>
      <c r="C683" s="25" t="s">
        <v>1983</v>
      </c>
      <c r="D683" s="25" t="s">
        <v>5385</v>
      </c>
      <c r="E683" s="25" t="s">
        <v>1984</v>
      </c>
      <c r="F683" s="25" t="s">
        <v>1974</v>
      </c>
      <c r="G683" s="1" t="s">
        <v>1888</v>
      </c>
      <c r="H683" s="17">
        <v>0</v>
      </c>
      <c r="I683" s="18">
        <v>710000000</v>
      </c>
      <c r="J683" s="4" t="s">
        <v>1931</v>
      </c>
      <c r="K683" s="4" t="s">
        <v>5297</v>
      </c>
      <c r="L683" s="7" t="s">
        <v>1940</v>
      </c>
      <c r="M683" s="8" t="s">
        <v>3195</v>
      </c>
      <c r="N683" s="8" t="s">
        <v>1890</v>
      </c>
      <c r="O683" s="8" t="s">
        <v>1935</v>
      </c>
      <c r="P683" s="8">
        <v>796</v>
      </c>
      <c r="Q683" s="8" t="s">
        <v>3196</v>
      </c>
      <c r="R683" s="10">
        <v>20</v>
      </c>
      <c r="S683" s="10">
        <v>21429</v>
      </c>
      <c r="T683" s="10">
        <f t="shared" si="336"/>
        <v>428580</v>
      </c>
      <c r="U683" s="10">
        <f t="shared" si="337"/>
        <v>480009.60000000003</v>
      </c>
      <c r="V683" s="8"/>
      <c r="W683" s="11">
        <v>2015</v>
      </c>
      <c r="X683" s="20"/>
    </row>
    <row r="684" spans="1:24" ht="76.5" customHeight="1" outlineLevel="1" x14ac:dyDescent="0.2">
      <c r="A684" s="1" t="s">
        <v>4624</v>
      </c>
      <c r="B684" s="24" t="s">
        <v>5277</v>
      </c>
      <c r="C684" s="25" t="s">
        <v>1983</v>
      </c>
      <c r="D684" s="25" t="s">
        <v>5385</v>
      </c>
      <c r="E684" s="25" t="s">
        <v>1984</v>
      </c>
      <c r="F684" s="25" t="s">
        <v>3063</v>
      </c>
      <c r="G684" s="1" t="s">
        <v>1888</v>
      </c>
      <c r="H684" s="17">
        <v>0</v>
      </c>
      <c r="I684" s="18">
        <v>710000000</v>
      </c>
      <c r="J684" s="4" t="s">
        <v>1931</v>
      </c>
      <c r="K684" s="4" t="s">
        <v>5297</v>
      </c>
      <c r="L684" s="7" t="s">
        <v>1940</v>
      </c>
      <c r="M684" s="8" t="s">
        <v>3195</v>
      </c>
      <c r="N684" s="8" t="s">
        <v>1890</v>
      </c>
      <c r="O684" s="8" t="s">
        <v>1935</v>
      </c>
      <c r="P684" s="8">
        <v>796</v>
      </c>
      <c r="Q684" s="8" t="s">
        <v>3196</v>
      </c>
      <c r="R684" s="10">
        <v>4</v>
      </c>
      <c r="S684" s="10">
        <v>19643</v>
      </c>
      <c r="T684" s="10">
        <f t="shared" si="336"/>
        <v>78572</v>
      </c>
      <c r="U684" s="10">
        <f t="shared" si="337"/>
        <v>88000.640000000014</v>
      </c>
      <c r="V684" s="8"/>
      <c r="W684" s="11">
        <v>2015</v>
      </c>
      <c r="X684" s="20"/>
    </row>
    <row r="685" spans="1:24" ht="76.5" customHeight="1" outlineLevel="1" x14ac:dyDescent="0.2">
      <c r="A685" s="1" t="s">
        <v>4625</v>
      </c>
      <c r="B685" s="24" t="s">
        <v>5277</v>
      </c>
      <c r="C685" s="25" t="s">
        <v>1983</v>
      </c>
      <c r="D685" s="25" t="s">
        <v>5385</v>
      </c>
      <c r="E685" s="25" t="s">
        <v>1984</v>
      </c>
      <c r="F685" s="25" t="s">
        <v>1944</v>
      </c>
      <c r="G685" s="1" t="s">
        <v>1888</v>
      </c>
      <c r="H685" s="17">
        <v>0</v>
      </c>
      <c r="I685" s="18">
        <v>710000000</v>
      </c>
      <c r="J685" s="4" t="s">
        <v>1931</v>
      </c>
      <c r="K685" s="4" t="s">
        <v>5297</v>
      </c>
      <c r="L685" s="7" t="s">
        <v>1940</v>
      </c>
      <c r="M685" s="8" t="s">
        <v>3195</v>
      </c>
      <c r="N685" s="8" t="s">
        <v>1890</v>
      </c>
      <c r="O685" s="8" t="s">
        <v>1935</v>
      </c>
      <c r="P685" s="8">
        <v>796</v>
      </c>
      <c r="Q685" s="8" t="s">
        <v>3196</v>
      </c>
      <c r="R685" s="10">
        <v>6</v>
      </c>
      <c r="S685" s="10">
        <v>21429</v>
      </c>
      <c r="T685" s="10">
        <f t="shared" si="336"/>
        <v>128574</v>
      </c>
      <c r="U685" s="10">
        <f t="shared" si="337"/>
        <v>144002.88</v>
      </c>
      <c r="V685" s="8"/>
      <c r="W685" s="11">
        <v>2015</v>
      </c>
      <c r="X685" s="20"/>
    </row>
    <row r="686" spans="1:24" ht="76.5" customHeight="1" outlineLevel="1" x14ac:dyDescent="0.2">
      <c r="A686" s="1" t="s">
        <v>4626</v>
      </c>
      <c r="B686" s="24" t="s">
        <v>5277</v>
      </c>
      <c r="C686" s="25" t="s">
        <v>1986</v>
      </c>
      <c r="D686" s="25" t="s">
        <v>5411</v>
      </c>
      <c r="E686" s="25" t="s">
        <v>1987</v>
      </c>
      <c r="F686" s="25" t="s">
        <v>3618</v>
      </c>
      <c r="G686" s="1" t="s">
        <v>1888</v>
      </c>
      <c r="H686" s="17">
        <v>0</v>
      </c>
      <c r="I686" s="18">
        <v>710000000</v>
      </c>
      <c r="J686" s="4" t="s">
        <v>1931</v>
      </c>
      <c r="K686" s="4" t="s">
        <v>5297</v>
      </c>
      <c r="L686" s="7" t="s">
        <v>1940</v>
      </c>
      <c r="M686" s="8" t="s">
        <v>3195</v>
      </c>
      <c r="N686" s="8" t="s">
        <v>1890</v>
      </c>
      <c r="O686" s="8" t="s">
        <v>1935</v>
      </c>
      <c r="P686" s="8">
        <v>796</v>
      </c>
      <c r="Q686" s="8" t="s">
        <v>3196</v>
      </c>
      <c r="R686" s="10">
        <v>16</v>
      </c>
      <c r="S686" s="10">
        <v>3272</v>
      </c>
      <c r="T686" s="10">
        <f t="shared" si="336"/>
        <v>52352</v>
      </c>
      <c r="U686" s="10">
        <f t="shared" si="337"/>
        <v>58634.240000000005</v>
      </c>
      <c r="V686" s="8"/>
      <c r="W686" s="11">
        <v>2015</v>
      </c>
      <c r="X686" s="20"/>
    </row>
    <row r="687" spans="1:24" ht="76.5" customHeight="1" outlineLevel="1" x14ac:dyDescent="0.2">
      <c r="A687" s="1" t="s">
        <v>4627</v>
      </c>
      <c r="B687" s="24" t="s">
        <v>5277</v>
      </c>
      <c r="C687" s="25" t="s">
        <v>1986</v>
      </c>
      <c r="D687" s="25" t="s">
        <v>5411</v>
      </c>
      <c r="E687" s="25" t="s">
        <v>1987</v>
      </c>
      <c r="F687" s="25" t="s">
        <v>1941</v>
      </c>
      <c r="G687" s="1" t="s">
        <v>1888</v>
      </c>
      <c r="H687" s="17">
        <v>0</v>
      </c>
      <c r="I687" s="18">
        <v>710000000</v>
      </c>
      <c r="J687" s="4" t="s">
        <v>1931</v>
      </c>
      <c r="K687" s="4" t="s">
        <v>5297</v>
      </c>
      <c r="L687" s="7" t="s">
        <v>1940</v>
      </c>
      <c r="M687" s="8" t="s">
        <v>3195</v>
      </c>
      <c r="N687" s="8" t="s">
        <v>1890</v>
      </c>
      <c r="O687" s="8" t="s">
        <v>1935</v>
      </c>
      <c r="P687" s="8">
        <v>796</v>
      </c>
      <c r="Q687" s="8" t="s">
        <v>3196</v>
      </c>
      <c r="R687" s="10">
        <v>40</v>
      </c>
      <c r="S687" s="10">
        <v>3123</v>
      </c>
      <c r="T687" s="10">
        <f t="shared" si="336"/>
        <v>124920</v>
      </c>
      <c r="U687" s="10">
        <f t="shared" si="337"/>
        <v>139910.40000000002</v>
      </c>
      <c r="V687" s="8"/>
      <c r="W687" s="11">
        <v>2015</v>
      </c>
      <c r="X687" s="20"/>
    </row>
    <row r="688" spans="1:24" ht="76.5" customHeight="1" outlineLevel="1" x14ac:dyDescent="0.2">
      <c r="A688" s="1" t="s">
        <v>4628</v>
      </c>
      <c r="B688" s="24" t="s">
        <v>5277</v>
      </c>
      <c r="C688" s="25" t="s">
        <v>1986</v>
      </c>
      <c r="D688" s="25" t="s">
        <v>5411</v>
      </c>
      <c r="E688" s="25" t="s">
        <v>1987</v>
      </c>
      <c r="F688" s="25" t="s">
        <v>1974</v>
      </c>
      <c r="G688" s="1" t="s">
        <v>1888</v>
      </c>
      <c r="H688" s="17">
        <v>0</v>
      </c>
      <c r="I688" s="18">
        <v>710000000</v>
      </c>
      <c r="J688" s="4" t="s">
        <v>1931</v>
      </c>
      <c r="K688" s="4" t="s">
        <v>5297</v>
      </c>
      <c r="L688" s="7" t="s">
        <v>1940</v>
      </c>
      <c r="M688" s="8" t="s">
        <v>3195</v>
      </c>
      <c r="N688" s="8" t="s">
        <v>1890</v>
      </c>
      <c r="O688" s="8" t="s">
        <v>1935</v>
      </c>
      <c r="P688" s="8">
        <v>796</v>
      </c>
      <c r="Q688" s="8" t="s">
        <v>3196</v>
      </c>
      <c r="R688" s="10">
        <v>56</v>
      </c>
      <c r="S688" s="10">
        <v>3275</v>
      </c>
      <c r="T688" s="10">
        <f t="shared" si="336"/>
        <v>183400</v>
      </c>
      <c r="U688" s="10">
        <f t="shared" si="337"/>
        <v>205408.00000000003</v>
      </c>
      <c r="V688" s="8"/>
      <c r="W688" s="11">
        <v>2015</v>
      </c>
      <c r="X688" s="20"/>
    </row>
    <row r="689" spans="1:24" ht="76.5" customHeight="1" outlineLevel="1" x14ac:dyDescent="0.2">
      <c r="A689" s="1" t="s">
        <v>4629</v>
      </c>
      <c r="B689" s="24" t="s">
        <v>5277</v>
      </c>
      <c r="C689" s="25" t="s">
        <v>1988</v>
      </c>
      <c r="D689" s="25" t="s">
        <v>5411</v>
      </c>
      <c r="E689" s="25" t="s">
        <v>5412</v>
      </c>
      <c r="F689" s="25" t="s">
        <v>3063</v>
      </c>
      <c r="G689" s="1" t="s">
        <v>1888</v>
      </c>
      <c r="H689" s="17">
        <v>0</v>
      </c>
      <c r="I689" s="18">
        <v>710000000</v>
      </c>
      <c r="J689" s="4" t="s">
        <v>1931</v>
      </c>
      <c r="K689" s="4" t="s">
        <v>5297</v>
      </c>
      <c r="L689" s="7" t="s">
        <v>1940</v>
      </c>
      <c r="M689" s="8" t="s">
        <v>3195</v>
      </c>
      <c r="N689" s="8" t="s">
        <v>1890</v>
      </c>
      <c r="O689" s="8" t="s">
        <v>1935</v>
      </c>
      <c r="P689" s="8">
        <v>796</v>
      </c>
      <c r="Q689" s="8" t="s">
        <v>3196</v>
      </c>
      <c r="R689" s="10">
        <v>12</v>
      </c>
      <c r="S689" s="10">
        <v>2232</v>
      </c>
      <c r="T689" s="10">
        <f t="shared" si="336"/>
        <v>26784</v>
      </c>
      <c r="U689" s="10">
        <f t="shared" si="337"/>
        <v>29998.080000000002</v>
      </c>
      <c r="V689" s="8"/>
      <c r="W689" s="11">
        <v>2015</v>
      </c>
      <c r="X689" s="20"/>
    </row>
    <row r="690" spans="1:24" ht="76.5" customHeight="1" outlineLevel="1" x14ac:dyDescent="0.2">
      <c r="A690" s="1" t="s">
        <v>4630</v>
      </c>
      <c r="B690" s="24" t="s">
        <v>5277</v>
      </c>
      <c r="C690" s="25" t="s">
        <v>1988</v>
      </c>
      <c r="D690" s="25" t="s">
        <v>5411</v>
      </c>
      <c r="E690" s="25" t="s">
        <v>5412</v>
      </c>
      <c r="F690" s="25" t="s">
        <v>2753</v>
      </c>
      <c r="G690" s="1" t="s">
        <v>1888</v>
      </c>
      <c r="H690" s="17">
        <v>0</v>
      </c>
      <c r="I690" s="18">
        <v>710000000</v>
      </c>
      <c r="J690" s="4" t="s">
        <v>1931</v>
      </c>
      <c r="K690" s="4" t="s">
        <v>5297</v>
      </c>
      <c r="L690" s="7" t="s">
        <v>1940</v>
      </c>
      <c r="M690" s="8" t="s">
        <v>3195</v>
      </c>
      <c r="N690" s="8" t="s">
        <v>1890</v>
      </c>
      <c r="O690" s="8" t="s">
        <v>1935</v>
      </c>
      <c r="P690" s="8">
        <v>796</v>
      </c>
      <c r="Q690" s="8" t="s">
        <v>3196</v>
      </c>
      <c r="R690" s="10">
        <v>40</v>
      </c>
      <c r="S690" s="10">
        <v>3346</v>
      </c>
      <c r="T690" s="10">
        <f t="shared" si="336"/>
        <v>133840</v>
      </c>
      <c r="U690" s="10">
        <f t="shared" si="337"/>
        <v>149900.80000000002</v>
      </c>
      <c r="V690" s="8"/>
      <c r="W690" s="11">
        <v>2015</v>
      </c>
      <c r="X690" s="20"/>
    </row>
    <row r="691" spans="1:24" ht="76.5" customHeight="1" outlineLevel="1" x14ac:dyDescent="0.2">
      <c r="A691" s="1" t="s">
        <v>4631</v>
      </c>
      <c r="B691" s="24" t="s">
        <v>5277</v>
      </c>
      <c r="C691" s="25" t="s">
        <v>1988</v>
      </c>
      <c r="D691" s="25" t="s">
        <v>5411</v>
      </c>
      <c r="E691" s="25" t="s">
        <v>5412</v>
      </c>
      <c r="F691" s="25" t="s">
        <v>1944</v>
      </c>
      <c r="G691" s="1" t="s">
        <v>1888</v>
      </c>
      <c r="H691" s="17">
        <v>0</v>
      </c>
      <c r="I691" s="18">
        <v>710000000</v>
      </c>
      <c r="J691" s="4" t="s">
        <v>1931</v>
      </c>
      <c r="K691" s="4" t="s">
        <v>5297</v>
      </c>
      <c r="L691" s="7" t="s">
        <v>1940</v>
      </c>
      <c r="M691" s="8" t="s">
        <v>3195</v>
      </c>
      <c r="N691" s="8" t="s">
        <v>1890</v>
      </c>
      <c r="O691" s="8" t="s">
        <v>1935</v>
      </c>
      <c r="P691" s="8">
        <v>796</v>
      </c>
      <c r="Q691" s="8" t="s">
        <v>3196</v>
      </c>
      <c r="R691" s="10">
        <v>30</v>
      </c>
      <c r="S691" s="10">
        <v>3209</v>
      </c>
      <c r="T691" s="10">
        <f t="shared" si="336"/>
        <v>96270</v>
      </c>
      <c r="U691" s="10">
        <f t="shared" si="337"/>
        <v>107822.40000000001</v>
      </c>
      <c r="V691" s="8"/>
      <c r="W691" s="11">
        <v>2015</v>
      </c>
      <c r="X691" s="20"/>
    </row>
    <row r="692" spans="1:24" ht="76.5" customHeight="1" outlineLevel="1" x14ac:dyDescent="0.2">
      <c r="A692" s="1" t="s">
        <v>4632</v>
      </c>
      <c r="B692" s="24" t="s">
        <v>5277</v>
      </c>
      <c r="C692" s="25" t="s">
        <v>1989</v>
      </c>
      <c r="D692" s="25" t="s">
        <v>5411</v>
      </c>
      <c r="E692" s="25" t="s">
        <v>1990</v>
      </c>
      <c r="F692" s="25" t="s">
        <v>1947</v>
      </c>
      <c r="G692" s="1" t="s">
        <v>1888</v>
      </c>
      <c r="H692" s="17">
        <v>0</v>
      </c>
      <c r="I692" s="18">
        <v>710000000</v>
      </c>
      <c r="J692" s="4" t="s">
        <v>1931</v>
      </c>
      <c r="K692" s="4" t="s">
        <v>5297</v>
      </c>
      <c r="L692" s="7" t="s">
        <v>1940</v>
      </c>
      <c r="M692" s="8" t="s">
        <v>3195</v>
      </c>
      <c r="N692" s="8" t="s">
        <v>1890</v>
      </c>
      <c r="O692" s="8" t="s">
        <v>1935</v>
      </c>
      <c r="P692" s="8">
        <v>796</v>
      </c>
      <c r="Q692" s="8" t="s">
        <v>3196</v>
      </c>
      <c r="R692" s="10">
        <v>8</v>
      </c>
      <c r="S692" s="10">
        <v>446</v>
      </c>
      <c r="T692" s="10">
        <f t="shared" si="336"/>
        <v>3568</v>
      </c>
      <c r="U692" s="10">
        <f t="shared" si="337"/>
        <v>3996.1600000000003</v>
      </c>
      <c r="V692" s="8"/>
      <c r="W692" s="11">
        <v>2015</v>
      </c>
      <c r="X692" s="20"/>
    </row>
    <row r="693" spans="1:24" ht="76.5" customHeight="1" outlineLevel="1" x14ac:dyDescent="0.2">
      <c r="A693" s="1" t="s">
        <v>4633</v>
      </c>
      <c r="B693" s="24" t="s">
        <v>5277</v>
      </c>
      <c r="C693" s="25" t="s">
        <v>1967</v>
      </c>
      <c r="D693" s="25" t="s">
        <v>1968</v>
      </c>
      <c r="E693" s="25" t="s">
        <v>1969</v>
      </c>
      <c r="F693" s="25" t="s">
        <v>6421</v>
      </c>
      <c r="G693" s="1" t="s">
        <v>1888</v>
      </c>
      <c r="H693" s="17">
        <v>0</v>
      </c>
      <c r="I693" s="18">
        <v>710000000</v>
      </c>
      <c r="J693" s="4" t="s">
        <v>1931</v>
      </c>
      <c r="K693" s="4" t="s">
        <v>5297</v>
      </c>
      <c r="L693" s="7" t="s">
        <v>1940</v>
      </c>
      <c r="M693" s="8" t="s">
        <v>3195</v>
      </c>
      <c r="N693" s="8" t="s">
        <v>1890</v>
      </c>
      <c r="O693" s="8" t="s">
        <v>1935</v>
      </c>
      <c r="P693" s="8">
        <v>796</v>
      </c>
      <c r="Q693" s="8" t="s">
        <v>3196</v>
      </c>
      <c r="R693" s="10">
        <v>3</v>
      </c>
      <c r="S693" s="10">
        <v>3571</v>
      </c>
      <c r="T693" s="10">
        <f t="shared" ref="T693" si="338">S693*R693</f>
        <v>10713</v>
      </c>
      <c r="U693" s="10">
        <f t="shared" ref="U693" si="339">T693*1.12</f>
        <v>11998.560000000001</v>
      </c>
      <c r="V693" s="8"/>
      <c r="W693" s="11">
        <v>2015</v>
      </c>
      <c r="X693" s="20"/>
    </row>
    <row r="694" spans="1:24" ht="76.5" customHeight="1" outlineLevel="1" x14ac:dyDescent="0.2">
      <c r="A694" s="1" t="s">
        <v>4634</v>
      </c>
      <c r="B694" s="24" t="s">
        <v>5277</v>
      </c>
      <c r="C694" s="7" t="s">
        <v>3311</v>
      </c>
      <c r="D694" s="7" t="s">
        <v>3029</v>
      </c>
      <c r="E694" s="18" t="s">
        <v>5396</v>
      </c>
      <c r="F694" s="25"/>
      <c r="G694" s="1" t="s">
        <v>1888</v>
      </c>
      <c r="H694" s="17">
        <v>0</v>
      </c>
      <c r="I694" s="18">
        <v>710000000</v>
      </c>
      <c r="J694" s="4" t="s">
        <v>1931</v>
      </c>
      <c r="K694" s="4" t="s">
        <v>5297</v>
      </c>
      <c r="L694" s="7" t="s">
        <v>1940</v>
      </c>
      <c r="M694" s="8" t="s">
        <v>3195</v>
      </c>
      <c r="N694" s="8" t="s">
        <v>1890</v>
      </c>
      <c r="O694" s="8" t="s">
        <v>1935</v>
      </c>
      <c r="P694" s="8">
        <v>796</v>
      </c>
      <c r="Q694" s="8" t="s">
        <v>3196</v>
      </c>
      <c r="R694" s="10">
        <v>20</v>
      </c>
      <c r="S694" s="10">
        <v>45110</v>
      </c>
      <c r="T694" s="10">
        <f t="shared" si="336"/>
        <v>902200</v>
      </c>
      <c r="U694" s="10">
        <f t="shared" si="337"/>
        <v>1010464.0000000001</v>
      </c>
      <c r="V694" s="8"/>
      <c r="W694" s="11">
        <v>2015</v>
      </c>
      <c r="X694" s="1"/>
    </row>
    <row r="695" spans="1:24" ht="89.25" customHeight="1" outlineLevel="1" x14ac:dyDescent="0.2">
      <c r="A695" s="1" t="s">
        <v>4635</v>
      </c>
      <c r="B695" s="24" t="s">
        <v>5277</v>
      </c>
      <c r="C695" s="7" t="s">
        <v>3312</v>
      </c>
      <c r="D695" s="7" t="s">
        <v>3029</v>
      </c>
      <c r="E695" s="18" t="s">
        <v>5397</v>
      </c>
      <c r="F695" s="25"/>
      <c r="G695" s="1" t="s">
        <v>1888</v>
      </c>
      <c r="H695" s="17">
        <v>0</v>
      </c>
      <c r="I695" s="18">
        <v>710000000</v>
      </c>
      <c r="J695" s="4" t="s">
        <v>1931</v>
      </c>
      <c r="K695" s="4" t="s">
        <v>5297</v>
      </c>
      <c r="L695" s="7" t="s">
        <v>1940</v>
      </c>
      <c r="M695" s="8" t="s">
        <v>3195</v>
      </c>
      <c r="N695" s="8" t="s">
        <v>1890</v>
      </c>
      <c r="O695" s="8" t="s">
        <v>1935</v>
      </c>
      <c r="P695" s="8">
        <v>796</v>
      </c>
      <c r="Q695" s="8" t="s">
        <v>3196</v>
      </c>
      <c r="R695" s="10">
        <v>20</v>
      </c>
      <c r="S695" s="10">
        <v>52374</v>
      </c>
      <c r="T695" s="10">
        <f t="shared" si="336"/>
        <v>1047480</v>
      </c>
      <c r="U695" s="10">
        <f t="shared" si="337"/>
        <v>1173177.6000000001</v>
      </c>
      <c r="V695" s="8"/>
      <c r="W695" s="11">
        <v>2015</v>
      </c>
      <c r="X695" s="1"/>
    </row>
    <row r="696" spans="1:24" ht="89.25" customHeight="1" outlineLevel="1" x14ac:dyDescent="0.2">
      <c r="A696" s="1" t="s">
        <v>4636</v>
      </c>
      <c r="B696" s="24" t="s">
        <v>5277</v>
      </c>
      <c r="C696" s="18" t="s">
        <v>1991</v>
      </c>
      <c r="D696" s="18" t="s">
        <v>3029</v>
      </c>
      <c r="E696" s="18" t="s">
        <v>1992</v>
      </c>
      <c r="F696" s="25"/>
      <c r="G696" s="1" t="s">
        <v>1888</v>
      </c>
      <c r="H696" s="17">
        <v>0</v>
      </c>
      <c r="I696" s="18">
        <v>710000000</v>
      </c>
      <c r="J696" s="4" t="s">
        <v>1931</v>
      </c>
      <c r="K696" s="4" t="s">
        <v>5297</v>
      </c>
      <c r="L696" s="7" t="s">
        <v>1940</v>
      </c>
      <c r="M696" s="8" t="s">
        <v>3195</v>
      </c>
      <c r="N696" s="8" t="s">
        <v>1890</v>
      </c>
      <c r="O696" s="8" t="s">
        <v>1935</v>
      </c>
      <c r="P696" s="8">
        <v>796</v>
      </c>
      <c r="Q696" s="8" t="s">
        <v>3196</v>
      </c>
      <c r="R696" s="10">
        <v>20</v>
      </c>
      <c r="S696" s="10">
        <v>37930</v>
      </c>
      <c r="T696" s="10">
        <f t="shared" si="336"/>
        <v>758600</v>
      </c>
      <c r="U696" s="10">
        <f t="shared" si="337"/>
        <v>849632.00000000012</v>
      </c>
      <c r="V696" s="8"/>
      <c r="W696" s="11">
        <v>2015</v>
      </c>
      <c r="X696" s="20"/>
    </row>
    <row r="697" spans="1:24" ht="76.5" customHeight="1" outlineLevel="1" x14ac:dyDescent="0.2">
      <c r="A697" s="1" t="s">
        <v>4637</v>
      </c>
      <c r="B697" s="24" t="s">
        <v>5277</v>
      </c>
      <c r="C697" s="18" t="s">
        <v>2785</v>
      </c>
      <c r="D697" s="18" t="s">
        <v>3029</v>
      </c>
      <c r="E697" s="18" t="s">
        <v>5422</v>
      </c>
      <c r="F697" s="25"/>
      <c r="G697" s="1" t="s">
        <v>1888</v>
      </c>
      <c r="H697" s="17">
        <v>0</v>
      </c>
      <c r="I697" s="18">
        <v>710000000</v>
      </c>
      <c r="J697" s="4" t="s">
        <v>1931</v>
      </c>
      <c r="K697" s="4" t="s">
        <v>5297</v>
      </c>
      <c r="L697" s="7" t="s">
        <v>1940</v>
      </c>
      <c r="M697" s="8" t="s">
        <v>3195</v>
      </c>
      <c r="N697" s="8" t="s">
        <v>1890</v>
      </c>
      <c r="O697" s="8" t="s">
        <v>1935</v>
      </c>
      <c r="P697" s="8">
        <v>796</v>
      </c>
      <c r="Q697" s="8" t="s">
        <v>3196</v>
      </c>
      <c r="R697" s="10">
        <v>20</v>
      </c>
      <c r="S697" s="10">
        <v>33058</v>
      </c>
      <c r="T697" s="10">
        <f t="shared" si="336"/>
        <v>661160</v>
      </c>
      <c r="U697" s="10">
        <f t="shared" si="337"/>
        <v>740499.20000000007</v>
      </c>
      <c r="V697" s="8"/>
      <c r="W697" s="11">
        <v>2015</v>
      </c>
      <c r="X697" s="20"/>
    </row>
    <row r="698" spans="1:24" ht="76.5" customHeight="1" outlineLevel="1" x14ac:dyDescent="0.2">
      <c r="A698" s="1" t="s">
        <v>4638</v>
      </c>
      <c r="B698" s="24" t="s">
        <v>5277</v>
      </c>
      <c r="C698" s="18" t="s">
        <v>3313</v>
      </c>
      <c r="D698" s="18" t="s">
        <v>3029</v>
      </c>
      <c r="E698" s="18" t="s">
        <v>1993</v>
      </c>
      <c r="F698" s="25"/>
      <c r="G698" s="1" t="s">
        <v>1888</v>
      </c>
      <c r="H698" s="17">
        <v>0</v>
      </c>
      <c r="I698" s="18">
        <v>710000000</v>
      </c>
      <c r="J698" s="4" t="s">
        <v>1931</v>
      </c>
      <c r="K698" s="4" t="s">
        <v>5297</v>
      </c>
      <c r="L698" s="7" t="s">
        <v>1940</v>
      </c>
      <c r="M698" s="8" t="s">
        <v>3195</v>
      </c>
      <c r="N698" s="8" t="s">
        <v>1890</v>
      </c>
      <c r="O698" s="8" t="s">
        <v>1935</v>
      </c>
      <c r="P698" s="8">
        <v>796</v>
      </c>
      <c r="Q698" s="8" t="s">
        <v>3196</v>
      </c>
      <c r="R698" s="10">
        <v>8</v>
      </c>
      <c r="S698" s="10">
        <v>77254</v>
      </c>
      <c r="T698" s="10">
        <f t="shared" si="336"/>
        <v>618032</v>
      </c>
      <c r="U698" s="10">
        <f t="shared" si="337"/>
        <v>692195.84000000008</v>
      </c>
      <c r="V698" s="8"/>
      <c r="W698" s="11">
        <v>2015</v>
      </c>
      <c r="X698" s="20"/>
    </row>
    <row r="699" spans="1:24" ht="89.25" customHeight="1" outlineLevel="1" x14ac:dyDescent="0.2">
      <c r="A699" s="1" t="s">
        <v>4639</v>
      </c>
      <c r="B699" s="24" t="s">
        <v>5277</v>
      </c>
      <c r="C699" s="18" t="s">
        <v>3314</v>
      </c>
      <c r="D699" s="18" t="s">
        <v>3029</v>
      </c>
      <c r="E699" s="18" t="s">
        <v>1994</v>
      </c>
      <c r="F699" s="25"/>
      <c r="G699" s="1" t="s">
        <v>1888</v>
      </c>
      <c r="H699" s="17">
        <v>0</v>
      </c>
      <c r="I699" s="18">
        <v>710000000</v>
      </c>
      <c r="J699" s="4" t="s">
        <v>1931</v>
      </c>
      <c r="K699" s="4" t="s">
        <v>5297</v>
      </c>
      <c r="L699" s="7" t="s">
        <v>1940</v>
      </c>
      <c r="M699" s="8" t="s">
        <v>3195</v>
      </c>
      <c r="N699" s="8" t="s">
        <v>1890</v>
      </c>
      <c r="O699" s="8" t="s">
        <v>1935</v>
      </c>
      <c r="P699" s="8">
        <v>796</v>
      </c>
      <c r="Q699" s="8" t="s">
        <v>3196</v>
      </c>
      <c r="R699" s="10">
        <v>8</v>
      </c>
      <c r="S699" s="10">
        <v>81883</v>
      </c>
      <c r="T699" s="10">
        <f t="shared" si="336"/>
        <v>655064</v>
      </c>
      <c r="U699" s="10">
        <f t="shared" si="337"/>
        <v>733671.68</v>
      </c>
      <c r="V699" s="8"/>
      <c r="W699" s="11">
        <v>2015</v>
      </c>
      <c r="X699" s="20"/>
    </row>
    <row r="700" spans="1:24" ht="76.5" customHeight="1" outlineLevel="1" x14ac:dyDescent="0.2">
      <c r="A700" s="1" t="s">
        <v>4640</v>
      </c>
      <c r="B700" s="24" t="s">
        <v>5277</v>
      </c>
      <c r="C700" s="18" t="s">
        <v>3315</v>
      </c>
      <c r="D700" s="1" t="s">
        <v>3029</v>
      </c>
      <c r="E700" s="18" t="s">
        <v>1995</v>
      </c>
      <c r="F700" s="25"/>
      <c r="G700" s="1" t="s">
        <v>1888</v>
      </c>
      <c r="H700" s="17">
        <v>0</v>
      </c>
      <c r="I700" s="18">
        <v>710000000</v>
      </c>
      <c r="J700" s="4" t="s">
        <v>1931</v>
      </c>
      <c r="K700" s="4" t="s">
        <v>5297</v>
      </c>
      <c r="L700" s="7" t="s">
        <v>1940</v>
      </c>
      <c r="M700" s="8" t="s">
        <v>3195</v>
      </c>
      <c r="N700" s="8" t="s">
        <v>1890</v>
      </c>
      <c r="O700" s="8" t="s">
        <v>1935</v>
      </c>
      <c r="P700" s="8">
        <v>796</v>
      </c>
      <c r="Q700" s="8" t="s">
        <v>3196</v>
      </c>
      <c r="R700" s="10">
        <v>12</v>
      </c>
      <c r="S700" s="10">
        <v>26061</v>
      </c>
      <c r="T700" s="10">
        <f t="shared" si="336"/>
        <v>312732</v>
      </c>
      <c r="U700" s="10">
        <f t="shared" si="337"/>
        <v>350259.84</v>
      </c>
      <c r="V700" s="8"/>
      <c r="W700" s="11">
        <v>2015</v>
      </c>
      <c r="X700" s="1"/>
    </row>
    <row r="701" spans="1:24" ht="89.25" customHeight="1" outlineLevel="1" x14ac:dyDescent="0.2">
      <c r="A701" s="1" t="s">
        <v>4641</v>
      </c>
      <c r="B701" s="24" t="s">
        <v>5277</v>
      </c>
      <c r="C701" s="18" t="s">
        <v>6397</v>
      </c>
      <c r="D701" s="18" t="s">
        <v>3029</v>
      </c>
      <c r="E701" s="18" t="s">
        <v>6396</v>
      </c>
      <c r="F701" s="25"/>
      <c r="G701" s="1" t="s">
        <v>1888</v>
      </c>
      <c r="H701" s="17">
        <v>0</v>
      </c>
      <c r="I701" s="18">
        <v>710000000</v>
      </c>
      <c r="J701" s="4" t="s">
        <v>1931</v>
      </c>
      <c r="K701" s="4" t="s">
        <v>5297</v>
      </c>
      <c r="L701" s="7" t="s">
        <v>1940</v>
      </c>
      <c r="M701" s="8" t="s">
        <v>3195</v>
      </c>
      <c r="N701" s="8" t="s">
        <v>1890</v>
      </c>
      <c r="O701" s="8" t="s">
        <v>1935</v>
      </c>
      <c r="P701" s="8">
        <v>796</v>
      </c>
      <c r="Q701" s="8" t="s">
        <v>3196</v>
      </c>
      <c r="R701" s="10">
        <v>10</v>
      </c>
      <c r="S701" s="10">
        <v>28381</v>
      </c>
      <c r="T701" s="10">
        <f t="shared" si="336"/>
        <v>283810</v>
      </c>
      <c r="U701" s="10">
        <f t="shared" si="337"/>
        <v>317867.2</v>
      </c>
      <c r="V701" s="8"/>
      <c r="W701" s="11">
        <v>2015</v>
      </c>
      <c r="X701" s="1"/>
    </row>
    <row r="702" spans="1:24" ht="76.5" customHeight="1" outlineLevel="1" x14ac:dyDescent="0.2">
      <c r="A702" s="1" t="s">
        <v>4642</v>
      </c>
      <c r="B702" s="24" t="s">
        <v>5277</v>
      </c>
      <c r="C702" s="18" t="s">
        <v>1996</v>
      </c>
      <c r="D702" s="18" t="s">
        <v>3029</v>
      </c>
      <c r="E702" s="18" t="s">
        <v>1997</v>
      </c>
      <c r="F702" s="25" t="s">
        <v>6398</v>
      </c>
      <c r="G702" s="1" t="s">
        <v>1888</v>
      </c>
      <c r="H702" s="17">
        <v>0</v>
      </c>
      <c r="I702" s="18">
        <v>710000000</v>
      </c>
      <c r="J702" s="4" t="s">
        <v>1931</v>
      </c>
      <c r="K702" s="4" t="s">
        <v>5297</v>
      </c>
      <c r="L702" s="7" t="s">
        <v>1940</v>
      </c>
      <c r="M702" s="8" t="s">
        <v>3195</v>
      </c>
      <c r="N702" s="8" t="s">
        <v>1890</v>
      </c>
      <c r="O702" s="8" t="s">
        <v>1935</v>
      </c>
      <c r="P702" s="8">
        <v>796</v>
      </c>
      <c r="Q702" s="8" t="s">
        <v>3196</v>
      </c>
      <c r="R702" s="10">
        <v>18</v>
      </c>
      <c r="S702" s="10">
        <v>26786</v>
      </c>
      <c r="T702" s="10">
        <f t="shared" si="336"/>
        <v>482148</v>
      </c>
      <c r="U702" s="10">
        <f t="shared" si="337"/>
        <v>540005.76</v>
      </c>
      <c r="V702" s="8"/>
      <c r="W702" s="11">
        <v>2015</v>
      </c>
      <c r="X702" s="20"/>
    </row>
    <row r="703" spans="1:24" ht="89.25" customHeight="1" outlineLevel="1" x14ac:dyDescent="0.2">
      <c r="A703" s="1" t="s">
        <v>4643</v>
      </c>
      <c r="B703" s="24" t="s">
        <v>5277</v>
      </c>
      <c r="C703" s="18" t="s">
        <v>6399</v>
      </c>
      <c r="D703" s="18" t="s">
        <v>3029</v>
      </c>
      <c r="E703" s="18" t="s">
        <v>6400</v>
      </c>
      <c r="F703" s="25" t="s">
        <v>6398</v>
      </c>
      <c r="G703" s="1" t="s">
        <v>1888</v>
      </c>
      <c r="H703" s="17">
        <v>0</v>
      </c>
      <c r="I703" s="18">
        <v>710000000</v>
      </c>
      <c r="J703" s="4" t="s">
        <v>1931</v>
      </c>
      <c r="K703" s="4" t="s">
        <v>5297</v>
      </c>
      <c r="L703" s="7" t="s">
        <v>1940</v>
      </c>
      <c r="M703" s="8" t="s">
        <v>3195</v>
      </c>
      <c r="N703" s="8" t="s">
        <v>1890</v>
      </c>
      <c r="O703" s="8" t="s">
        <v>1935</v>
      </c>
      <c r="P703" s="8">
        <v>796</v>
      </c>
      <c r="Q703" s="8" t="s">
        <v>3196</v>
      </c>
      <c r="R703" s="10">
        <v>18</v>
      </c>
      <c r="S703" s="10">
        <v>31429</v>
      </c>
      <c r="T703" s="10">
        <f t="shared" si="336"/>
        <v>565722</v>
      </c>
      <c r="U703" s="10">
        <f t="shared" si="337"/>
        <v>633608.64</v>
      </c>
      <c r="V703" s="8"/>
      <c r="W703" s="11">
        <v>2015</v>
      </c>
      <c r="X703" s="20"/>
    </row>
    <row r="704" spans="1:24" ht="102" customHeight="1" outlineLevel="1" x14ac:dyDescent="0.2">
      <c r="A704" s="1" t="s">
        <v>4644</v>
      </c>
      <c r="B704" s="24" t="s">
        <v>5277</v>
      </c>
      <c r="C704" s="18" t="s">
        <v>1998</v>
      </c>
      <c r="D704" s="18" t="s">
        <v>2784</v>
      </c>
      <c r="E704" s="18" t="s">
        <v>1999</v>
      </c>
      <c r="F704" s="25"/>
      <c r="G704" s="1" t="s">
        <v>1888</v>
      </c>
      <c r="H704" s="17">
        <v>0</v>
      </c>
      <c r="I704" s="18">
        <v>710000000</v>
      </c>
      <c r="J704" s="4" t="s">
        <v>1931</v>
      </c>
      <c r="K704" s="4" t="s">
        <v>5297</v>
      </c>
      <c r="L704" s="7" t="s">
        <v>1940</v>
      </c>
      <c r="M704" s="8" t="s">
        <v>3195</v>
      </c>
      <c r="N704" s="8" t="s">
        <v>1890</v>
      </c>
      <c r="O704" s="8" t="s">
        <v>1935</v>
      </c>
      <c r="P704" s="8">
        <v>796</v>
      </c>
      <c r="Q704" s="8" t="s">
        <v>3196</v>
      </c>
      <c r="R704" s="10">
        <v>6</v>
      </c>
      <c r="S704" s="10">
        <v>78125</v>
      </c>
      <c r="T704" s="10">
        <f t="shared" si="336"/>
        <v>468750</v>
      </c>
      <c r="U704" s="10">
        <f t="shared" si="337"/>
        <v>525000</v>
      </c>
      <c r="V704" s="8"/>
      <c r="W704" s="11">
        <v>2015</v>
      </c>
      <c r="X704" s="20"/>
    </row>
    <row r="705" spans="1:24" ht="76.5" customHeight="1" outlineLevel="1" x14ac:dyDescent="0.2">
      <c r="A705" s="1" t="s">
        <v>4645</v>
      </c>
      <c r="B705" s="24" t="s">
        <v>5277</v>
      </c>
      <c r="C705" s="18" t="s">
        <v>2000</v>
      </c>
      <c r="D705" s="18" t="s">
        <v>2784</v>
      </c>
      <c r="E705" s="18" t="s">
        <v>2001</v>
      </c>
      <c r="F705" s="25"/>
      <c r="G705" s="1" t="s">
        <v>1888</v>
      </c>
      <c r="H705" s="17">
        <v>0</v>
      </c>
      <c r="I705" s="18">
        <v>710000000</v>
      </c>
      <c r="J705" s="4" t="s">
        <v>1931</v>
      </c>
      <c r="K705" s="4" t="s">
        <v>5297</v>
      </c>
      <c r="L705" s="7" t="s">
        <v>1940</v>
      </c>
      <c r="M705" s="8" t="s">
        <v>3195</v>
      </c>
      <c r="N705" s="8" t="s">
        <v>1890</v>
      </c>
      <c r="O705" s="8" t="s">
        <v>1935</v>
      </c>
      <c r="P705" s="8">
        <v>796</v>
      </c>
      <c r="Q705" s="8" t="s">
        <v>3196</v>
      </c>
      <c r="R705" s="10">
        <v>8</v>
      </c>
      <c r="S705" s="10">
        <v>25000</v>
      </c>
      <c r="T705" s="10">
        <f t="shared" si="336"/>
        <v>200000</v>
      </c>
      <c r="U705" s="10">
        <f t="shared" si="337"/>
        <v>224000.00000000003</v>
      </c>
      <c r="V705" s="8"/>
      <c r="W705" s="11">
        <v>2015</v>
      </c>
      <c r="X705" s="20"/>
    </row>
    <row r="706" spans="1:24" ht="76.5" customHeight="1" outlineLevel="1" x14ac:dyDescent="0.2">
      <c r="A706" s="1" t="s">
        <v>4646</v>
      </c>
      <c r="B706" s="24" t="s">
        <v>5277</v>
      </c>
      <c r="C706" s="18" t="s">
        <v>2002</v>
      </c>
      <c r="D706" s="18" t="s">
        <v>2784</v>
      </c>
      <c r="E706" s="18" t="s">
        <v>2003</v>
      </c>
      <c r="F706" s="25"/>
      <c r="G706" s="1" t="s">
        <v>1888</v>
      </c>
      <c r="H706" s="17">
        <v>0</v>
      </c>
      <c r="I706" s="18">
        <v>710000000</v>
      </c>
      <c r="J706" s="4" t="s">
        <v>1931</v>
      </c>
      <c r="K706" s="4" t="s">
        <v>5297</v>
      </c>
      <c r="L706" s="7" t="s">
        <v>1940</v>
      </c>
      <c r="M706" s="8" t="s">
        <v>3195</v>
      </c>
      <c r="N706" s="8" t="s">
        <v>1890</v>
      </c>
      <c r="O706" s="8" t="s">
        <v>1935</v>
      </c>
      <c r="P706" s="8">
        <v>796</v>
      </c>
      <c r="Q706" s="8" t="s">
        <v>3196</v>
      </c>
      <c r="R706" s="10">
        <v>16</v>
      </c>
      <c r="S706" s="10">
        <v>66116</v>
      </c>
      <c r="T706" s="10">
        <f t="shared" si="336"/>
        <v>1057856</v>
      </c>
      <c r="U706" s="10">
        <f t="shared" si="337"/>
        <v>1184798.7200000002</v>
      </c>
      <c r="V706" s="8"/>
      <c r="W706" s="11">
        <v>2015</v>
      </c>
      <c r="X706" s="20"/>
    </row>
    <row r="707" spans="1:24" ht="76.5" customHeight="1" outlineLevel="1" x14ac:dyDescent="0.2">
      <c r="A707" s="1" t="s">
        <v>4647</v>
      </c>
      <c r="B707" s="24" t="s">
        <v>5277</v>
      </c>
      <c r="C707" s="18" t="s">
        <v>6614</v>
      </c>
      <c r="D707" s="18" t="s">
        <v>2784</v>
      </c>
      <c r="E707" s="18" t="s">
        <v>6615</v>
      </c>
      <c r="F707" s="25"/>
      <c r="G707" s="1" t="s">
        <v>1888</v>
      </c>
      <c r="H707" s="17">
        <v>0</v>
      </c>
      <c r="I707" s="18">
        <v>710000000</v>
      </c>
      <c r="J707" s="4" t="s">
        <v>1931</v>
      </c>
      <c r="K707" s="4" t="s">
        <v>5297</v>
      </c>
      <c r="L707" s="7" t="s">
        <v>1940</v>
      </c>
      <c r="M707" s="8" t="s">
        <v>3195</v>
      </c>
      <c r="N707" s="8" t="s">
        <v>1890</v>
      </c>
      <c r="O707" s="8" t="s">
        <v>1935</v>
      </c>
      <c r="P707" s="8">
        <v>796</v>
      </c>
      <c r="Q707" s="8" t="s">
        <v>3196</v>
      </c>
      <c r="R707" s="10">
        <v>16</v>
      </c>
      <c r="S707" s="10">
        <v>71884</v>
      </c>
      <c r="T707" s="10">
        <f t="shared" si="336"/>
        <v>1150144</v>
      </c>
      <c r="U707" s="10">
        <f t="shared" si="337"/>
        <v>1288161.28</v>
      </c>
      <c r="V707" s="8"/>
      <c r="W707" s="11">
        <v>2015</v>
      </c>
      <c r="X707" s="20"/>
    </row>
    <row r="708" spans="1:24" s="23" customFormat="1" ht="102" customHeight="1" outlineLevel="1" x14ac:dyDescent="0.2">
      <c r="A708" s="1" t="s">
        <v>8460</v>
      </c>
      <c r="B708" s="15" t="s">
        <v>5277</v>
      </c>
      <c r="C708" s="4" t="s">
        <v>3582</v>
      </c>
      <c r="D708" s="4" t="s">
        <v>3583</v>
      </c>
      <c r="E708" s="4" t="s">
        <v>5931</v>
      </c>
      <c r="F708" s="4"/>
      <c r="G708" s="4" t="s">
        <v>1888</v>
      </c>
      <c r="H708" s="22">
        <v>0.5</v>
      </c>
      <c r="I708" s="4">
        <v>710000000</v>
      </c>
      <c r="J708" s="4" t="s">
        <v>1931</v>
      </c>
      <c r="K708" s="4" t="s">
        <v>8400</v>
      </c>
      <c r="L708" s="4" t="s">
        <v>1889</v>
      </c>
      <c r="M708" s="8" t="s">
        <v>3195</v>
      </c>
      <c r="N708" s="4" t="s">
        <v>1890</v>
      </c>
      <c r="O708" s="8" t="s">
        <v>1935</v>
      </c>
      <c r="P708" s="4">
        <v>868</v>
      </c>
      <c r="Q708" s="4" t="s">
        <v>5521</v>
      </c>
      <c r="R708" s="10">
        <v>48</v>
      </c>
      <c r="S708" s="10">
        <v>217.5</v>
      </c>
      <c r="T708" s="10">
        <f t="shared" si="336"/>
        <v>10440</v>
      </c>
      <c r="U708" s="10">
        <f t="shared" si="337"/>
        <v>11692.800000000001</v>
      </c>
      <c r="V708" s="11"/>
      <c r="W708" s="11">
        <v>2015</v>
      </c>
      <c r="X708" s="4"/>
    </row>
    <row r="709" spans="1:24" ht="76.5" customHeight="1" outlineLevel="1" x14ac:dyDescent="0.2">
      <c r="A709" s="1" t="s">
        <v>4648</v>
      </c>
      <c r="B709" s="24" t="s">
        <v>5277</v>
      </c>
      <c r="C709" s="25" t="s">
        <v>3315</v>
      </c>
      <c r="D709" s="25" t="s">
        <v>3029</v>
      </c>
      <c r="E709" s="25" t="s">
        <v>1995</v>
      </c>
      <c r="F709" s="25" t="s">
        <v>2753</v>
      </c>
      <c r="G709" s="1" t="s">
        <v>1888</v>
      </c>
      <c r="H709" s="17">
        <v>0</v>
      </c>
      <c r="I709" s="18">
        <v>710000000</v>
      </c>
      <c r="J709" s="4" t="s">
        <v>1931</v>
      </c>
      <c r="K709" s="4" t="s">
        <v>5297</v>
      </c>
      <c r="L709" s="7" t="s">
        <v>1889</v>
      </c>
      <c r="M709" s="8" t="s">
        <v>3195</v>
      </c>
      <c r="N709" s="8" t="s">
        <v>1890</v>
      </c>
      <c r="O709" s="8" t="s">
        <v>1935</v>
      </c>
      <c r="P709" s="8">
        <v>796</v>
      </c>
      <c r="Q709" s="8" t="s">
        <v>3196</v>
      </c>
      <c r="R709" s="10">
        <v>4</v>
      </c>
      <c r="S709" s="10">
        <v>25000</v>
      </c>
      <c r="T709" s="10">
        <f t="shared" si="336"/>
        <v>100000</v>
      </c>
      <c r="U709" s="10">
        <f t="shared" si="337"/>
        <v>112000.00000000001</v>
      </c>
      <c r="V709" s="8"/>
      <c r="W709" s="11">
        <v>2015</v>
      </c>
      <c r="X709" s="20"/>
    </row>
    <row r="710" spans="1:24" ht="76.5" customHeight="1" outlineLevel="1" x14ac:dyDescent="0.2">
      <c r="A710" s="1" t="s">
        <v>4649</v>
      </c>
      <c r="B710" s="24" t="s">
        <v>5277</v>
      </c>
      <c r="C710" s="25" t="s">
        <v>3028</v>
      </c>
      <c r="D710" s="25" t="s">
        <v>3029</v>
      </c>
      <c r="E710" s="25" t="s">
        <v>2094</v>
      </c>
      <c r="F710" s="25" t="s">
        <v>2786</v>
      </c>
      <c r="G710" s="1" t="s">
        <v>1888</v>
      </c>
      <c r="H710" s="17">
        <v>0</v>
      </c>
      <c r="I710" s="18">
        <v>710000000</v>
      </c>
      <c r="J710" s="4" t="s">
        <v>1931</v>
      </c>
      <c r="K710" s="4" t="s">
        <v>5297</v>
      </c>
      <c r="L710" s="7" t="s">
        <v>1889</v>
      </c>
      <c r="M710" s="8" t="s">
        <v>3195</v>
      </c>
      <c r="N710" s="8" t="s">
        <v>1890</v>
      </c>
      <c r="O710" s="8" t="s">
        <v>1935</v>
      </c>
      <c r="P710" s="8">
        <v>796</v>
      </c>
      <c r="Q710" s="8" t="s">
        <v>3196</v>
      </c>
      <c r="R710" s="10">
        <v>4</v>
      </c>
      <c r="S710" s="10">
        <v>22231</v>
      </c>
      <c r="T710" s="10">
        <f t="shared" si="336"/>
        <v>88924</v>
      </c>
      <c r="U710" s="10">
        <f t="shared" si="337"/>
        <v>99594.880000000005</v>
      </c>
      <c r="V710" s="8"/>
      <c r="W710" s="11">
        <v>2015</v>
      </c>
      <c r="X710" s="20"/>
    </row>
    <row r="711" spans="1:24" ht="76.5" customHeight="1" outlineLevel="1" x14ac:dyDescent="0.2">
      <c r="A711" s="1" t="s">
        <v>4650</v>
      </c>
      <c r="B711" s="24" t="s">
        <v>5277</v>
      </c>
      <c r="C711" s="18" t="s">
        <v>2000</v>
      </c>
      <c r="D711" s="18" t="s">
        <v>2784</v>
      </c>
      <c r="E711" s="18" t="s">
        <v>2001</v>
      </c>
      <c r="F711" s="25" t="s">
        <v>3066</v>
      </c>
      <c r="G711" s="1" t="s">
        <v>1888</v>
      </c>
      <c r="H711" s="17">
        <v>0</v>
      </c>
      <c r="I711" s="18">
        <v>710000000</v>
      </c>
      <c r="J711" s="4" t="s">
        <v>1931</v>
      </c>
      <c r="K711" s="4" t="s">
        <v>5297</v>
      </c>
      <c r="L711" s="7" t="s">
        <v>1889</v>
      </c>
      <c r="M711" s="8" t="s">
        <v>3195</v>
      </c>
      <c r="N711" s="8" t="s">
        <v>1890</v>
      </c>
      <c r="O711" s="8" t="s">
        <v>1935</v>
      </c>
      <c r="P711" s="8">
        <v>796</v>
      </c>
      <c r="Q711" s="8" t="s">
        <v>3196</v>
      </c>
      <c r="R711" s="10">
        <v>4</v>
      </c>
      <c r="S711" s="10">
        <v>30446.5</v>
      </c>
      <c r="T711" s="10">
        <f t="shared" si="336"/>
        <v>121786</v>
      </c>
      <c r="U711" s="10">
        <f t="shared" si="337"/>
        <v>136400.32000000001</v>
      </c>
      <c r="V711" s="8"/>
      <c r="W711" s="11">
        <v>2015</v>
      </c>
      <c r="X711" s="20"/>
    </row>
    <row r="712" spans="1:24" ht="102" customHeight="1" outlineLevel="1" x14ac:dyDescent="0.2">
      <c r="A712" s="1" t="s">
        <v>4651</v>
      </c>
      <c r="B712" s="24" t="s">
        <v>5277</v>
      </c>
      <c r="C712" s="7" t="s">
        <v>2787</v>
      </c>
      <c r="D712" s="7" t="s">
        <v>2784</v>
      </c>
      <c r="E712" s="18" t="s">
        <v>5423</v>
      </c>
      <c r="F712" s="25" t="s">
        <v>2782</v>
      </c>
      <c r="G712" s="1" t="s">
        <v>1888</v>
      </c>
      <c r="H712" s="17">
        <v>0</v>
      </c>
      <c r="I712" s="18">
        <v>710000000</v>
      </c>
      <c r="J712" s="4" t="s">
        <v>1931</v>
      </c>
      <c r="K712" s="4" t="s">
        <v>5297</v>
      </c>
      <c r="L712" s="7" t="s">
        <v>1889</v>
      </c>
      <c r="M712" s="8" t="s">
        <v>3195</v>
      </c>
      <c r="N712" s="8" t="s">
        <v>1890</v>
      </c>
      <c r="O712" s="8" t="s">
        <v>1935</v>
      </c>
      <c r="P712" s="8">
        <v>796</v>
      </c>
      <c r="Q712" s="8" t="s">
        <v>3196</v>
      </c>
      <c r="R712" s="10">
        <v>10</v>
      </c>
      <c r="S712" s="10">
        <v>58035</v>
      </c>
      <c r="T712" s="10">
        <f t="shared" si="336"/>
        <v>580350</v>
      </c>
      <c r="U712" s="10">
        <f t="shared" si="337"/>
        <v>649992.00000000012</v>
      </c>
      <c r="V712" s="8"/>
      <c r="W712" s="11">
        <v>2015</v>
      </c>
      <c r="X712" s="20"/>
    </row>
    <row r="713" spans="1:24" ht="76.5" customHeight="1" outlineLevel="1" x14ac:dyDescent="0.2">
      <c r="A713" s="1" t="s">
        <v>4652</v>
      </c>
      <c r="B713" s="24" t="s">
        <v>5277</v>
      </c>
      <c r="C713" s="25" t="s">
        <v>2095</v>
      </c>
      <c r="D713" s="25" t="s">
        <v>2784</v>
      </c>
      <c r="E713" s="25" t="s">
        <v>2096</v>
      </c>
      <c r="F713" s="25" t="s">
        <v>2760</v>
      </c>
      <c r="G713" s="1" t="s">
        <v>1888</v>
      </c>
      <c r="H713" s="17">
        <v>0</v>
      </c>
      <c r="I713" s="18">
        <v>710000000</v>
      </c>
      <c r="J713" s="4" t="s">
        <v>1931</v>
      </c>
      <c r="K713" s="4" t="s">
        <v>5297</v>
      </c>
      <c r="L713" s="7" t="s">
        <v>1889</v>
      </c>
      <c r="M713" s="8" t="s">
        <v>3195</v>
      </c>
      <c r="N713" s="8" t="s">
        <v>1890</v>
      </c>
      <c r="O713" s="8" t="s">
        <v>1935</v>
      </c>
      <c r="P713" s="8">
        <v>796</v>
      </c>
      <c r="Q713" s="8" t="s">
        <v>3196</v>
      </c>
      <c r="R713" s="10">
        <v>6</v>
      </c>
      <c r="S713" s="10">
        <v>58035.67</v>
      </c>
      <c r="T713" s="10">
        <f t="shared" si="336"/>
        <v>348214.02</v>
      </c>
      <c r="U713" s="10">
        <f t="shared" si="337"/>
        <v>389999.70240000007</v>
      </c>
      <c r="V713" s="8"/>
      <c r="W713" s="11">
        <v>2015</v>
      </c>
      <c r="X713" s="20"/>
    </row>
    <row r="714" spans="1:24" ht="76.5" customHeight="1" outlineLevel="1" x14ac:dyDescent="0.2">
      <c r="A714" s="1" t="s">
        <v>4653</v>
      </c>
      <c r="B714" s="24" t="s">
        <v>5277</v>
      </c>
      <c r="C714" s="25" t="s">
        <v>2097</v>
      </c>
      <c r="D714" s="25" t="s">
        <v>3029</v>
      </c>
      <c r="E714" s="25" t="s">
        <v>2098</v>
      </c>
      <c r="F714" s="25"/>
      <c r="G714" s="1" t="s">
        <v>1888</v>
      </c>
      <c r="H714" s="17">
        <v>0</v>
      </c>
      <c r="I714" s="18">
        <v>710000000</v>
      </c>
      <c r="J714" s="4" t="s">
        <v>1931</v>
      </c>
      <c r="K714" s="4" t="s">
        <v>5297</v>
      </c>
      <c r="L714" s="7" t="s">
        <v>1889</v>
      </c>
      <c r="M714" s="8" t="s">
        <v>3195</v>
      </c>
      <c r="N714" s="8" t="s">
        <v>1890</v>
      </c>
      <c r="O714" s="8" t="s">
        <v>1935</v>
      </c>
      <c r="P714" s="8">
        <v>796</v>
      </c>
      <c r="Q714" s="8" t="s">
        <v>3196</v>
      </c>
      <c r="R714" s="10">
        <v>4</v>
      </c>
      <c r="S714" s="10">
        <v>7000</v>
      </c>
      <c r="T714" s="10">
        <f t="shared" si="336"/>
        <v>28000</v>
      </c>
      <c r="U714" s="10">
        <f t="shared" si="337"/>
        <v>31360.000000000004</v>
      </c>
      <c r="V714" s="8"/>
      <c r="W714" s="11">
        <v>2015</v>
      </c>
      <c r="X714" s="20"/>
    </row>
    <row r="715" spans="1:24" ht="76.5" customHeight="1" outlineLevel="1" x14ac:dyDescent="0.2">
      <c r="A715" s="1" t="s">
        <v>4654</v>
      </c>
      <c r="B715" s="24" t="s">
        <v>5277</v>
      </c>
      <c r="C715" s="7" t="s">
        <v>3070</v>
      </c>
      <c r="D715" s="7" t="s">
        <v>5373</v>
      </c>
      <c r="E715" s="18" t="s">
        <v>5374</v>
      </c>
      <c r="F715" s="25" t="s">
        <v>2753</v>
      </c>
      <c r="G715" s="25" t="s">
        <v>1888</v>
      </c>
      <c r="H715" s="17">
        <v>0</v>
      </c>
      <c r="I715" s="18">
        <v>710000000</v>
      </c>
      <c r="J715" s="4" t="s">
        <v>1931</v>
      </c>
      <c r="K715" s="4" t="s">
        <v>5297</v>
      </c>
      <c r="L715" s="7" t="s">
        <v>1889</v>
      </c>
      <c r="M715" s="8" t="s">
        <v>3195</v>
      </c>
      <c r="N715" s="8" t="s">
        <v>1890</v>
      </c>
      <c r="O715" s="8" t="s">
        <v>1935</v>
      </c>
      <c r="P715" s="1">
        <v>839</v>
      </c>
      <c r="Q715" s="4" t="s">
        <v>5375</v>
      </c>
      <c r="R715" s="10">
        <v>1</v>
      </c>
      <c r="S715" s="10">
        <v>4063</v>
      </c>
      <c r="T715" s="10">
        <f t="shared" si="336"/>
        <v>4063</v>
      </c>
      <c r="U715" s="10">
        <f t="shared" si="337"/>
        <v>4550.5600000000004</v>
      </c>
      <c r="V715" s="8"/>
      <c r="W715" s="11">
        <v>2015</v>
      </c>
      <c r="X715" s="20"/>
    </row>
    <row r="716" spans="1:24" ht="76.5" customHeight="1" outlineLevel="1" x14ac:dyDescent="0.2">
      <c r="A716" s="1" t="s">
        <v>4655</v>
      </c>
      <c r="B716" s="24" t="s">
        <v>5277</v>
      </c>
      <c r="C716" s="7" t="s">
        <v>3072</v>
      </c>
      <c r="D716" s="7" t="s">
        <v>5373</v>
      </c>
      <c r="E716" s="18" t="s">
        <v>5376</v>
      </c>
      <c r="F716" s="25" t="s">
        <v>2753</v>
      </c>
      <c r="G716" s="25" t="s">
        <v>1888</v>
      </c>
      <c r="H716" s="17">
        <v>0</v>
      </c>
      <c r="I716" s="18">
        <v>710000000</v>
      </c>
      <c r="J716" s="4" t="s">
        <v>1931</v>
      </c>
      <c r="K716" s="4" t="s">
        <v>5297</v>
      </c>
      <c r="L716" s="7" t="s">
        <v>1889</v>
      </c>
      <c r="M716" s="8" t="s">
        <v>3195</v>
      </c>
      <c r="N716" s="8" t="s">
        <v>1890</v>
      </c>
      <c r="O716" s="8" t="s">
        <v>1935</v>
      </c>
      <c r="P716" s="1">
        <v>839</v>
      </c>
      <c r="Q716" s="4" t="s">
        <v>5375</v>
      </c>
      <c r="R716" s="10">
        <v>1</v>
      </c>
      <c r="S716" s="10">
        <v>4063</v>
      </c>
      <c r="T716" s="10">
        <f t="shared" si="336"/>
        <v>4063</v>
      </c>
      <c r="U716" s="10">
        <f t="shared" si="337"/>
        <v>4550.5600000000004</v>
      </c>
      <c r="V716" s="8"/>
      <c r="W716" s="11">
        <v>2015</v>
      </c>
      <c r="X716" s="20"/>
    </row>
    <row r="717" spans="1:24" ht="76.5" customHeight="1" outlineLevel="1" x14ac:dyDescent="0.2">
      <c r="A717" s="1" t="s">
        <v>4656</v>
      </c>
      <c r="B717" s="24" t="s">
        <v>5277</v>
      </c>
      <c r="C717" s="25" t="s">
        <v>3308</v>
      </c>
      <c r="D717" s="25" t="s">
        <v>5392</v>
      </c>
      <c r="E717" s="25" t="s">
        <v>5364</v>
      </c>
      <c r="F717" s="25" t="s">
        <v>2753</v>
      </c>
      <c r="G717" s="25" t="s">
        <v>1888</v>
      </c>
      <c r="H717" s="17">
        <v>0</v>
      </c>
      <c r="I717" s="18">
        <v>710000000</v>
      </c>
      <c r="J717" s="4" t="s">
        <v>1931</v>
      </c>
      <c r="K717" s="4" t="s">
        <v>5297</v>
      </c>
      <c r="L717" s="7" t="s">
        <v>1889</v>
      </c>
      <c r="M717" s="8" t="s">
        <v>3195</v>
      </c>
      <c r="N717" s="8" t="s">
        <v>1890</v>
      </c>
      <c r="O717" s="8" t="s">
        <v>1935</v>
      </c>
      <c r="P717" s="8">
        <v>796</v>
      </c>
      <c r="Q717" s="8" t="s">
        <v>3196</v>
      </c>
      <c r="R717" s="10">
        <v>1</v>
      </c>
      <c r="S717" s="10">
        <v>13393</v>
      </c>
      <c r="T717" s="10">
        <f t="shared" si="336"/>
        <v>13393</v>
      </c>
      <c r="U717" s="10">
        <f t="shared" si="337"/>
        <v>15000.160000000002</v>
      </c>
      <c r="V717" s="8"/>
      <c r="W717" s="11">
        <v>2015</v>
      </c>
      <c r="X717" s="20"/>
    </row>
    <row r="718" spans="1:24" ht="76.5" customHeight="1" outlineLevel="1" x14ac:dyDescent="0.2">
      <c r="A718" s="1" t="s">
        <v>4657</v>
      </c>
      <c r="B718" s="24" t="s">
        <v>5277</v>
      </c>
      <c r="C718" s="25" t="s">
        <v>2004</v>
      </c>
      <c r="D718" s="25" t="s">
        <v>3250</v>
      </c>
      <c r="E718" s="25" t="s">
        <v>2005</v>
      </c>
      <c r="F718" s="25" t="s">
        <v>2753</v>
      </c>
      <c r="G718" s="25" t="s">
        <v>1888</v>
      </c>
      <c r="H718" s="17">
        <v>0</v>
      </c>
      <c r="I718" s="18">
        <v>710000000</v>
      </c>
      <c r="J718" s="4" t="s">
        <v>1931</v>
      </c>
      <c r="K718" s="4" t="s">
        <v>5297</v>
      </c>
      <c r="L718" s="7" t="s">
        <v>1889</v>
      </c>
      <c r="M718" s="8" t="s">
        <v>3195</v>
      </c>
      <c r="N718" s="8" t="s">
        <v>1890</v>
      </c>
      <c r="O718" s="8" t="s">
        <v>1935</v>
      </c>
      <c r="P718" s="8">
        <v>796</v>
      </c>
      <c r="Q718" s="8" t="s">
        <v>3196</v>
      </c>
      <c r="R718" s="10">
        <v>1</v>
      </c>
      <c r="S718" s="10">
        <v>30357</v>
      </c>
      <c r="T718" s="10">
        <f t="shared" si="336"/>
        <v>30357</v>
      </c>
      <c r="U718" s="10">
        <f t="shared" si="337"/>
        <v>33999.840000000004</v>
      </c>
      <c r="V718" s="8"/>
      <c r="W718" s="11">
        <v>2015</v>
      </c>
      <c r="X718" s="20"/>
    </row>
    <row r="719" spans="1:24" ht="76.5" customHeight="1" outlineLevel="1" x14ac:dyDescent="0.2">
      <c r="A719" s="1" t="s">
        <v>4658</v>
      </c>
      <c r="B719" s="24" t="s">
        <v>5277</v>
      </c>
      <c r="C719" s="25" t="s">
        <v>2006</v>
      </c>
      <c r="D719" s="25" t="s">
        <v>2007</v>
      </c>
      <c r="E719" s="25" t="s">
        <v>2008</v>
      </c>
      <c r="F719" s="25" t="s">
        <v>2009</v>
      </c>
      <c r="G719" s="25" t="s">
        <v>1888</v>
      </c>
      <c r="H719" s="17">
        <v>0</v>
      </c>
      <c r="I719" s="18">
        <v>710000000</v>
      </c>
      <c r="J719" s="4" t="s">
        <v>1931</v>
      </c>
      <c r="K719" s="4" t="s">
        <v>5297</v>
      </c>
      <c r="L719" s="7" t="s">
        <v>1889</v>
      </c>
      <c r="M719" s="8" t="s">
        <v>3195</v>
      </c>
      <c r="N719" s="8" t="s">
        <v>1890</v>
      </c>
      <c r="O719" s="8" t="s">
        <v>1935</v>
      </c>
      <c r="P719" s="8">
        <v>796</v>
      </c>
      <c r="Q719" s="8" t="s">
        <v>3196</v>
      </c>
      <c r="R719" s="10">
        <v>1</v>
      </c>
      <c r="S719" s="10">
        <v>31250</v>
      </c>
      <c r="T719" s="10">
        <f t="shared" si="336"/>
        <v>31250</v>
      </c>
      <c r="U719" s="10">
        <f t="shared" si="337"/>
        <v>35000</v>
      </c>
      <c r="V719" s="8"/>
      <c r="W719" s="11">
        <v>2015</v>
      </c>
      <c r="X719" s="20"/>
    </row>
    <row r="720" spans="1:24" ht="76.5" customHeight="1" outlineLevel="1" x14ac:dyDescent="0.2">
      <c r="A720" s="1" t="s">
        <v>4659</v>
      </c>
      <c r="B720" s="24" t="s">
        <v>5277</v>
      </c>
      <c r="C720" s="25" t="s">
        <v>2010</v>
      </c>
      <c r="D720" s="25" t="s">
        <v>5378</v>
      </c>
      <c r="E720" s="25" t="s">
        <v>6147</v>
      </c>
      <c r="F720" s="25" t="s">
        <v>2011</v>
      </c>
      <c r="G720" s="25" t="s">
        <v>1888</v>
      </c>
      <c r="H720" s="17">
        <v>0</v>
      </c>
      <c r="I720" s="18">
        <v>710000000</v>
      </c>
      <c r="J720" s="4" t="s">
        <v>1931</v>
      </c>
      <c r="K720" s="4" t="s">
        <v>5297</v>
      </c>
      <c r="L720" s="7" t="s">
        <v>1889</v>
      </c>
      <c r="M720" s="8" t="s">
        <v>3195</v>
      </c>
      <c r="N720" s="8" t="s">
        <v>1890</v>
      </c>
      <c r="O720" s="8" t="s">
        <v>1935</v>
      </c>
      <c r="P720" s="8">
        <v>796</v>
      </c>
      <c r="Q720" s="8" t="s">
        <v>3196</v>
      </c>
      <c r="R720" s="10">
        <v>2</v>
      </c>
      <c r="S720" s="10">
        <v>7143</v>
      </c>
      <c r="T720" s="10">
        <f t="shared" si="336"/>
        <v>14286</v>
      </c>
      <c r="U720" s="10">
        <f t="shared" si="337"/>
        <v>16000.320000000002</v>
      </c>
      <c r="V720" s="8"/>
      <c r="W720" s="11">
        <v>2015</v>
      </c>
      <c r="X720" s="20"/>
    </row>
    <row r="721" spans="1:24" ht="76.5" customHeight="1" outlineLevel="1" x14ac:dyDescent="0.2">
      <c r="A721" s="1" t="s">
        <v>4660</v>
      </c>
      <c r="B721" s="24" t="s">
        <v>5277</v>
      </c>
      <c r="C721" s="25" t="s">
        <v>2010</v>
      </c>
      <c r="D721" s="25" t="s">
        <v>5378</v>
      </c>
      <c r="E721" s="25" t="s">
        <v>6147</v>
      </c>
      <c r="F721" s="25" t="s">
        <v>2012</v>
      </c>
      <c r="G721" s="25" t="s">
        <v>1888</v>
      </c>
      <c r="H721" s="17">
        <v>0</v>
      </c>
      <c r="I721" s="18">
        <v>710000000</v>
      </c>
      <c r="J721" s="4" t="s">
        <v>1931</v>
      </c>
      <c r="K721" s="4" t="s">
        <v>5297</v>
      </c>
      <c r="L721" s="7" t="s">
        <v>1889</v>
      </c>
      <c r="M721" s="8" t="s">
        <v>3195</v>
      </c>
      <c r="N721" s="8" t="s">
        <v>1890</v>
      </c>
      <c r="O721" s="8" t="s">
        <v>1935</v>
      </c>
      <c r="P721" s="8">
        <v>796</v>
      </c>
      <c r="Q721" s="8" t="s">
        <v>3196</v>
      </c>
      <c r="R721" s="10">
        <v>4</v>
      </c>
      <c r="S721" s="10">
        <v>53571.5</v>
      </c>
      <c r="T721" s="10">
        <f t="shared" si="336"/>
        <v>214286</v>
      </c>
      <c r="U721" s="10">
        <f t="shared" si="337"/>
        <v>240000.32000000004</v>
      </c>
      <c r="V721" s="8"/>
      <c r="W721" s="11">
        <v>2015</v>
      </c>
      <c r="X721" s="20"/>
    </row>
    <row r="722" spans="1:24" ht="76.5" customHeight="1" outlineLevel="1" x14ac:dyDescent="0.2">
      <c r="A722" s="1" t="s">
        <v>4661</v>
      </c>
      <c r="B722" s="24" t="s">
        <v>5277</v>
      </c>
      <c r="C722" s="25" t="s">
        <v>2013</v>
      </c>
      <c r="D722" s="25" t="s">
        <v>5406</v>
      </c>
      <c r="E722" s="25" t="s">
        <v>2014</v>
      </c>
      <c r="F722" s="25" t="s">
        <v>2753</v>
      </c>
      <c r="G722" s="25" t="s">
        <v>1888</v>
      </c>
      <c r="H722" s="17">
        <v>0</v>
      </c>
      <c r="I722" s="18">
        <v>710000000</v>
      </c>
      <c r="J722" s="4" t="s">
        <v>1931</v>
      </c>
      <c r="K722" s="4" t="s">
        <v>5297</v>
      </c>
      <c r="L722" s="7" t="s">
        <v>1889</v>
      </c>
      <c r="M722" s="8" t="s">
        <v>3195</v>
      </c>
      <c r="N722" s="8" t="s">
        <v>1890</v>
      </c>
      <c r="O722" s="8" t="s">
        <v>1935</v>
      </c>
      <c r="P722" s="8">
        <v>796</v>
      </c>
      <c r="Q722" s="8" t="s">
        <v>3196</v>
      </c>
      <c r="R722" s="10">
        <v>1</v>
      </c>
      <c r="S722" s="10">
        <v>17857</v>
      </c>
      <c r="T722" s="10">
        <f t="shared" si="336"/>
        <v>17857</v>
      </c>
      <c r="U722" s="10">
        <f t="shared" si="337"/>
        <v>19999.84</v>
      </c>
      <c r="V722" s="8"/>
      <c r="W722" s="11">
        <v>2015</v>
      </c>
      <c r="X722" s="20"/>
    </row>
    <row r="723" spans="1:24" ht="76.5" customHeight="1" outlineLevel="1" x14ac:dyDescent="0.2">
      <c r="A723" s="1" t="s">
        <v>4662</v>
      </c>
      <c r="B723" s="24" t="s">
        <v>5277</v>
      </c>
      <c r="C723" s="7" t="s">
        <v>3254</v>
      </c>
      <c r="D723" s="7" t="s">
        <v>5377</v>
      </c>
      <c r="E723" s="18" t="s">
        <v>5387</v>
      </c>
      <c r="F723" s="25" t="s">
        <v>2753</v>
      </c>
      <c r="G723" s="25" t="s">
        <v>1888</v>
      </c>
      <c r="H723" s="17">
        <v>0</v>
      </c>
      <c r="I723" s="18">
        <v>710000000</v>
      </c>
      <c r="J723" s="4" t="s">
        <v>1931</v>
      </c>
      <c r="K723" s="4" t="s">
        <v>5297</v>
      </c>
      <c r="L723" s="7" t="s">
        <v>1889</v>
      </c>
      <c r="M723" s="8" t="s">
        <v>3195</v>
      </c>
      <c r="N723" s="8" t="s">
        <v>1890</v>
      </c>
      <c r="O723" s="8" t="s">
        <v>1935</v>
      </c>
      <c r="P723" s="8">
        <v>796</v>
      </c>
      <c r="Q723" s="8" t="s">
        <v>3196</v>
      </c>
      <c r="R723" s="10">
        <v>2</v>
      </c>
      <c r="S723" s="10">
        <v>16071.5</v>
      </c>
      <c r="T723" s="10">
        <f t="shared" si="336"/>
        <v>32143</v>
      </c>
      <c r="U723" s="10">
        <f t="shared" si="337"/>
        <v>36000.160000000003</v>
      </c>
      <c r="V723" s="8"/>
      <c r="W723" s="11">
        <v>2015</v>
      </c>
      <c r="X723" s="20"/>
    </row>
    <row r="724" spans="1:24" ht="76.5" customHeight="1" outlineLevel="1" x14ac:dyDescent="0.2">
      <c r="A724" s="1" t="s">
        <v>4663</v>
      </c>
      <c r="B724" s="24" t="s">
        <v>5277</v>
      </c>
      <c r="C724" s="7" t="s">
        <v>2755</v>
      </c>
      <c r="D724" s="7" t="s">
        <v>5377</v>
      </c>
      <c r="E724" s="18" t="s">
        <v>5388</v>
      </c>
      <c r="F724" s="25" t="s">
        <v>2753</v>
      </c>
      <c r="G724" s="25" t="s">
        <v>1888</v>
      </c>
      <c r="H724" s="17">
        <v>0</v>
      </c>
      <c r="I724" s="18">
        <v>710000000</v>
      </c>
      <c r="J724" s="4" t="s">
        <v>1931</v>
      </c>
      <c r="K724" s="4" t="s">
        <v>5297</v>
      </c>
      <c r="L724" s="7" t="s">
        <v>1889</v>
      </c>
      <c r="M724" s="8" t="s">
        <v>3195</v>
      </c>
      <c r="N724" s="8" t="s">
        <v>1890</v>
      </c>
      <c r="O724" s="8" t="s">
        <v>1935</v>
      </c>
      <c r="P724" s="8">
        <v>796</v>
      </c>
      <c r="Q724" s="8" t="s">
        <v>3196</v>
      </c>
      <c r="R724" s="10">
        <v>2</v>
      </c>
      <c r="S724" s="10">
        <v>14285.5</v>
      </c>
      <c r="T724" s="10">
        <f t="shared" si="336"/>
        <v>28571</v>
      </c>
      <c r="U724" s="10">
        <f t="shared" si="337"/>
        <v>31999.520000000004</v>
      </c>
      <c r="V724" s="8"/>
      <c r="W724" s="11">
        <v>2015</v>
      </c>
      <c r="X724" s="20"/>
    </row>
    <row r="725" spans="1:24" ht="76.5" customHeight="1" outlineLevel="1" x14ac:dyDescent="0.2">
      <c r="A725" s="1" t="s">
        <v>4664</v>
      </c>
      <c r="B725" s="24" t="s">
        <v>5277</v>
      </c>
      <c r="C725" s="7" t="s">
        <v>3251</v>
      </c>
      <c r="D725" s="7" t="s">
        <v>5382</v>
      </c>
      <c r="E725" s="18" t="s">
        <v>5364</v>
      </c>
      <c r="F725" s="25" t="s">
        <v>2756</v>
      </c>
      <c r="G725" s="25" t="s">
        <v>1888</v>
      </c>
      <c r="H725" s="17">
        <v>0</v>
      </c>
      <c r="I725" s="18">
        <v>710000000</v>
      </c>
      <c r="J725" s="4" t="s">
        <v>1931</v>
      </c>
      <c r="K725" s="4" t="s">
        <v>5297</v>
      </c>
      <c r="L725" s="7" t="s">
        <v>1889</v>
      </c>
      <c r="M725" s="8" t="s">
        <v>3195</v>
      </c>
      <c r="N725" s="8" t="s">
        <v>1890</v>
      </c>
      <c r="O725" s="8" t="s">
        <v>1935</v>
      </c>
      <c r="P725" s="8">
        <v>796</v>
      </c>
      <c r="Q725" s="8" t="s">
        <v>3196</v>
      </c>
      <c r="R725" s="10">
        <v>2</v>
      </c>
      <c r="S725" s="10">
        <v>2009</v>
      </c>
      <c r="T725" s="10">
        <f t="shared" si="336"/>
        <v>4018</v>
      </c>
      <c r="U725" s="10">
        <f t="shared" si="337"/>
        <v>4500.1600000000008</v>
      </c>
      <c r="V725" s="8"/>
      <c r="W725" s="11">
        <v>2015</v>
      </c>
      <c r="X725" s="20"/>
    </row>
    <row r="726" spans="1:24" ht="76.5" customHeight="1" outlineLevel="1" x14ac:dyDescent="0.2">
      <c r="A726" s="1" t="s">
        <v>4665</v>
      </c>
      <c r="B726" s="24" t="s">
        <v>5277</v>
      </c>
      <c r="C726" s="7" t="s">
        <v>3251</v>
      </c>
      <c r="D726" s="7" t="s">
        <v>5382</v>
      </c>
      <c r="E726" s="18" t="s">
        <v>5364</v>
      </c>
      <c r="F726" s="25" t="s">
        <v>2757</v>
      </c>
      <c r="G726" s="25" t="s">
        <v>1888</v>
      </c>
      <c r="H726" s="17">
        <v>0</v>
      </c>
      <c r="I726" s="18">
        <v>710000000</v>
      </c>
      <c r="J726" s="4" t="s">
        <v>1931</v>
      </c>
      <c r="K726" s="4" t="s">
        <v>5297</v>
      </c>
      <c r="L726" s="7" t="s">
        <v>1889</v>
      </c>
      <c r="M726" s="8" t="s">
        <v>3195</v>
      </c>
      <c r="N726" s="8" t="s">
        <v>1890</v>
      </c>
      <c r="O726" s="8" t="s">
        <v>1935</v>
      </c>
      <c r="P726" s="8">
        <v>796</v>
      </c>
      <c r="Q726" s="8" t="s">
        <v>3196</v>
      </c>
      <c r="R726" s="10">
        <v>2</v>
      </c>
      <c r="S726" s="10">
        <v>2009</v>
      </c>
      <c r="T726" s="10">
        <f t="shared" si="336"/>
        <v>4018</v>
      </c>
      <c r="U726" s="10">
        <f t="shared" si="337"/>
        <v>4500.1600000000008</v>
      </c>
      <c r="V726" s="8"/>
      <c r="W726" s="11">
        <v>2015</v>
      </c>
      <c r="X726" s="20"/>
    </row>
    <row r="727" spans="1:24" ht="76.5" customHeight="1" outlineLevel="1" x14ac:dyDescent="0.2">
      <c r="A727" s="1" t="s">
        <v>4666</v>
      </c>
      <c r="B727" s="24" t="s">
        <v>5277</v>
      </c>
      <c r="C727" s="7" t="s">
        <v>2769</v>
      </c>
      <c r="D727" s="7" t="s">
        <v>5411</v>
      </c>
      <c r="E727" s="18" t="s">
        <v>5412</v>
      </c>
      <c r="F727" s="25" t="s">
        <v>2753</v>
      </c>
      <c r="G727" s="25" t="s">
        <v>1888</v>
      </c>
      <c r="H727" s="17">
        <v>0</v>
      </c>
      <c r="I727" s="18">
        <v>710000000</v>
      </c>
      <c r="J727" s="4" t="s">
        <v>1931</v>
      </c>
      <c r="K727" s="4" t="s">
        <v>5297</v>
      </c>
      <c r="L727" s="7" t="s">
        <v>1889</v>
      </c>
      <c r="M727" s="8" t="s">
        <v>3195</v>
      </c>
      <c r="N727" s="8" t="s">
        <v>1890</v>
      </c>
      <c r="O727" s="8" t="s">
        <v>1935</v>
      </c>
      <c r="P727" s="1" t="s">
        <v>4121</v>
      </c>
      <c r="Q727" s="4" t="s">
        <v>5413</v>
      </c>
      <c r="R727" s="10">
        <v>1</v>
      </c>
      <c r="S727" s="10">
        <v>1518</v>
      </c>
      <c r="T727" s="10">
        <f t="shared" ref="T727:T790" si="340">S727*R727</f>
        <v>1518</v>
      </c>
      <c r="U727" s="10">
        <f t="shared" si="337"/>
        <v>1700.16</v>
      </c>
      <c r="V727" s="8"/>
      <c r="W727" s="11">
        <v>2015</v>
      </c>
      <c r="X727" s="20"/>
    </row>
    <row r="728" spans="1:24" ht="76.5" customHeight="1" outlineLevel="1" x14ac:dyDescent="0.2">
      <c r="A728" s="1" t="s">
        <v>4667</v>
      </c>
      <c r="B728" s="24" t="s">
        <v>5277</v>
      </c>
      <c r="C728" s="25" t="s">
        <v>2015</v>
      </c>
      <c r="D728" s="25" t="s">
        <v>1952</v>
      </c>
      <c r="E728" s="25" t="s">
        <v>2016</v>
      </c>
      <c r="F728" s="25" t="s">
        <v>2017</v>
      </c>
      <c r="G728" s="1" t="s">
        <v>1888</v>
      </c>
      <c r="H728" s="17">
        <v>0</v>
      </c>
      <c r="I728" s="18">
        <v>710000000</v>
      </c>
      <c r="J728" s="4" t="s">
        <v>1931</v>
      </c>
      <c r="K728" s="4" t="s">
        <v>5297</v>
      </c>
      <c r="L728" s="7" t="s">
        <v>1889</v>
      </c>
      <c r="M728" s="8" t="s">
        <v>3195</v>
      </c>
      <c r="N728" s="8" t="s">
        <v>1890</v>
      </c>
      <c r="O728" s="8" t="s">
        <v>1935</v>
      </c>
      <c r="P728" s="8">
        <v>796</v>
      </c>
      <c r="Q728" s="8" t="s">
        <v>3196</v>
      </c>
      <c r="R728" s="10">
        <v>3</v>
      </c>
      <c r="S728" s="10">
        <v>3690.33</v>
      </c>
      <c r="T728" s="10">
        <f t="shared" si="340"/>
        <v>11070.99</v>
      </c>
      <c r="U728" s="10">
        <f t="shared" si="337"/>
        <v>12399.508800000001</v>
      </c>
      <c r="V728" s="8"/>
      <c r="W728" s="11">
        <v>2015</v>
      </c>
      <c r="X728" s="20"/>
    </row>
    <row r="729" spans="1:24" ht="76.5" customHeight="1" outlineLevel="1" x14ac:dyDescent="0.2">
      <c r="A729" s="1" t="s">
        <v>4668</v>
      </c>
      <c r="B729" s="24" t="s">
        <v>5277</v>
      </c>
      <c r="C729" s="7" t="s">
        <v>2762</v>
      </c>
      <c r="D729" s="7" t="s">
        <v>5403</v>
      </c>
      <c r="E729" s="18" t="s">
        <v>9886</v>
      </c>
      <c r="F729" s="25" t="s">
        <v>2760</v>
      </c>
      <c r="G729" s="1" t="s">
        <v>1888</v>
      </c>
      <c r="H729" s="17">
        <v>0</v>
      </c>
      <c r="I729" s="18">
        <v>710000000</v>
      </c>
      <c r="J729" s="4" t="s">
        <v>1931</v>
      </c>
      <c r="K729" s="4" t="s">
        <v>5297</v>
      </c>
      <c r="L729" s="7" t="s">
        <v>1889</v>
      </c>
      <c r="M729" s="8" t="s">
        <v>3195</v>
      </c>
      <c r="N729" s="8" t="s">
        <v>1890</v>
      </c>
      <c r="O729" s="8" t="s">
        <v>1935</v>
      </c>
      <c r="P729" s="8">
        <v>796</v>
      </c>
      <c r="Q729" s="8" t="s">
        <v>3196</v>
      </c>
      <c r="R729" s="10">
        <v>2</v>
      </c>
      <c r="S729" s="10">
        <v>893</v>
      </c>
      <c r="T729" s="10">
        <f t="shared" si="340"/>
        <v>1786</v>
      </c>
      <c r="U729" s="10">
        <f t="shared" si="337"/>
        <v>2000.3200000000002</v>
      </c>
      <c r="V729" s="8"/>
      <c r="W729" s="11">
        <v>2015</v>
      </c>
      <c r="X729" s="20"/>
    </row>
    <row r="730" spans="1:24" ht="76.5" customHeight="1" outlineLevel="1" x14ac:dyDescent="0.2">
      <c r="A730" s="1" t="s">
        <v>4669</v>
      </c>
      <c r="B730" s="24" t="s">
        <v>5277</v>
      </c>
      <c r="C730" s="18" t="s">
        <v>2018</v>
      </c>
      <c r="D730" s="18" t="s">
        <v>5373</v>
      </c>
      <c r="E730" s="18" t="s">
        <v>2019</v>
      </c>
      <c r="F730" s="25" t="s">
        <v>2760</v>
      </c>
      <c r="G730" s="1" t="s">
        <v>1888</v>
      </c>
      <c r="H730" s="17">
        <v>0</v>
      </c>
      <c r="I730" s="18">
        <v>710000000</v>
      </c>
      <c r="J730" s="4" t="s">
        <v>1931</v>
      </c>
      <c r="K730" s="4" t="s">
        <v>5297</v>
      </c>
      <c r="L730" s="7" t="s">
        <v>1889</v>
      </c>
      <c r="M730" s="8" t="s">
        <v>3195</v>
      </c>
      <c r="N730" s="8" t="s">
        <v>1890</v>
      </c>
      <c r="O730" s="8" t="s">
        <v>1935</v>
      </c>
      <c r="P730" s="1">
        <v>839</v>
      </c>
      <c r="Q730" s="4" t="s">
        <v>5413</v>
      </c>
      <c r="R730" s="10">
        <v>2</v>
      </c>
      <c r="S730" s="10">
        <v>12053</v>
      </c>
      <c r="T730" s="10">
        <f t="shared" si="340"/>
        <v>24106</v>
      </c>
      <c r="U730" s="10">
        <f t="shared" si="337"/>
        <v>26998.720000000001</v>
      </c>
      <c r="V730" s="8"/>
      <c r="W730" s="11">
        <v>2015</v>
      </c>
      <c r="X730" s="20"/>
    </row>
    <row r="731" spans="1:24" ht="76.5" customHeight="1" outlineLevel="1" x14ac:dyDescent="0.2">
      <c r="A731" s="1" t="s">
        <v>4670</v>
      </c>
      <c r="B731" s="24" t="s">
        <v>5277</v>
      </c>
      <c r="C731" s="18" t="s">
        <v>2754</v>
      </c>
      <c r="D731" s="18" t="s">
        <v>5373</v>
      </c>
      <c r="E731" s="18" t="s">
        <v>5400</v>
      </c>
      <c r="F731" s="25" t="s">
        <v>2760</v>
      </c>
      <c r="G731" s="1" t="s">
        <v>1888</v>
      </c>
      <c r="H731" s="17">
        <v>0</v>
      </c>
      <c r="I731" s="18">
        <v>710000000</v>
      </c>
      <c r="J731" s="4" t="s">
        <v>1931</v>
      </c>
      <c r="K731" s="4" t="s">
        <v>5297</v>
      </c>
      <c r="L731" s="7" t="s">
        <v>1889</v>
      </c>
      <c r="M731" s="8" t="s">
        <v>3195</v>
      </c>
      <c r="N731" s="8" t="s">
        <v>1890</v>
      </c>
      <c r="O731" s="8" t="s">
        <v>1935</v>
      </c>
      <c r="P731" s="1">
        <v>839</v>
      </c>
      <c r="Q731" s="4" t="s">
        <v>5413</v>
      </c>
      <c r="R731" s="10">
        <v>1</v>
      </c>
      <c r="S731" s="10">
        <v>8036</v>
      </c>
      <c r="T731" s="10">
        <f t="shared" si="340"/>
        <v>8036</v>
      </c>
      <c r="U731" s="10">
        <f t="shared" si="337"/>
        <v>9000.3200000000015</v>
      </c>
      <c r="V731" s="8"/>
      <c r="W731" s="11">
        <v>2015</v>
      </c>
      <c r="X731" s="20"/>
    </row>
    <row r="732" spans="1:24" ht="76.5" customHeight="1" outlineLevel="1" x14ac:dyDescent="0.2">
      <c r="A732" s="1" t="s">
        <v>4671</v>
      </c>
      <c r="B732" s="24" t="s">
        <v>5277</v>
      </c>
      <c r="C732" s="7" t="s">
        <v>2764</v>
      </c>
      <c r="D732" s="7" t="s">
        <v>5403</v>
      </c>
      <c r="E732" s="24" t="s">
        <v>9887</v>
      </c>
      <c r="F732" s="25" t="s">
        <v>2760</v>
      </c>
      <c r="G732" s="1" t="s">
        <v>1888</v>
      </c>
      <c r="H732" s="17">
        <v>0</v>
      </c>
      <c r="I732" s="18">
        <v>710000000</v>
      </c>
      <c r="J732" s="4" t="s">
        <v>1931</v>
      </c>
      <c r="K732" s="4" t="s">
        <v>5297</v>
      </c>
      <c r="L732" s="7" t="s">
        <v>1889</v>
      </c>
      <c r="M732" s="8" t="s">
        <v>3195</v>
      </c>
      <c r="N732" s="8" t="s">
        <v>1890</v>
      </c>
      <c r="O732" s="8" t="s">
        <v>1935</v>
      </c>
      <c r="P732" s="8">
        <v>796</v>
      </c>
      <c r="Q732" s="8" t="s">
        <v>3196</v>
      </c>
      <c r="R732" s="10">
        <v>2</v>
      </c>
      <c r="S732" s="10">
        <v>1785</v>
      </c>
      <c r="T732" s="10">
        <f t="shared" si="340"/>
        <v>3570</v>
      </c>
      <c r="U732" s="10">
        <f t="shared" ref="U732:U795" si="341">T732*1.12</f>
        <v>3998.4000000000005</v>
      </c>
      <c r="V732" s="8"/>
      <c r="W732" s="11">
        <v>2015</v>
      </c>
      <c r="X732" s="20"/>
    </row>
    <row r="733" spans="1:24" ht="76.5" customHeight="1" outlineLevel="1" x14ac:dyDescent="0.2">
      <c r="A733" s="1" t="s">
        <v>4672</v>
      </c>
      <c r="B733" s="24" t="s">
        <v>5277</v>
      </c>
      <c r="C733" s="7" t="s">
        <v>2759</v>
      </c>
      <c r="D733" s="7" t="s">
        <v>5403</v>
      </c>
      <c r="E733" s="24" t="s">
        <v>9888</v>
      </c>
      <c r="F733" s="25" t="s">
        <v>2020</v>
      </c>
      <c r="G733" s="1" t="s">
        <v>1888</v>
      </c>
      <c r="H733" s="17">
        <v>0</v>
      </c>
      <c r="I733" s="18">
        <v>710000000</v>
      </c>
      <c r="J733" s="4" t="s">
        <v>1931</v>
      </c>
      <c r="K733" s="4" t="s">
        <v>5297</v>
      </c>
      <c r="L733" s="7" t="s">
        <v>1889</v>
      </c>
      <c r="M733" s="8" t="s">
        <v>3195</v>
      </c>
      <c r="N733" s="8" t="s">
        <v>1890</v>
      </c>
      <c r="O733" s="8" t="s">
        <v>1935</v>
      </c>
      <c r="P733" s="8">
        <v>796</v>
      </c>
      <c r="Q733" s="8" t="s">
        <v>3196</v>
      </c>
      <c r="R733" s="10">
        <v>2</v>
      </c>
      <c r="S733" s="10">
        <v>1785</v>
      </c>
      <c r="T733" s="10">
        <f t="shared" si="340"/>
        <v>3570</v>
      </c>
      <c r="U733" s="10">
        <f t="shared" si="341"/>
        <v>3998.4000000000005</v>
      </c>
      <c r="V733" s="8"/>
      <c r="W733" s="11">
        <v>2015</v>
      </c>
      <c r="X733" s="20"/>
    </row>
    <row r="734" spans="1:24" ht="76.5" customHeight="1" outlineLevel="1" x14ac:dyDescent="0.2">
      <c r="A734" s="1" t="s">
        <v>4673</v>
      </c>
      <c r="B734" s="24" t="s">
        <v>5277</v>
      </c>
      <c r="C734" s="25" t="s">
        <v>2021</v>
      </c>
      <c r="D734" s="25" t="s">
        <v>5403</v>
      </c>
      <c r="E734" s="25" t="s">
        <v>2022</v>
      </c>
      <c r="F734" s="25" t="s">
        <v>2760</v>
      </c>
      <c r="G734" s="1" t="s">
        <v>1888</v>
      </c>
      <c r="H734" s="17">
        <v>0</v>
      </c>
      <c r="I734" s="18">
        <v>710000000</v>
      </c>
      <c r="J734" s="4" t="s">
        <v>1931</v>
      </c>
      <c r="K734" s="4" t="s">
        <v>5297</v>
      </c>
      <c r="L734" s="7" t="s">
        <v>1889</v>
      </c>
      <c r="M734" s="8" t="s">
        <v>3195</v>
      </c>
      <c r="N734" s="8" t="s">
        <v>1890</v>
      </c>
      <c r="O734" s="8" t="s">
        <v>1935</v>
      </c>
      <c r="P734" s="8">
        <v>796</v>
      </c>
      <c r="Q734" s="8" t="s">
        <v>3196</v>
      </c>
      <c r="R734" s="10">
        <v>2</v>
      </c>
      <c r="S734" s="10">
        <v>1785</v>
      </c>
      <c r="T734" s="10">
        <f t="shared" si="340"/>
        <v>3570</v>
      </c>
      <c r="U734" s="10">
        <f t="shared" si="341"/>
        <v>3998.4000000000005</v>
      </c>
      <c r="V734" s="8"/>
      <c r="W734" s="11">
        <v>2015</v>
      </c>
      <c r="X734" s="20"/>
    </row>
    <row r="735" spans="1:24" ht="76.5" customHeight="1" outlineLevel="1" x14ac:dyDescent="0.2">
      <c r="A735" s="1" t="s">
        <v>4674</v>
      </c>
      <c r="B735" s="24" t="s">
        <v>5277</v>
      </c>
      <c r="C735" s="25" t="s">
        <v>2023</v>
      </c>
      <c r="D735" s="25" t="s">
        <v>5403</v>
      </c>
      <c r="E735" s="25" t="s">
        <v>9889</v>
      </c>
      <c r="F735" s="25" t="s">
        <v>2760</v>
      </c>
      <c r="G735" s="1" t="s">
        <v>1888</v>
      </c>
      <c r="H735" s="17">
        <v>0</v>
      </c>
      <c r="I735" s="18">
        <v>710000000</v>
      </c>
      <c r="J735" s="4" t="s">
        <v>1931</v>
      </c>
      <c r="K735" s="4" t="s">
        <v>5297</v>
      </c>
      <c r="L735" s="7" t="s">
        <v>1889</v>
      </c>
      <c r="M735" s="8" t="s">
        <v>3195</v>
      </c>
      <c r="N735" s="8" t="s">
        <v>1890</v>
      </c>
      <c r="O735" s="8" t="s">
        <v>1935</v>
      </c>
      <c r="P735" s="8">
        <v>796</v>
      </c>
      <c r="Q735" s="8" t="s">
        <v>3196</v>
      </c>
      <c r="R735" s="10">
        <v>2</v>
      </c>
      <c r="S735" s="10">
        <v>1785</v>
      </c>
      <c r="T735" s="10">
        <f t="shared" si="340"/>
        <v>3570</v>
      </c>
      <c r="U735" s="10">
        <f t="shared" si="341"/>
        <v>3998.4000000000005</v>
      </c>
      <c r="V735" s="8"/>
      <c r="W735" s="11">
        <v>2015</v>
      </c>
      <c r="X735" s="20"/>
    </row>
    <row r="736" spans="1:24" ht="76.5" customHeight="1" outlineLevel="1" x14ac:dyDescent="0.2">
      <c r="A736" s="1" t="s">
        <v>4675</v>
      </c>
      <c r="B736" s="24" t="s">
        <v>5277</v>
      </c>
      <c r="C736" s="7" t="s">
        <v>2765</v>
      </c>
      <c r="D736" s="7" t="s">
        <v>5407</v>
      </c>
      <c r="E736" s="18" t="s">
        <v>5408</v>
      </c>
      <c r="F736" s="25" t="s">
        <v>2766</v>
      </c>
      <c r="G736" s="1" t="s">
        <v>1888</v>
      </c>
      <c r="H736" s="17">
        <v>0</v>
      </c>
      <c r="I736" s="18">
        <v>710000000</v>
      </c>
      <c r="J736" s="4" t="s">
        <v>1931</v>
      </c>
      <c r="K736" s="4" t="s">
        <v>5297</v>
      </c>
      <c r="L736" s="7" t="s">
        <v>1889</v>
      </c>
      <c r="M736" s="8" t="s">
        <v>3195</v>
      </c>
      <c r="N736" s="8" t="s">
        <v>1890</v>
      </c>
      <c r="O736" s="8" t="s">
        <v>1935</v>
      </c>
      <c r="P736" s="8">
        <v>796</v>
      </c>
      <c r="Q736" s="8" t="s">
        <v>3196</v>
      </c>
      <c r="R736" s="10">
        <v>1</v>
      </c>
      <c r="S736" s="10">
        <v>14732</v>
      </c>
      <c r="T736" s="10">
        <f t="shared" si="340"/>
        <v>14732</v>
      </c>
      <c r="U736" s="10">
        <f t="shared" si="341"/>
        <v>16499.84</v>
      </c>
      <c r="V736" s="8"/>
      <c r="W736" s="11">
        <v>2015</v>
      </c>
      <c r="X736" s="20"/>
    </row>
    <row r="737" spans="1:24" ht="76.5" customHeight="1" outlineLevel="1" x14ac:dyDescent="0.2">
      <c r="A737" s="1" t="s">
        <v>4676</v>
      </c>
      <c r="B737" s="24" t="s">
        <v>5277</v>
      </c>
      <c r="C737" s="7" t="s">
        <v>2768</v>
      </c>
      <c r="D737" s="7" t="s">
        <v>5403</v>
      </c>
      <c r="E737" s="18" t="s">
        <v>5409</v>
      </c>
      <c r="F737" s="25" t="s">
        <v>2767</v>
      </c>
      <c r="G737" s="1" t="s">
        <v>1888</v>
      </c>
      <c r="H737" s="17">
        <v>0</v>
      </c>
      <c r="I737" s="18">
        <v>710000000</v>
      </c>
      <c r="J737" s="4" t="s">
        <v>1931</v>
      </c>
      <c r="K737" s="4" t="s">
        <v>5297</v>
      </c>
      <c r="L737" s="7" t="s">
        <v>1889</v>
      </c>
      <c r="M737" s="8" t="s">
        <v>3195</v>
      </c>
      <c r="N737" s="8" t="s">
        <v>1890</v>
      </c>
      <c r="O737" s="8" t="s">
        <v>1935</v>
      </c>
      <c r="P737" s="8">
        <v>796</v>
      </c>
      <c r="Q737" s="8" t="s">
        <v>3196</v>
      </c>
      <c r="R737" s="10">
        <v>2</v>
      </c>
      <c r="S737" s="10">
        <v>1250</v>
      </c>
      <c r="T737" s="10">
        <f t="shared" si="340"/>
        <v>2500</v>
      </c>
      <c r="U737" s="10">
        <f t="shared" si="341"/>
        <v>2800.0000000000005</v>
      </c>
      <c r="V737" s="8"/>
      <c r="W737" s="11">
        <v>2015</v>
      </c>
      <c r="X737" s="20"/>
    </row>
    <row r="738" spans="1:24" ht="76.5" customHeight="1" outlineLevel="1" x14ac:dyDescent="0.2">
      <c r="A738" s="1" t="s">
        <v>4677</v>
      </c>
      <c r="B738" s="24" t="s">
        <v>5277</v>
      </c>
      <c r="C738" s="18" t="s">
        <v>1988</v>
      </c>
      <c r="D738" s="18" t="s">
        <v>5411</v>
      </c>
      <c r="E738" s="18" t="s">
        <v>5412</v>
      </c>
      <c r="F738" s="25" t="s">
        <v>2767</v>
      </c>
      <c r="G738" s="1" t="s">
        <v>1888</v>
      </c>
      <c r="H738" s="17">
        <v>0</v>
      </c>
      <c r="I738" s="18">
        <v>710000000</v>
      </c>
      <c r="J738" s="4" t="s">
        <v>1931</v>
      </c>
      <c r="K738" s="4" t="s">
        <v>5297</v>
      </c>
      <c r="L738" s="7" t="s">
        <v>1889</v>
      </c>
      <c r="M738" s="8" t="s">
        <v>3195</v>
      </c>
      <c r="N738" s="8" t="s">
        <v>1890</v>
      </c>
      <c r="O738" s="8" t="s">
        <v>1935</v>
      </c>
      <c r="P738" s="8">
        <v>796</v>
      </c>
      <c r="Q738" s="8" t="s">
        <v>3196</v>
      </c>
      <c r="R738" s="10">
        <v>4</v>
      </c>
      <c r="S738" s="10">
        <v>892.75</v>
      </c>
      <c r="T738" s="10">
        <f t="shared" si="340"/>
        <v>3571</v>
      </c>
      <c r="U738" s="10">
        <f t="shared" si="341"/>
        <v>3999.5200000000004</v>
      </c>
      <c r="V738" s="8"/>
      <c r="W738" s="11">
        <v>2015</v>
      </c>
      <c r="X738" s="20"/>
    </row>
    <row r="739" spans="1:24" ht="76.5" customHeight="1" outlineLevel="1" x14ac:dyDescent="0.2">
      <c r="A739" s="1" t="s">
        <v>4678</v>
      </c>
      <c r="B739" s="24" t="s">
        <v>5277</v>
      </c>
      <c r="C739" s="25" t="s">
        <v>2780</v>
      </c>
      <c r="D739" s="25" t="s">
        <v>2781</v>
      </c>
      <c r="E739" s="25" t="s">
        <v>5364</v>
      </c>
      <c r="F739" s="25" t="s">
        <v>2767</v>
      </c>
      <c r="G739" s="1" t="s">
        <v>1888</v>
      </c>
      <c r="H739" s="17">
        <v>0</v>
      </c>
      <c r="I739" s="18">
        <v>710000000</v>
      </c>
      <c r="J739" s="4" t="s">
        <v>1931</v>
      </c>
      <c r="K739" s="4" t="s">
        <v>5297</v>
      </c>
      <c r="L739" s="7" t="s">
        <v>1889</v>
      </c>
      <c r="M739" s="8" t="s">
        <v>3195</v>
      </c>
      <c r="N739" s="8" t="s">
        <v>1890</v>
      </c>
      <c r="O739" s="8" t="s">
        <v>1935</v>
      </c>
      <c r="P739" s="8">
        <v>796</v>
      </c>
      <c r="Q739" s="8" t="s">
        <v>3196</v>
      </c>
      <c r="R739" s="10">
        <v>1</v>
      </c>
      <c r="S739" s="10">
        <v>23214</v>
      </c>
      <c r="T739" s="10">
        <f t="shared" si="340"/>
        <v>23214</v>
      </c>
      <c r="U739" s="10">
        <f t="shared" si="341"/>
        <v>25999.680000000004</v>
      </c>
      <c r="V739" s="8"/>
      <c r="W739" s="11">
        <v>2015</v>
      </c>
      <c r="X739" s="20"/>
    </row>
    <row r="740" spans="1:24" ht="76.5" customHeight="1" outlineLevel="1" x14ac:dyDescent="0.2">
      <c r="A740" s="1" t="s">
        <v>4679</v>
      </c>
      <c r="B740" s="24" t="s">
        <v>5277</v>
      </c>
      <c r="C740" s="25" t="s">
        <v>3070</v>
      </c>
      <c r="D740" s="25" t="s">
        <v>5373</v>
      </c>
      <c r="E740" s="25" t="s">
        <v>2024</v>
      </c>
      <c r="F740" s="25" t="s">
        <v>2767</v>
      </c>
      <c r="G740" s="1" t="s">
        <v>1888</v>
      </c>
      <c r="H740" s="17">
        <v>0</v>
      </c>
      <c r="I740" s="18">
        <v>710000000</v>
      </c>
      <c r="J740" s="4" t="s">
        <v>1931</v>
      </c>
      <c r="K740" s="4" t="s">
        <v>5297</v>
      </c>
      <c r="L740" s="7" t="s">
        <v>1889</v>
      </c>
      <c r="M740" s="8" t="s">
        <v>3195</v>
      </c>
      <c r="N740" s="8" t="s">
        <v>1890</v>
      </c>
      <c r="O740" s="8" t="s">
        <v>1935</v>
      </c>
      <c r="P740" s="1">
        <v>839</v>
      </c>
      <c r="Q740" s="4" t="s">
        <v>5413</v>
      </c>
      <c r="R740" s="10">
        <v>1</v>
      </c>
      <c r="S740" s="10">
        <v>3125</v>
      </c>
      <c r="T740" s="10">
        <f t="shared" si="340"/>
        <v>3125</v>
      </c>
      <c r="U740" s="10">
        <f t="shared" si="341"/>
        <v>3500.0000000000005</v>
      </c>
      <c r="V740" s="8"/>
      <c r="W740" s="11">
        <v>2015</v>
      </c>
      <c r="X740" s="20"/>
    </row>
    <row r="741" spans="1:24" ht="76.5" customHeight="1" outlineLevel="1" x14ac:dyDescent="0.2">
      <c r="A741" s="1" t="s">
        <v>4680</v>
      </c>
      <c r="B741" s="24" t="s">
        <v>5277</v>
      </c>
      <c r="C741" s="25" t="s">
        <v>2025</v>
      </c>
      <c r="D741" s="25" t="s">
        <v>2026</v>
      </c>
      <c r="E741" s="25" t="s">
        <v>5364</v>
      </c>
      <c r="F741" s="25" t="s">
        <v>2766</v>
      </c>
      <c r="G741" s="1" t="s">
        <v>1888</v>
      </c>
      <c r="H741" s="17">
        <v>0</v>
      </c>
      <c r="I741" s="18">
        <v>710000000</v>
      </c>
      <c r="J741" s="4" t="s">
        <v>1931</v>
      </c>
      <c r="K741" s="4" t="s">
        <v>5297</v>
      </c>
      <c r="L741" s="7" t="s">
        <v>1889</v>
      </c>
      <c r="M741" s="8" t="s">
        <v>3195</v>
      </c>
      <c r="N741" s="8" t="s">
        <v>1890</v>
      </c>
      <c r="O741" s="8" t="s">
        <v>1935</v>
      </c>
      <c r="P741" s="8">
        <v>796</v>
      </c>
      <c r="Q741" s="8" t="s">
        <v>3196</v>
      </c>
      <c r="R741" s="10">
        <v>1</v>
      </c>
      <c r="S741" s="10">
        <v>6696</v>
      </c>
      <c r="T741" s="10">
        <f t="shared" si="340"/>
        <v>6696</v>
      </c>
      <c r="U741" s="10">
        <f t="shared" si="341"/>
        <v>7499.52</v>
      </c>
      <c r="V741" s="8"/>
      <c r="W741" s="11">
        <v>2015</v>
      </c>
      <c r="X741" s="20"/>
    </row>
    <row r="742" spans="1:24" ht="76.5" customHeight="1" outlineLevel="1" x14ac:dyDescent="0.2">
      <c r="A742" s="1" t="s">
        <v>4681</v>
      </c>
      <c r="B742" s="24" t="s">
        <v>5277</v>
      </c>
      <c r="C742" s="25" t="s">
        <v>2027</v>
      </c>
      <c r="D742" s="25" t="s">
        <v>5411</v>
      </c>
      <c r="E742" s="25" t="s">
        <v>2028</v>
      </c>
      <c r="F742" s="25" t="s">
        <v>2770</v>
      </c>
      <c r="G742" s="1" t="s">
        <v>1888</v>
      </c>
      <c r="H742" s="17">
        <v>0</v>
      </c>
      <c r="I742" s="18">
        <v>710000000</v>
      </c>
      <c r="J742" s="4" t="s">
        <v>1931</v>
      </c>
      <c r="K742" s="4" t="s">
        <v>5297</v>
      </c>
      <c r="L742" s="7" t="s">
        <v>1889</v>
      </c>
      <c r="M742" s="8" t="s">
        <v>3195</v>
      </c>
      <c r="N742" s="8" t="s">
        <v>1890</v>
      </c>
      <c r="O742" s="8" t="s">
        <v>1935</v>
      </c>
      <c r="P742" s="8">
        <v>796</v>
      </c>
      <c r="Q742" s="8" t="s">
        <v>3196</v>
      </c>
      <c r="R742" s="10">
        <v>4</v>
      </c>
      <c r="S742" s="10">
        <v>892.75</v>
      </c>
      <c r="T742" s="10">
        <f t="shared" si="340"/>
        <v>3571</v>
      </c>
      <c r="U742" s="10">
        <f t="shared" si="341"/>
        <v>3999.5200000000004</v>
      </c>
      <c r="V742" s="8"/>
      <c r="W742" s="11">
        <v>2015</v>
      </c>
      <c r="X742" s="20"/>
    </row>
    <row r="743" spans="1:24" ht="76.5" customHeight="1" outlineLevel="1" x14ac:dyDescent="0.2">
      <c r="A743" s="1" t="s">
        <v>4682</v>
      </c>
      <c r="B743" s="24" t="s">
        <v>5277</v>
      </c>
      <c r="C743" s="7" t="s">
        <v>2755</v>
      </c>
      <c r="D743" s="7" t="s">
        <v>5377</v>
      </c>
      <c r="E743" s="18" t="s">
        <v>5388</v>
      </c>
      <c r="F743" s="25" t="s">
        <v>2770</v>
      </c>
      <c r="G743" s="1" t="s">
        <v>1888</v>
      </c>
      <c r="H743" s="17">
        <v>0</v>
      </c>
      <c r="I743" s="18">
        <v>710000000</v>
      </c>
      <c r="J743" s="4" t="s">
        <v>1931</v>
      </c>
      <c r="K743" s="4" t="s">
        <v>5297</v>
      </c>
      <c r="L743" s="7" t="s">
        <v>1889</v>
      </c>
      <c r="M743" s="8" t="s">
        <v>3195</v>
      </c>
      <c r="N743" s="8" t="s">
        <v>1890</v>
      </c>
      <c r="O743" s="8" t="s">
        <v>1935</v>
      </c>
      <c r="P743" s="8">
        <v>796</v>
      </c>
      <c r="Q743" s="8" t="s">
        <v>3196</v>
      </c>
      <c r="R743" s="10">
        <v>2</v>
      </c>
      <c r="S743" s="10">
        <v>2500</v>
      </c>
      <c r="T743" s="10">
        <f t="shared" si="340"/>
        <v>5000</v>
      </c>
      <c r="U743" s="10">
        <f t="shared" si="341"/>
        <v>5600.0000000000009</v>
      </c>
      <c r="V743" s="8"/>
      <c r="W743" s="11">
        <v>2015</v>
      </c>
      <c r="X743" s="20"/>
    </row>
    <row r="744" spans="1:24" ht="76.5" customHeight="1" outlineLevel="1" x14ac:dyDescent="0.2">
      <c r="A744" s="1" t="s">
        <v>4683</v>
      </c>
      <c r="B744" s="24" t="s">
        <v>5277</v>
      </c>
      <c r="C744" s="7" t="s">
        <v>3310</v>
      </c>
      <c r="D744" s="7" t="s">
        <v>5389</v>
      </c>
      <c r="E744" s="18" t="s">
        <v>5395</v>
      </c>
      <c r="F744" s="25" t="s">
        <v>2770</v>
      </c>
      <c r="G744" s="1" t="s">
        <v>1888</v>
      </c>
      <c r="H744" s="17">
        <v>0</v>
      </c>
      <c r="I744" s="18">
        <v>710000000</v>
      </c>
      <c r="J744" s="4" t="s">
        <v>1931</v>
      </c>
      <c r="K744" s="4" t="s">
        <v>5297</v>
      </c>
      <c r="L744" s="7" t="s">
        <v>1889</v>
      </c>
      <c r="M744" s="8" t="s">
        <v>3195</v>
      </c>
      <c r="N744" s="8" t="s">
        <v>1890</v>
      </c>
      <c r="O744" s="8" t="s">
        <v>1935</v>
      </c>
      <c r="P744" s="8">
        <v>796</v>
      </c>
      <c r="Q744" s="8" t="s">
        <v>3196</v>
      </c>
      <c r="R744" s="10">
        <v>1</v>
      </c>
      <c r="S744" s="10">
        <v>1786</v>
      </c>
      <c r="T744" s="10">
        <f t="shared" si="340"/>
        <v>1786</v>
      </c>
      <c r="U744" s="10">
        <f t="shared" si="341"/>
        <v>2000.3200000000002</v>
      </c>
      <c r="V744" s="8"/>
      <c r="W744" s="11">
        <v>2015</v>
      </c>
      <c r="X744" s="20"/>
    </row>
    <row r="745" spans="1:24" ht="76.5" customHeight="1" outlineLevel="1" x14ac:dyDescent="0.2">
      <c r="A745" s="1" t="s">
        <v>4684</v>
      </c>
      <c r="B745" s="24" t="s">
        <v>5277</v>
      </c>
      <c r="C745" s="18" t="s">
        <v>2754</v>
      </c>
      <c r="D745" s="18" t="s">
        <v>5373</v>
      </c>
      <c r="E745" s="18" t="s">
        <v>5400</v>
      </c>
      <c r="F745" s="25" t="s">
        <v>2770</v>
      </c>
      <c r="G745" s="1" t="s">
        <v>1888</v>
      </c>
      <c r="H745" s="17">
        <v>0</v>
      </c>
      <c r="I745" s="18">
        <v>710000000</v>
      </c>
      <c r="J745" s="4" t="s">
        <v>1931</v>
      </c>
      <c r="K745" s="4" t="s">
        <v>5297</v>
      </c>
      <c r="L745" s="7" t="s">
        <v>1889</v>
      </c>
      <c r="M745" s="8" t="s">
        <v>3195</v>
      </c>
      <c r="N745" s="8" t="s">
        <v>1890</v>
      </c>
      <c r="O745" s="8" t="s">
        <v>1935</v>
      </c>
      <c r="P745" s="1">
        <v>839</v>
      </c>
      <c r="Q745" s="4" t="s">
        <v>5375</v>
      </c>
      <c r="R745" s="10">
        <v>1</v>
      </c>
      <c r="S745" s="10">
        <v>4411</v>
      </c>
      <c r="T745" s="10">
        <f t="shared" si="340"/>
        <v>4411</v>
      </c>
      <c r="U745" s="10">
        <f t="shared" si="341"/>
        <v>4940.3200000000006</v>
      </c>
      <c r="V745" s="8"/>
      <c r="W745" s="11">
        <v>2015</v>
      </c>
      <c r="X745" s="20"/>
    </row>
    <row r="746" spans="1:24" ht="76.5" customHeight="1" outlineLevel="1" x14ac:dyDescent="0.2">
      <c r="A746" s="1" t="s">
        <v>4685</v>
      </c>
      <c r="B746" s="24" t="s">
        <v>5277</v>
      </c>
      <c r="C746" s="7" t="s">
        <v>2771</v>
      </c>
      <c r="D746" s="7" t="s">
        <v>5373</v>
      </c>
      <c r="E746" s="18" t="s">
        <v>5414</v>
      </c>
      <c r="F746" s="25" t="s">
        <v>2770</v>
      </c>
      <c r="G746" s="1" t="s">
        <v>1888</v>
      </c>
      <c r="H746" s="17">
        <v>0</v>
      </c>
      <c r="I746" s="18">
        <v>710000000</v>
      </c>
      <c r="J746" s="4" t="s">
        <v>1931</v>
      </c>
      <c r="K746" s="4" t="s">
        <v>5297</v>
      </c>
      <c r="L746" s="7" t="s">
        <v>1889</v>
      </c>
      <c r="M746" s="8" t="s">
        <v>3195</v>
      </c>
      <c r="N746" s="8" t="s">
        <v>1890</v>
      </c>
      <c r="O746" s="8" t="s">
        <v>1935</v>
      </c>
      <c r="P746" s="1">
        <v>839</v>
      </c>
      <c r="Q746" s="4" t="s">
        <v>5375</v>
      </c>
      <c r="R746" s="10">
        <v>1</v>
      </c>
      <c r="S746" s="10">
        <v>4991</v>
      </c>
      <c r="T746" s="10">
        <f t="shared" si="340"/>
        <v>4991</v>
      </c>
      <c r="U746" s="10">
        <f t="shared" si="341"/>
        <v>5589.920000000001</v>
      </c>
      <c r="V746" s="8"/>
      <c r="W746" s="11">
        <v>2015</v>
      </c>
      <c r="X746" s="20"/>
    </row>
    <row r="747" spans="1:24" ht="76.5" customHeight="1" outlineLevel="1" x14ac:dyDescent="0.2">
      <c r="A747" s="1" t="s">
        <v>4686</v>
      </c>
      <c r="B747" s="24" t="s">
        <v>5277</v>
      </c>
      <c r="C747" s="25" t="s">
        <v>2029</v>
      </c>
      <c r="D747" s="25" t="s">
        <v>5402</v>
      </c>
      <c r="E747" s="25" t="s">
        <v>5365</v>
      </c>
      <c r="F747" s="25" t="s">
        <v>2770</v>
      </c>
      <c r="G747" s="1" t="s">
        <v>1888</v>
      </c>
      <c r="H747" s="17">
        <v>0</v>
      </c>
      <c r="I747" s="18">
        <v>710000000</v>
      </c>
      <c r="J747" s="4" t="s">
        <v>1931</v>
      </c>
      <c r="K747" s="4" t="s">
        <v>5297</v>
      </c>
      <c r="L747" s="7" t="s">
        <v>1889</v>
      </c>
      <c r="M747" s="8" t="s">
        <v>3195</v>
      </c>
      <c r="N747" s="8" t="s">
        <v>1890</v>
      </c>
      <c r="O747" s="8" t="s">
        <v>1935</v>
      </c>
      <c r="P747" s="8">
        <v>796</v>
      </c>
      <c r="Q747" s="8" t="s">
        <v>3196</v>
      </c>
      <c r="R747" s="10">
        <v>1</v>
      </c>
      <c r="S747" s="10">
        <v>2589</v>
      </c>
      <c r="T747" s="10">
        <f t="shared" si="340"/>
        <v>2589</v>
      </c>
      <c r="U747" s="10">
        <f t="shared" si="341"/>
        <v>2899.6800000000003</v>
      </c>
      <c r="V747" s="8"/>
      <c r="W747" s="11">
        <v>2015</v>
      </c>
      <c r="X747" s="20"/>
    </row>
    <row r="748" spans="1:24" ht="76.5" customHeight="1" outlineLevel="1" x14ac:dyDescent="0.2">
      <c r="A748" s="1" t="s">
        <v>4687</v>
      </c>
      <c r="B748" s="24" t="s">
        <v>5277</v>
      </c>
      <c r="C748" s="25" t="s">
        <v>2030</v>
      </c>
      <c r="D748" s="25" t="s">
        <v>2031</v>
      </c>
      <c r="E748" s="25" t="s">
        <v>5364</v>
      </c>
      <c r="F748" s="25" t="s">
        <v>2770</v>
      </c>
      <c r="G748" s="1" t="s">
        <v>1888</v>
      </c>
      <c r="H748" s="17">
        <v>0</v>
      </c>
      <c r="I748" s="18">
        <v>710000000</v>
      </c>
      <c r="J748" s="4" t="s">
        <v>1931</v>
      </c>
      <c r="K748" s="4" t="s">
        <v>5297</v>
      </c>
      <c r="L748" s="7" t="s">
        <v>1889</v>
      </c>
      <c r="M748" s="8" t="s">
        <v>3195</v>
      </c>
      <c r="N748" s="8" t="s">
        <v>1890</v>
      </c>
      <c r="O748" s="8" t="s">
        <v>1935</v>
      </c>
      <c r="P748" s="8">
        <v>796</v>
      </c>
      <c r="Q748" s="8" t="s">
        <v>3196</v>
      </c>
      <c r="R748" s="10">
        <v>1</v>
      </c>
      <c r="S748" s="10">
        <v>14286</v>
      </c>
      <c r="T748" s="10">
        <f t="shared" si="340"/>
        <v>14286</v>
      </c>
      <c r="U748" s="10">
        <f t="shared" si="341"/>
        <v>16000.320000000002</v>
      </c>
      <c r="V748" s="8"/>
      <c r="W748" s="11">
        <v>2015</v>
      </c>
      <c r="X748" s="20"/>
    </row>
    <row r="749" spans="1:24" ht="76.5" customHeight="1" outlineLevel="1" x14ac:dyDescent="0.2">
      <c r="A749" s="1" t="s">
        <v>4688</v>
      </c>
      <c r="B749" s="24" t="s">
        <v>5277</v>
      </c>
      <c r="C749" s="25" t="s">
        <v>2779</v>
      </c>
      <c r="D749" s="25" t="s">
        <v>5380</v>
      </c>
      <c r="E749" s="25" t="s">
        <v>5365</v>
      </c>
      <c r="F749" s="25" t="s">
        <v>2770</v>
      </c>
      <c r="G749" s="1" t="s">
        <v>1888</v>
      </c>
      <c r="H749" s="17">
        <v>0</v>
      </c>
      <c r="I749" s="18">
        <v>710000000</v>
      </c>
      <c r="J749" s="4" t="s">
        <v>1931</v>
      </c>
      <c r="K749" s="4" t="s">
        <v>5297</v>
      </c>
      <c r="L749" s="7" t="s">
        <v>1889</v>
      </c>
      <c r="M749" s="8" t="s">
        <v>3195</v>
      </c>
      <c r="N749" s="8" t="s">
        <v>1890</v>
      </c>
      <c r="O749" s="8" t="s">
        <v>1935</v>
      </c>
      <c r="P749" s="8">
        <v>796</v>
      </c>
      <c r="Q749" s="8" t="s">
        <v>3196</v>
      </c>
      <c r="R749" s="10">
        <v>2</v>
      </c>
      <c r="S749" s="10">
        <v>16954</v>
      </c>
      <c r="T749" s="10">
        <f t="shared" si="340"/>
        <v>33908</v>
      </c>
      <c r="U749" s="10">
        <f t="shared" si="341"/>
        <v>37976.960000000006</v>
      </c>
      <c r="V749" s="8"/>
      <c r="W749" s="11">
        <v>2015</v>
      </c>
      <c r="X749" s="20"/>
    </row>
    <row r="750" spans="1:24" ht="76.5" customHeight="1" outlineLevel="1" x14ac:dyDescent="0.2">
      <c r="A750" s="1" t="s">
        <v>4689</v>
      </c>
      <c r="B750" s="24" t="s">
        <v>5277</v>
      </c>
      <c r="C750" s="25" t="s">
        <v>2780</v>
      </c>
      <c r="D750" s="25" t="s">
        <v>2781</v>
      </c>
      <c r="E750" s="25" t="s">
        <v>5364</v>
      </c>
      <c r="F750" s="25" t="s">
        <v>2770</v>
      </c>
      <c r="G750" s="1" t="s">
        <v>1888</v>
      </c>
      <c r="H750" s="17">
        <v>0</v>
      </c>
      <c r="I750" s="18">
        <v>710000000</v>
      </c>
      <c r="J750" s="4" t="s">
        <v>1931</v>
      </c>
      <c r="K750" s="4" t="s">
        <v>5297</v>
      </c>
      <c r="L750" s="7" t="s">
        <v>1889</v>
      </c>
      <c r="M750" s="8" t="s">
        <v>3195</v>
      </c>
      <c r="N750" s="8" t="s">
        <v>1890</v>
      </c>
      <c r="O750" s="8" t="s">
        <v>1935</v>
      </c>
      <c r="P750" s="8">
        <v>796</v>
      </c>
      <c r="Q750" s="8" t="s">
        <v>3196</v>
      </c>
      <c r="R750" s="10">
        <v>1</v>
      </c>
      <c r="S750" s="10">
        <v>21429</v>
      </c>
      <c r="T750" s="10">
        <f t="shared" si="340"/>
        <v>21429</v>
      </c>
      <c r="U750" s="10">
        <f t="shared" si="341"/>
        <v>24000.480000000003</v>
      </c>
      <c r="V750" s="8"/>
      <c r="W750" s="11">
        <v>2015</v>
      </c>
      <c r="X750" s="20"/>
    </row>
    <row r="751" spans="1:24" ht="76.5" customHeight="1" outlineLevel="1" x14ac:dyDescent="0.2">
      <c r="A751" s="1" t="s">
        <v>4690</v>
      </c>
      <c r="B751" s="24" t="s">
        <v>5277</v>
      </c>
      <c r="C751" s="25" t="s">
        <v>2032</v>
      </c>
      <c r="D751" s="25" t="s">
        <v>2033</v>
      </c>
      <c r="E751" s="25" t="s">
        <v>2034</v>
      </c>
      <c r="F751" s="25" t="s">
        <v>2770</v>
      </c>
      <c r="G751" s="1" t="s">
        <v>1888</v>
      </c>
      <c r="H751" s="17">
        <v>0</v>
      </c>
      <c r="I751" s="18">
        <v>710000000</v>
      </c>
      <c r="J751" s="4" t="s">
        <v>1931</v>
      </c>
      <c r="K751" s="4" t="s">
        <v>5297</v>
      </c>
      <c r="L751" s="7" t="s">
        <v>1889</v>
      </c>
      <c r="M751" s="8" t="s">
        <v>3195</v>
      </c>
      <c r="N751" s="8" t="s">
        <v>1890</v>
      </c>
      <c r="O751" s="8" t="s">
        <v>1935</v>
      </c>
      <c r="P751" s="8">
        <v>796</v>
      </c>
      <c r="Q751" s="8" t="s">
        <v>3196</v>
      </c>
      <c r="R751" s="10">
        <v>1</v>
      </c>
      <c r="S751" s="10">
        <v>16071</v>
      </c>
      <c r="T751" s="10">
        <f t="shared" si="340"/>
        <v>16071</v>
      </c>
      <c r="U751" s="10">
        <f t="shared" si="341"/>
        <v>17999.52</v>
      </c>
      <c r="V751" s="8"/>
      <c r="W751" s="11">
        <v>2015</v>
      </c>
      <c r="X751" s="20"/>
    </row>
    <row r="752" spans="1:24" ht="76.5" customHeight="1" outlineLevel="1" x14ac:dyDescent="0.2">
      <c r="A752" s="1" t="s">
        <v>4691</v>
      </c>
      <c r="B752" s="24" t="s">
        <v>5277</v>
      </c>
      <c r="C752" s="25" t="s">
        <v>3253</v>
      </c>
      <c r="D752" s="25" t="s">
        <v>5393</v>
      </c>
      <c r="E752" s="25" t="s">
        <v>2035</v>
      </c>
      <c r="F752" s="25" t="s">
        <v>2770</v>
      </c>
      <c r="G752" s="1" t="s">
        <v>1888</v>
      </c>
      <c r="H752" s="17">
        <v>0</v>
      </c>
      <c r="I752" s="18">
        <v>710000000</v>
      </c>
      <c r="J752" s="4" t="s">
        <v>1931</v>
      </c>
      <c r="K752" s="4" t="s">
        <v>5297</v>
      </c>
      <c r="L752" s="7" t="s">
        <v>1889</v>
      </c>
      <c r="M752" s="8" t="s">
        <v>3195</v>
      </c>
      <c r="N752" s="8" t="s">
        <v>1890</v>
      </c>
      <c r="O752" s="8" t="s">
        <v>1935</v>
      </c>
      <c r="P752" s="8">
        <v>796</v>
      </c>
      <c r="Q752" s="8" t="s">
        <v>3196</v>
      </c>
      <c r="R752" s="10">
        <v>1</v>
      </c>
      <c r="S752" s="10">
        <v>2946</v>
      </c>
      <c r="T752" s="10">
        <f t="shared" si="340"/>
        <v>2946</v>
      </c>
      <c r="U752" s="10">
        <f t="shared" si="341"/>
        <v>3299.5200000000004</v>
      </c>
      <c r="V752" s="8"/>
      <c r="W752" s="11">
        <v>2015</v>
      </c>
      <c r="X752" s="20"/>
    </row>
    <row r="753" spans="1:24" ht="76.5" customHeight="1" outlineLevel="1" x14ac:dyDescent="0.2">
      <c r="A753" s="1" t="s">
        <v>4692</v>
      </c>
      <c r="B753" s="24" t="s">
        <v>5277</v>
      </c>
      <c r="C753" s="7" t="s">
        <v>2763</v>
      </c>
      <c r="D753" s="7" t="s">
        <v>5403</v>
      </c>
      <c r="E753" s="18" t="s">
        <v>9902</v>
      </c>
      <c r="F753" s="25" t="s">
        <v>2772</v>
      </c>
      <c r="G753" s="1" t="s">
        <v>1888</v>
      </c>
      <c r="H753" s="17">
        <v>0</v>
      </c>
      <c r="I753" s="18">
        <v>710000000</v>
      </c>
      <c r="J753" s="4" t="s">
        <v>1931</v>
      </c>
      <c r="K753" s="4" t="s">
        <v>5297</v>
      </c>
      <c r="L753" s="7" t="s">
        <v>1889</v>
      </c>
      <c r="M753" s="8" t="s">
        <v>3195</v>
      </c>
      <c r="N753" s="8" t="s">
        <v>1890</v>
      </c>
      <c r="O753" s="8" t="s">
        <v>1935</v>
      </c>
      <c r="P753" s="8">
        <v>796</v>
      </c>
      <c r="Q753" s="8" t="s">
        <v>3196</v>
      </c>
      <c r="R753" s="10">
        <v>6</v>
      </c>
      <c r="S753" s="10">
        <v>1785.73</v>
      </c>
      <c r="T753" s="10">
        <f t="shared" si="340"/>
        <v>10714.380000000001</v>
      </c>
      <c r="U753" s="10">
        <f t="shared" si="341"/>
        <v>12000.105600000003</v>
      </c>
      <c r="V753" s="8"/>
      <c r="W753" s="11">
        <v>2015</v>
      </c>
      <c r="X753" s="20"/>
    </row>
    <row r="754" spans="1:24" ht="76.5" customHeight="1" outlineLevel="1" x14ac:dyDescent="0.2">
      <c r="A754" s="1" t="s">
        <v>4693</v>
      </c>
      <c r="B754" s="24" t="s">
        <v>5277</v>
      </c>
      <c r="C754" s="7" t="s">
        <v>2761</v>
      </c>
      <c r="D754" s="7" t="s">
        <v>5367</v>
      </c>
      <c r="E754" s="18" t="s">
        <v>5405</v>
      </c>
      <c r="F754" s="25" t="s">
        <v>2772</v>
      </c>
      <c r="G754" s="1" t="s">
        <v>1888</v>
      </c>
      <c r="H754" s="17">
        <v>0</v>
      </c>
      <c r="I754" s="18">
        <v>710000000</v>
      </c>
      <c r="J754" s="4" t="s">
        <v>1931</v>
      </c>
      <c r="K754" s="4" t="s">
        <v>5297</v>
      </c>
      <c r="L754" s="7" t="s">
        <v>1889</v>
      </c>
      <c r="M754" s="8" t="s">
        <v>3195</v>
      </c>
      <c r="N754" s="8" t="s">
        <v>1890</v>
      </c>
      <c r="O754" s="8" t="s">
        <v>1935</v>
      </c>
      <c r="P754" s="8">
        <v>796</v>
      </c>
      <c r="Q754" s="8" t="s">
        <v>3196</v>
      </c>
      <c r="R754" s="10">
        <v>3</v>
      </c>
      <c r="S754" s="10">
        <v>253</v>
      </c>
      <c r="T754" s="10">
        <f t="shared" si="340"/>
        <v>759</v>
      </c>
      <c r="U754" s="10">
        <f t="shared" si="341"/>
        <v>850.08</v>
      </c>
      <c r="V754" s="8"/>
      <c r="W754" s="11">
        <v>2015</v>
      </c>
      <c r="X754" s="20"/>
    </row>
    <row r="755" spans="1:24" ht="76.5" customHeight="1" outlineLevel="1" x14ac:dyDescent="0.2">
      <c r="A755" s="1" t="s">
        <v>4694</v>
      </c>
      <c r="B755" s="24" t="s">
        <v>5277</v>
      </c>
      <c r="C755" s="7" t="s">
        <v>2773</v>
      </c>
      <c r="D755" s="7" t="s">
        <v>5367</v>
      </c>
      <c r="E755" s="18" t="s">
        <v>5415</v>
      </c>
      <c r="F755" s="25" t="s">
        <v>2772</v>
      </c>
      <c r="G755" s="1" t="s">
        <v>1888</v>
      </c>
      <c r="H755" s="17">
        <v>0</v>
      </c>
      <c r="I755" s="18">
        <v>710000000</v>
      </c>
      <c r="J755" s="4" t="s">
        <v>1931</v>
      </c>
      <c r="K755" s="4" t="s">
        <v>5297</v>
      </c>
      <c r="L755" s="7" t="s">
        <v>1889</v>
      </c>
      <c r="M755" s="8" t="s">
        <v>3195</v>
      </c>
      <c r="N755" s="8" t="s">
        <v>1890</v>
      </c>
      <c r="O755" s="8" t="s">
        <v>1935</v>
      </c>
      <c r="P755" s="8">
        <v>796</v>
      </c>
      <c r="Q755" s="8" t="s">
        <v>3196</v>
      </c>
      <c r="R755" s="10">
        <v>5</v>
      </c>
      <c r="S755" s="10">
        <v>875</v>
      </c>
      <c r="T755" s="10">
        <f t="shared" si="340"/>
        <v>4375</v>
      </c>
      <c r="U755" s="10">
        <f t="shared" si="341"/>
        <v>4900.0000000000009</v>
      </c>
      <c r="V755" s="8"/>
      <c r="W755" s="11">
        <v>2015</v>
      </c>
      <c r="X755" s="20"/>
    </row>
    <row r="756" spans="1:24" ht="76.5" customHeight="1" outlineLevel="1" x14ac:dyDescent="0.2">
      <c r="A756" s="1" t="s">
        <v>4695</v>
      </c>
      <c r="B756" s="24" t="s">
        <v>5277</v>
      </c>
      <c r="C756" s="7" t="s">
        <v>3252</v>
      </c>
      <c r="D756" s="7" t="s">
        <v>3255</v>
      </c>
      <c r="E756" s="18" t="s">
        <v>5383</v>
      </c>
      <c r="F756" s="25" t="s">
        <v>2772</v>
      </c>
      <c r="G756" s="1" t="s">
        <v>1888</v>
      </c>
      <c r="H756" s="17">
        <v>0</v>
      </c>
      <c r="I756" s="18">
        <v>710000000</v>
      </c>
      <c r="J756" s="4" t="s">
        <v>1931</v>
      </c>
      <c r="K756" s="4" t="s">
        <v>5297</v>
      </c>
      <c r="L756" s="7" t="s">
        <v>1889</v>
      </c>
      <c r="M756" s="8" t="s">
        <v>3195</v>
      </c>
      <c r="N756" s="8" t="s">
        <v>1890</v>
      </c>
      <c r="O756" s="8" t="s">
        <v>1935</v>
      </c>
      <c r="P756" s="8">
        <v>796</v>
      </c>
      <c r="Q756" s="8" t="s">
        <v>3196</v>
      </c>
      <c r="R756" s="10">
        <v>1</v>
      </c>
      <c r="S756" s="10">
        <v>18750</v>
      </c>
      <c r="T756" s="10">
        <f t="shared" si="340"/>
        <v>18750</v>
      </c>
      <c r="U756" s="10">
        <f t="shared" si="341"/>
        <v>21000.000000000004</v>
      </c>
      <c r="V756" s="8"/>
      <c r="W756" s="11">
        <v>2015</v>
      </c>
      <c r="X756" s="20"/>
    </row>
    <row r="757" spans="1:24" ht="76.5" customHeight="1" outlineLevel="1" x14ac:dyDescent="0.2">
      <c r="A757" s="1" t="s">
        <v>4696</v>
      </c>
      <c r="B757" s="24" t="s">
        <v>5277</v>
      </c>
      <c r="C757" s="7" t="s">
        <v>3249</v>
      </c>
      <c r="D757" s="7" t="s">
        <v>3250</v>
      </c>
      <c r="E757" s="18" t="s">
        <v>5381</v>
      </c>
      <c r="F757" s="25" t="s">
        <v>2772</v>
      </c>
      <c r="G757" s="1" t="s">
        <v>1888</v>
      </c>
      <c r="H757" s="17">
        <v>0</v>
      </c>
      <c r="I757" s="18">
        <v>710000000</v>
      </c>
      <c r="J757" s="4" t="s">
        <v>1931</v>
      </c>
      <c r="K757" s="4" t="s">
        <v>5297</v>
      </c>
      <c r="L757" s="7" t="s">
        <v>1889</v>
      </c>
      <c r="M757" s="8" t="s">
        <v>3195</v>
      </c>
      <c r="N757" s="8" t="s">
        <v>1890</v>
      </c>
      <c r="O757" s="8" t="s">
        <v>1935</v>
      </c>
      <c r="P757" s="8">
        <v>796</v>
      </c>
      <c r="Q757" s="8" t="s">
        <v>3196</v>
      </c>
      <c r="R757" s="10">
        <v>1</v>
      </c>
      <c r="S757" s="10">
        <v>28571</v>
      </c>
      <c r="T757" s="10">
        <f t="shared" si="340"/>
        <v>28571</v>
      </c>
      <c r="U757" s="10">
        <f t="shared" si="341"/>
        <v>31999.520000000004</v>
      </c>
      <c r="V757" s="8"/>
      <c r="W757" s="11">
        <v>2015</v>
      </c>
      <c r="X757" s="20"/>
    </row>
    <row r="758" spans="1:24" ht="76.5" customHeight="1" outlineLevel="1" x14ac:dyDescent="0.2">
      <c r="A758" s="1" t="s">
        <v>4697</v>
      </c>
      <c r="B758" s="24" t="s">
        <v>5277</v>
      </c>
      <c r="C758" s="25" t="s">
        <v>2036</v>
      </c>
      <c r="D758" s="25" t="s">
        <v>2037</v>
      </c>
      <c r="E758" s="25" t="s">
        <v>2038</v>
      </c>
      <c r="F758" s="25" t="s">
        <v>2039</v>
      </c>
      <c r="G758" s="1" t="s">
        <v>1888</v>
      </c>
      <c r="H758" s="17">
        <v>0</v>
      </c>
      <c r="I758" s="18">
        <v>710000000</v>
      </c>
      <c r="J758" s="4" t="s">
        <v>1931</v>
      </c>
      <c r="K758" s="4" t="s">
        <v>5297</v>
      </c>
      <c r="L758" s="7" t="s">
        <v>1889</v>
      </c>
      <c r="M758" s="8" t="s">
        <v>3195</v>
      </c>
      <c r="N758" s="8" t="s">
        <v>1890</v>
      </c>
      <c r="O758" s="8" t="s">
        <v>1935</v>
      </c>
      <c r="P758" s="8">
        <v>796</v>
      </c>
      <c r="Q758" s="8" t="s">
        <v>3196</v>
      </c>
      <c r="R758" s="10">
        <v>13</v>
      </c>
      <c r="S758" s="10">
        <v>1294.77</v>
      </c>
      <c r="T758" s="10">
        <f t="shared" si="340"/>
        <v>16832.009999999998</v>
      </c>
      <c r="U758" s="10">
        <f t="shared" si="341"/>
        <v>18851.851200000001</v>
      </c>
      <c r="V758" s="8"/>
      <c r="W758" s="11">
        <v>2015</v>
      </c>
      <c r="X758" s="20"/>
    </row>
    <row r="759" spans="1:24" ht="76.5" customHeight="1" outlineLevel="1" x14ac:dyDescent="0.2">
      <c r="A759" s="1" t="s">
        <v>4698</v>
      </c>
      <c r="B759" s="24" t="s">
        <v>5277</v>
      </c>
      <c r="C759" s="25" t="s">
        <v>2040</v>
      </c>
      <c r="D759" s="25" t="s">
        <v>2041</v>
      </c>
      <c r="E759" s="25" t="s">
        <v>2042</v>
      </c>
      <c r="F759" s="25" t="s">
        <v>2043</v>
      </c>
      <c r="G759" s="1" t="s">
        <v>1888</v>
      </c>
      <c r="H759" s="17">
        <v>0</v>
      </c>
      <c r="I759" s="18">
        <v>710000000</v>
      </c>
      <c r="J759" s="4" t="s">
        <v>1931</v>
      </c>
      <c r="K759" s="4" t="s">
        <v>5297</v>
      </c>
      <c r="L759" s="7" t="s">
        <v>1889</v>
      </c>
      <c r="M759" s="8" t="s">
        <v>3195</v>
      </c>
      <c r="N759" s="8" t="s">
        <v>1890</v>
      </c>
      <c r="O759" s="8" t="s">
        <v>1935</v>
      </c>
      <c r="P759" s="8">
        <v>796</v>
      </c>
      <c r="Q759" s="8" t="s">
        <v>3196</v>
      </c>
      <c r="R759" s="10">
        <v>1</v>
      </c>
      <c r="S759" s="10">
        <v>25893</v>
      </c>
      <c r="T759" s="10">
        <f t="shared" si="340"/>
        <v>25893</v>
      </c>
      <c r="U759" s="10">
        <f t="shared" si="341"/>
        <v>29000.160000000003</v>
      </c>
      <c r="V759" s="8"/>
      <c r="W759" s="11">
        <v>2015</v>
      </c>
      <c r="X759" s="20"/>
    </row>
    <row r="760" spans="1:24" ht="76.5" customHeight="1" outlineLevel="1" x14ac:dyDescent="0.2">
      <c r="A760" s="1" t="s">
        <v>4699</v>
      </c>
      <c r="B760" s="24" t="s">
        <v>5277</v>
      </c>
      <c r="C760" s="25" t="s">
        <v>2044</v>
      </c>
      <c r="D760" s="25" t="s">
        <v>1977</v>
      </c>
      <c r="E760" s="25" t="s">
        <v>2045</v>
      </c>
      <c r="F760" s="25" t="s">
        <v>2043</v>
      </c>
      <c r="G760" s="1" t="s">
        <v>1888</v>
      </c>
      <c r="H760" s="17">
        <v>0</v>
      </c>
      <c r="I760" s="18">
        <v>710000000</v>
      </c>
      <c r="J760" s="4" t="s">
        <v>1931</v>
      </c>
      <c r="K760" s="4" t="s">
        <v>5297</v>
      </c>
      <c r="L760" s="7" t="s">
        <v>1889</v>
      </c>
      <c r="M760" s="8" t="s">
        <v>3195</v>
      </c>
      <c r="N760" s="8" t="s">
        <v>1890</v>
      </c>
      <c r="O760" s="8" t="s">
        <v>1935</v>
      </c>
      <c r="P760" s="8">
        <v>796</v>
      </c>
      <c r="Q760" s="8" t="s">
        <v>3196</v>
      </c>
      <c r="R760" s="10">
        <v>1</v>
      </c>
      <c r="S760" s="10">
        <v>2188</v>
      </c>
      <c r="T760" s="10">
        <f t="shared" si="340"/>
        <v>2188</v>
      </c>
      <c r="U760" s="10">
        <f t="shared" si="341"/>
        <v>2450.5600000000004</v>
      </c>
      <c r="V760" s="8"/>
      <c r="W760" s="11">
        <v>2015</v>
      </c>
      <c r="X760" s="20"/>
    </row>
    <row r="761" spans="1:24" ht="76.5" customHeight="1" outlineLevel="1" x14ac:dyDescent="0.2">
      <c r="A761" s="1" t="s">
        <v>4700</v>
      </c>
      <c r="B761" s="24" t="s">
        <v>5277</v>
      </c>
      <c r="C761" s="7" t="s">
        <v>2774</v>
      </c>
      <c r="D761" s="7" t="s">
        <v>5416</v>
      </c>
      <c r="E761" s="18" t="s">
        <v>5365</v>
      </c>
      <c r="F761" s="25" t="s">
        <v>2772</v>
      </c>
      <c r="G761" s="1" t="s">
        <v>1888</v>
      </c>
      <c r="H761" s="17">
        <v>0</v>
      </c>
      <c r="I761" s="18">
        <v>710000000</v>
      </c>
      <c r="J761" s="4" t="s">
        <v>1931</v>
      </c>
      <c r="K761" s="4" t="s">
        <v>5297</v>
      </c>
      <c r="L761" s="7" t="s">
        <v>1889</v>
      </c>
      <c r="M761" s="8" t="s">
        <v>3195</v>
      </c>
      <c r="N761" s="8" t="s">
        <v>1890</v>
      </c>
      <c r="O761" s="8" t="s">
        <v>1935</v>
      </c>
      <c r="P761" s="8">
        <v>796</v>
      </c>
      <c r="Q761" s="8" t="s">
        <v>3196</v>
      </c>
      <c r="R761" s="10">
        <v>2</v>
      </c>
      <c r="S761" s="10">
        <v>5357</v>
      </c>
      <c r="T761" s="10">
        <f t="shared" si="340"/>
        <v>10714</v>
      </c>
      <c r="U761" s="10">
        <f t="shared" si="341"/>
        <v>11999.68</v>
      </c>
      <c r="V761" s="8"/>
      <c r="W761" s="11">
        <v>2015</v>
      </c>
      <c r="X761" s="20"/>
    </row>
    <row r="762" spans="1:24" ht="76.5" customHeight="1" outlineLevel="1" x14ac:dyDescent="0.2">
      <c r="A762" s="1" t="s">
        <v>4701</v>
      </c>
      <c r="B762" s="24" t="s">
        <v>5277</v>
      </c>
      <c r="C762" s="25" t="s">
        <v>2046</v>
      </c>
      <c r="D762" s="25" t="s">
        <v>2047</v>
      </c>
      <c r="E762" s="25" t="s">
        <v>5394</v>
      </c>
      <c r="F762" s="25" t="s">
        <v>2772</v>
      </c>
      <c r="G762" s="1" t="s">
        <v>1888</v>
      </c>
      <c r="H762" s="17">
        <v>0</v>
      </c>
      <c r="I762" s="18">
        <v>710000000</v>
      </c>
      <c r="J762" s="4" t="s">
        <v>1931</v>
      </c>
      <c r="K762" s="4" t="s">
        <v>5297</v>
      </c>
      <c r="L762" s="7" t="s">
        <v>1889</v>
      </c>
      <c r="M762" s="8" t="s">
        <v>3195</v>
      </c>
      <c r="N762" s="8" t="s">
        <v>1890</v>
      </c>
      <c r="O762" s="8" t="s">
        <v>1935</v>
      </c>
      <c r="P762" s="1">
        <v>839</v>
      </c>
      <c r="Q762" s="4" t="s">
        <v>5413</v>
      </c>
      <c r="R762" s="10">
        <v>2</v>
      </c>
      <c r="S762" s="10">
        <v>21428</v>
      </c>
      <c r="T762" s="10">
        <f t="shared" si="340"/>
        <v>42856</v>
      </c>
      <c r="U762" s="10">
        <f t="shared" si="341"/>
        <v>47998.720000000001</v>
      </c>
      <c r="V762" s="8"/>
      <c r="W762" s="11">
        <v>2015</v>
      </c>
      <c r="X762" s="20"/>
    </row>
    <row r="763" spans="1:24" ht="76.5" customHeight="1" outlineLevel="1" x14ac:dyDescent="0.2">
      <c r="A763" s="1" t="s">
        <v>4702</v>
      </c>
      <c r="B763" s="24" t="s">
        <v>5277</v>
      </c>
      <c r="C763" s="7" t="s">
        <v>2775</v>
      </c>
      <c r="D763" s="7" t="s">
        <v>5392</v>
      </c>
      <c r="E763" s="18" t="s">
        <v>5365</v>
      </c>
      <c r="F763" s="25" t="s">
        <v>2776</v>
      </c>
      <c r="G763" s="1" t="s">
        <v>1888</v>
      </c>
      <c r="H763" s="17">
        <v>0</v>
      </c>
      <c r="I763" s="18">
        <v>710000000</v>
      </c>
      <c r="J763" s="4" t="s">
        <v>1931</v>
      </c>
      <c r="K763" s="4" t="s">
        <v>5297</v>
      </c>
      <c r="L763" s="7" t="s">
        <v>1889</v>
      </c>
      <c r="M763" s="8" t="s">
        <v>3195</v>
      </c>
      <c r="N763" s="8" t="s">
        <v>1890</v>
      </c>
      <c r="O763" s="8" t="s">
        <v>1935</v>
      </c>
      <c r="P763" s="8">
        <v>796</v>
      </c>
      <c r="Q763" s="8" t="s">
        <v>3196</v>
      </c>
      <c r="R763" s="10">
        <v>1</v>
      </c>
      <c r="S763" s="10">
        <v>8036</v>
      </c>
      <c r="T763" s="10">
        <f t="shared" si="340"/>
        <v>8036</v>
      </c>
      <c r="U763" s="10">
        <f t="shared" si="341"/>
        <v>9000.3200000000015</v>
      </c>
      <c r="V763" s="8"/>
      <c r="W763" s="11">
        <v>2015</v>
      </c>
      <c r="X763" s="20"/>
    </row>
    <row r="764" spans="1:24" ht="76.5" customHeight="1" outlineLevel="1" x14ac:dyDescent="0.2">
      <c r="A764" s="1" t="s">
        <v>4703</v>
      </c>
      <c r="B764" s="24" t="s">
        <v>5277</v>
      </c>
      <c r="C764" s="25" t="s">
        <v>2029</v>
      </c>
      <c r="D764" s="25" t="s">
        <v>5402</v>
      </c>
      <c r="E764" s="25" t="s">
        <v>5365</v>
      </c>
      <c r="F764" s="25" t="s">
        <v>2772</v>
      </c>
      <c r="G764" s="1" t="s">
        <v>1888</v>
      </c>
      <c r="H764" s="17">
        <v>0</v>
      </c>
      <c r="I764" s="18">
        <v>710000000</v>
      </c>
      <c r="J764" s="4" t="s">
        <v>1931</v>
      </c>
      <c r="K764" s="4" t="s">
        <v>5297</v>
      </c>
      <c r="L764" s="7" t="s">
        <v>1889</v>
      </c>
      <c r="M764" s="8" t="s">
        <v>3195</v>
      </c>
      <c r="N764" s="8" t="s">
        <v>1890</v>
      </c>
      <c r="O764" s="8" t="s">
        <v>1935</v>
      </c>
      <c r="P764" s="8">
        <v>796</v>
      </c>
      <c r="Q764" s="8" t="s">
        <v>3196</v>
      </c>
      <c r="R764" s="10">
        <v>1</v>
      </c>
      <c r="S764" s="10">
        <v>2589</v>
      </c>
      <c r="T764" s="10">
        <f t="shared" si="340"/>
        <v>2589</v>
      </c>
      <c r="U764" s="10">
        <f t="shared" si="341"/>
        <v>2899.6800000000003</v>
      </c>
      <c r="V764" s="8"/>
      <c r="W764" s="11">
        <v>2015</v>
      </c>
      <c r="X764" s="20"/>
    </row>
    <row r="765" spans="1:24" ht="76.5" customHeight="1" outlineLevel="1" x14ac:dyDescent="0.2">
      <c r="A765" s="1" t="s">
        <v>4704</v>
      </c>
      <c r="B765" s="24" t="s">
        <v>5277</v>
      </c>
      <c r="C765" s="25" t="s">
        <v>2048</v>
      </c>
      <c r="D765" s="25" t="s">
        <v>2049</v>
      </c>
      <c r="E765" s="25" t="s">
        <v>5394</v>
      </c>
      <c r="F765" s="25" t="s">
        <v>2772</v>
      </c>
      <c r="G765" s="1" t="s">
        <v>1888</v>
      </c>
      <c r="H765" s="17">
        <v>0</v>
      </c>
      <c r="I765" s="18">
        <v>710000000</v>
      </c>
      <c r="J765" s="4" t="s">
        <v>1931</v>
      </c>
      <c r="K765" s="4" t="s">
        <v>5297</v>
      </c>
      <c r="L765" s="7" t="s">
        <v>1889</v>
      </c>
      <c r="M765" s="8" t="s">
        <v>3195</v>
      </c>
      <c r="N765" s="8" t="s">
        <v>1890</v>
      </c>
      <c r="O765" s="8" t="s">
        <v>1935</v>
      </c>
      <c r="P765" s="8">
        <v>796</v>
      </c>
      <c r="Q765" s="8" t="s">
        <v>3196</v>
      </c>
      <c r="R765" s="10">
        <v>1</v>
      </c>
      <c r="S765" s="10">
        <v>3125</v>
      </c>
      <c r="T765" s="10">
        <f t="shared" si="340"/>
        <v>3125</v>
      </c>
      <c r="U765" s="10">
        <f t="shared" si="341"/>
        <v>3500.0000000000005</v>
      </c>
      <c r="V765" s="8"/>
      <c r="W765" s="11">
        <v>2015</v>
      </c>
      <c r="X765" s="20"/>
    </row>
    <row r="766" spans="1:24" ht="76.5" customHeight="1" outlineLevel="1" x14ac:dyDescent="0.2">
      <c r="A766" s="1" t="s">
        <v>4705</v>
      </c>
      <c r="B766" s="24" t="s">
        <v>5277</v>
      </c>
      <c r="C766" s="25" t="s">
        <v>2050</v>
      </c>
      <c r="D766" s="25" t="s">
        <v>2051</v>
      </c>
      <c r="E766" s="25" t="s">
        <v>2052</v>
      </c>
      <c r="F766" s="25" t="s">
        <v>2053</v>
      </c>
      <c r="G766" s="1" t="s">
        <v>1888</v>
      </c>
      <c r="H766" s="17">
        <v>0</v>
      </c>
      <c r="I766" s="18">
        <v>710000000</v>
      </c>
      <c r="J766" s="4" t="s">
        <v>1931</v>
      </c>
      <c r="K766" s="4" t="s">
        <v>5297</v>
      </c>
      <c r="L766" s="7" t="s">
        <v>1889</v>
      </c>
      <c r="M766" s="8" t="s">
        <v>3195</v>
      </c>
      <c r="N766" s="8" t="s">
        <v>1890</v>
      </c>
      <c r="O766" s="8" t="s">
        <v>1935</v>
      </c>
      <c r="P766" s="8">
        <v>796</v>
      </c>
      <c r="Q766" s="8" t="s">
        <v>3196</v>
      </c>
      <c r="R766" s="10">
        <v>1</v>
      </c>
      <c r="S766" s="10">
        <v>6250</v>
      </c>
      <c r="T766" s="10">
        <f t="shared" si="340"/>
        <v>6250</v>
      </c>
      <c r="U766" s="10">
        <f t="shared" si="341"/>
        <v>7000.0000000000009</v>
      </c>
      <c r="V766" s="8"/>
      <c r="W766" s="11">
        <v>2015</v>
      </c>
      <c r="X766" s="20"/>
    </row>
    <row r="767" spans="1:24" ht="76.5" customHeight="1" outlineLevel="1" x14ac:dyDescent="0.2">
      <c r="A767" s="1" t="s">
        <v>4706</v>
      </c>
      <c r="B767" s="24" t="s">
        <v>5277</v>
      </c>
      <c r="C767" s="25" t="s">
        <v>2054</v>
      </c>
      <c r="D767" s="25" t="s">
        <v>2055</v>
      </c>
      <c r="E767" s="25" t="s">
        <v>2056</v>
      </c>
      <c r="F767" s="25" t="s">
        <v>2772</v>
      </c>
      <c r="G767" s="1" t="s">
        <v>1888</v>
      </c>
      <c r="H767" s="17">
        <v>0</v>
      </c>
      <c r="I767" s="18">
        <v>710000000</v>
      </c>
      <c r="J767" s="4" t="s">
        <v>1931</v>
      </c>
      <c r="K767" s="4" t="s">
        <v>5297</v>
      </c>
      <c r="L767" s="7" t="s">
        <v>1889</v>
      </c>
      <c r="M767" s="8" t="s">
        <v>3195</v>
      </c>
      <c r="N767" s="8" t="s">
        <v>1890</v>
      </c>
      <c r="O767" s="8" t="s">
        <v>1935</v>
      </c>
      <c r="P767" s="8">
        <v>796</v>
      </c>
      <c r="Q767" s="8" t="s">
        <v>3196</v>
      </c>
      <c r="R767" s="10">
        <v>2</v>
      </c>
      <c r="S767" s="10">
        <v>1607</v>
      </c>
      <c r="T767" s="10">
        <f t="shared" si="340"/>
        <v>3214</v>
      </c>
      <c r="U767" s="10">
        <f t="shared" si="341"/>
        <v>3599.6800000000003</v>
      </c>
      <c r="V767" s="8"/>
      <c r="W767" s="11">
        <v>2015</v>
      </c>
      <c r="X767" s="20"/>
    </row>
    <row r="768" spans="1:24" ht="76.5" customHeight="1" outlineLevel="1" x14ac:dyDescent="0.2">
      <c r="A768" s="1" t="s">
        <v>4707</v>
      </c>
      <c r="B768" s="24" t="s">
        <v>5277</v>
      </c>
      <c r="C768" s="25" t="s">
        <v>2057</v>
      </c>
      <c r="D768" s="25" t="s">
        <v>2058</v>
      </c>
      <c r="E768" s="25" t="s">
        <v>2059</v>
      </c>
      <c r="F768" s="25" t="s">
        <v>2060</v>
      </c>
      <c r="G768" s="1" t="s">
        <v>1888</v>
      </c>
      <c r="H768" s="17">
        <v>0</v>
      </c>
      <c r="I768" s="18">
        <v>710000000</v>
      </c>
      <c r="J768" s="4" t="s">
        <v>1931</v>
      </c>
      <c r="K768" s="4" t="s">
        <v>5297</v>
      </c>
      <c r="L768" s="7" t="s">
        <v>1889</v>
      </c>
      <c r="M768" s="8" t="s">
        <v>3195</v>
      </c>
      <c r="N768" s="8" t="s">
        <v>1890</v>
      </c>
      <c r="O768" s="8" t="s">
        <v>1935</v>
      </c>
      <c r="P768" s="8">
        <v>796</v>
      </c>
      <c r="Q768" s="8" t="s">
        <v>3196</v>
      </c>
      <c r="R768" s="10">
        <v>2</v>
      </c>
      <c r="S768" s="10">
        <v>714.5</v>
      </c>
      <c r="T768" s="10">
        <f t="shared" si="340"/>
        <v>1429</v>
      </c>
      <c r="U768" s="10">
        <f t="shared" si="341"/>
        <v>1600.4800000000002</v>
      </c>
      <c r="V768" s="8"/>
      <c r="W768" s="11">
        <v>2015</v>
      </c>
      <c r="X768" s="20"/>
    </row>
    <row r="769" spans="1:24" ht="76.5" customHeight="1" outlineLevel="1" x14ac:dyDescent="0.2">
      <c r="A769" s="1" t="s">
        <v>4708</v>
      </c>
      <c r="B769" s="24" t="s">
        <v>5277</v>
      </c>
      <c r="C769" s="7" t="s">
        <v>2752</v>
      </c>
      <c r="D769" s="7" t="s">
        <v>5398</v>
      </c>
      <c r="E769" s="18" t="s">
        <v>5399</v>
      </c>
      <c r="F769" s="25" t="s">
        <v>2777</v>
      </c>
      <c r="G769" s="1" t="s">
        <v>1888</v>
      </c>
      <c r="H769" s="17">
        <v>0</v>
      </c>
      <c r="I769" s="18">
        <v>710000000</v>
      </c>
      <c r="J769" s="4" t="s">
        <v>1931</v>
      </c>
      <c r="K769" s="4" t="s">
        <v>5297</v>
      </c>
      <c r="L769" s="7" t="s">
        <v>1889</v>
      </c>
      <c r="M769" s="8" t="s">
        <v>3195</v>
      </c>
      <c r="N769" s="8" t="s">
        <v>1890</v>
      </c>
      <c r="O769" s="8" t="s">
        <v>1935</v>
      </c>
      <c r="P769" s="8">
        <v>796</v>
      </c>
      <c r="Q769" s="8" t="s">
        <v>3196</v>
      </c>
      <c r="R769" s="10">
        <v>1</v>
      </c>
      <c r="S769" s="10">
        <v>2188</v>
      </c>
      <c r="T769" s="10">
        <f t="shared" si="340"/>
        <v>2188</v>
      </c>
      <c r="U769" s="10">
        <f t="shared" si="341"/>
        <v>2450.5600000000004</v>
      </c>
      <c r="V769" s="8"/>
      <c r="W769" s="11">
        <v>2015</v>
      </c>
      <c r="X769" s="20"/>
    </row>
    <row r="770" spans="1:24" ht="76.5" customHeight="1" outlineLevel="1" x14ac:dyDescent="0.2">
      <c r="A770" s="1" t="s">
        <v>4709</v>
      </c>
      <c r="B770" s="24" t="s">
        <v>5277</v>
      </c>
      <c r="C770" s="7" t="s">
        <v>2758</v>
      </c>
      <c r="D770" s="7" t="s">
        <v>5403</v>
      </c>
      <c r="E770" s="18" t="s">
        <v>5404</v>
      </c>
      <c r="F770" s="25" t="s">
        <v>5417</v>
      </c>
      <c r="G770" s="1" t="s">
        <v>1888</v>
      </c>
      <c r="H770" s="17">
        <v>0</v>
      </c>
      <c r="I770" s="18">
        <v>710000000</v>
      </c>
      <c r="J770" s="4" t="s">
        <v>1931</v>
      </c>
      <c r="K770" s="4" t="s">
        <v>5297</v>
      </c>
      <c r="L770" s="7" t="s">
        <v>1889</v>
      </c>
      <c r="M770" s="8" t="s">
        <v>3195</v>
      </c>
      <c r="N770" s="8" t="s">
        <v>1890</v>
      </c>
      <c r="O770" s="8" t="s">
        <v>1935</v>
      </c>
      <c r="P770" s="8">
        <v>796</v>
      </c>
      <c r="Q770" s="8" t="s">
        <v>3196</v>
      </c>
      <c r="R770" s="10">
        <v>2</v>
      </c>
      <c r="S770" s="10">
        <v>1785</v>
      </c>
      <c r="T770" s="10">
        <f t="shared" si="340"/>
        <v>3570</v>
      </c>
      <c r="U770" s="10">
        <f t="shared" si="341"/>
        <v>3998.4000000000005</v>
      </c>
      <c r="V770" s="8"/>
      <c r="W770" s="11">
        <v>2015</v>
      </c>
      <c r="X770" s="20"/>
    </row>
    <row r="771" spans="1:24" ht="76.5" customHeight="1" outlineLevel="1" x14ac:dyDescent="0.2">
      <c r="A771" s="1" t="s">
        <v>4710</v>
      </c>
      <c r="B771" s="24" t="s">
        <v>5277</v>
      </c>
      <c r="C771" s="7" t="s">
        <v>3067</v>
      </c>
      <c r="D771" s="7" t="s">
        <v>5363</v>
      </c>
      <c r="E771" s="18" t="s">
        <v>5395</v>
      </c>
      <c r="F771" s="25" t="s">
        <v>2777</v>
      </c>
      <c r="G771" s="1" t="s">
        <v>1888</v>
      </c>
      <c r="H771" s="17">
        <v>0</v>
      </c>
      <c r="I771" s="18">
        <v>710000000</v>
      </c>
      <c r="J771" s="4" t="s">
        <v>1931</v>
      </c>
      <c r="K771" s="4" t="s">
        <v>5297</v>
      </c>
      <c r="L771" s="7" t="s">
        <v>1889</v>
      </c>
      <c r="M771" s="8" t="s">
        <v>3195</v>
      </c>
      <c r="N771" s="8" t="s">
        <v>1890</v>
      </c>
      <c r="O771" s="8" t="s">
        <v>1935</v>
      </c>
      <c r="P771" s="8">
        <v>796</v>
      </c>
      <c r="Q771" s="8" t="s">
        <v>3196</v>
      </c>
      <c r="R771" s="10">
        <v>2</v>
      </c>
      <c r="S771" s="10">
        <v>6250</v>
      </c>
      <c r="T771" s="10">
        <f t="shared" si="340"/>
        <v>12500</v>
      </c>
      <c r="U771" s="10">
        <f t="shared" si="341"/>
        <v>14000.000000000002</v>
      </c>
      <c r="V771" s="8"/>
      <c r="W771" s="11">
        <v>2015</v>
      </c>
      <c r="X771" s="20"/>
    </row>
    <row r="772" spans="1:24" ht="76.5" customHeight="1" outlineLevel="1" x14ac:dyDescent="0.2">
      <c r="A772" s="1" t="s">
        <v>4711</v>
      </c>
      <c r="B772" s="24" t="s">
        <v>5277</v>
      </c>
      <c r="C772" s="7" t="s">
        <v>3249</v>
      </c>
      <c r="D772" s="7" t="s">
        <v>3250</v>
      </c>
      <c r="E772" s="18" t="s">
        <v>5381</v>
      </c>
      <c r="F772" s="25" t="s">
        <v>2777</v>
      </c>
      <c r="G772" s="1" t="s">
        <v>1888</v>
      </c>
      <c r="H772" s="17">
        <v>0</v>
      </c>
      <c r="I772" s="18">
        <v>710000000</v>
      </c>
      <c r="J772" s="4" t="s">
        <v>1931</v>
      </c>
      <c r="K772" s="4" t="s">
        <v>5297</v>
      </c>
      <c r="L772" s="7" t="s">
        <v>1889</v>
      </c>
      <c r="M772" s="8" t="s">
        <v>3195</v>
      </c>
      <c r="N772" s="8" t="s">
        <v>1890</v>
      </c>
      <c r="O772" s="8" t="s">
        <v>1935</v>
      </c>
      <c r="P772" s="8">
        <v>796</v>
      </c>
      <c r="Q772" s="8" t="s">
        <v>3196</v>
      </c>
      <c r="R772" s="10">
        <v>1</v>
      </c>
      <c r="S772" s="10">
        <v>33929</v>
      </c>
      <c r="T772" s="10">
        <f t="shared" si="340"/>
        <v>33929</v>
      </c>
      <c r="U772" s="10">
        <f t="shared" si="341"/>
        <v>38000.480000000003</v>
      </c>
      <c r="V772" s="8"/>
      <c r="W772" s="11">
        <v>2015</v>
      </c>
      <c r="X772" s="20"/>
    </row>
    <row r="773" spans="1:24" ht="76.5" customHeight="1" outlineLevel="1" x14ac:dyDescent="0.2">
      <c r="A773" s="1" t="s">
        <v>4712</v>
      </c>
      <c r="B773" s="24" t="s">
        <v>5277</v>
      </c>
      <c r="C773" s="25" t="s">
        <v>2061</v>
      </c>
      <c r="D773" s="25" t="s">
        <v>2062</v>
      </c>
      <c r="E773" s="25" t="s">
        <v>2063</v>
      </c>
      <c r="F773" s="25" t="s">
        <v>2064</v>
      </c>
      <c r="G773" s="1" t="s">
        <v>1888</v>
      </c>
      <c r="H773" s="17">
        <v>0</v>
      </c>
      <c r="I773" s="18">
        <v>710000000</v>
      </c>
      <c r="J773" s="4" t="s">
        <v>1931</v>
      </c>
      <c r="K773" s="4" t="s">
        <v>5297</v>
      </c>
      <c r="L773" s="7" t="s">
        <v>1889</v>
      </c>
      <c r="M773" s="8" t="s">
        <v>3195</v>
      </c>
      <c r="N773" s="8" t="s">
        <v>1890</v>
      </c>
      <c r="O773" s="8" t="s">
        <v>1935</v>
      </c>
      <c r="P773" s="1">
        <v>839</v>
      </c>
      <c r="Q773" s="4" t="s">
        <v>5413</v>
      </c>
      <c r="R773" s="10">
        <v>1</v>
      </c>
      <c r="S773" s="10">
        <v>16875</v>
      </c>
      <c r="T773" s="10">
        <f t="shared" si="340"/>
        <v>16875</v>
      </c>
      <c r="U773" s="10">
        <f t="shared" si="341"/>
        <v>18900</v>
      </c>
      <c r="V773" s="8"/>
      <c r="W773" s="11">
        <v>2015</v>
      </c>
      <c r="X773" s="20"/>
    </row>
    <row r="774" spans="1:24" ht="76.5" customHeight="1" outlineLevel="1" x14ac:dyDescent="0.2">
      <c r="A774" s="1" t="s">
        <v>4713</v>
      </c>
      <c r="B774" s="24" t="s">
        <v>5277</v>
      </c>
      <c r="C774" s="25" t="s">
        <v>2065</v>
      </c>
      <c r="D774" s="25" t="s">
        <v>2007</v>
      </c>
      <c r="E774" s="25" t="s">
        <v>2066</v>
      </c>
      <c r="F774" s="25" t="s">
        <v>2782</v>
      </c>
      <c r="G774" s="1" t="s">
        <v>1888</v>
      </c>
      <c r="H774" s="17">
        <v>0</v>
      </c>
      <c r="I774" s="18">
        <v>710000000</v>
      </c>
      <c r="J774" s="4" t="s">
        <v>1931</v>
      </c>
      <c r="K774" s="4" t="s">
        <v>5297</v>
      </c>
      <c r="L774" s="7" t="s">
        <v>1889</v>
      </c>
      <c r="M774" s="8" t="s">
        <v>3195</v>
      </c>
      <c r="N774" s="8" t="s">
        <v>1890</v>
      </c>
      <c r="O774" s="8" t="s">
        <v>1935</v>
      </c>
      <c r="P774" s="8">
        <v>796</v>
      </c>
      <c r="Q774" s="8" t="s">
        <v>3196</v>
      </c>
      <c r="R774" s="10">
        <v>1</v>
      </c>
      <c r="S774" s="10">
        <v>6250</v>
      </c>
      <c r="T774" s="10">
        <f t="shared" si="340"/>
        <v>6250</v>
      </c>
      <c r="U774" s="10">
        <f t="shared" si="341"/>
        <v>7000.0000000000009</v>
      </c>
      <c r="V774" s="8"/>
      <c r="W774" s="11">
        <v>2015</v>
      </c>
      <c r="X774" s="20"/>
    </row>
    <row r="775" spans="1:24" ht="76.5" customHeight="1" outlineLevel="1" x14ac:dyDescent="0.2">
      <c r="A775" s="1" t="s">
        <v>4714</v>
      </c>
      <c r="B775" s="24" t="s">
        <v>5277</v>
      </c>
      <c r="C775" s="25" t="s">
        <v>2067</v>
      </c>
      <c r="D775" s="25" t="s">
        <v>2007</v>
      </c>
      <c r="E775" s="25" t="s">
        <v>2008</v>
      </c>
      <c r="F775" s="25" t="s">
        <v>2782</v>
      </c>
      <c r="G775" s="1" t="s">
        <v>1888</v>
      </c>
      <c r="H775" s="17">
        <v>0</v>
      </c>
      <c r="I775" s="18">
        <v>710000000</v>
      </c>
      <c r="J775" s="4" t="s">
        <v>1931</v>
      </c>
      <c r="K775" s="4" t="s">
        <v>5297</v>
      </c>
      <c r="L775" s="7" t="s">
        <v>1889</v>
      </c>
      <c r="M775" s="8" t="s">
        <v>3195</v>
      </c>
      <c r="N775" s="8" t="s">
        <v>1890</v>
      </c>
      <c r="O775" s="8" t="s">
        <v>1935</v>
      </c>
      <c r="P775" s="8">
        <v>796</v>
      </c>
      <c r="Q775" s="8" t="s">
        <v>3196</v>
      </c>
      <c r="R775" s="10">
        <v>1</v>
      </c>
      <c r="S775" s="10">
        <v>6250</v>
      </c>
      <c r="T775" s="10">
        <f t="shared" si="340"/>
        <v>6250</v>
      </c>
      <c r="U775" s="10">
        <f t="shared" si="341"/>
        <v>7000.0000000000009</v>
      </c>
      <c r="V775" s="8"/>
      <c r="W775" s="11">
        <v>2015</v>
      </c>
      <c r="X775" s="20"/>
    </row>
    <row r="776" spans="1:24" ht="76.5" customHeight="1" outlineLevel="1" x14ac:dyDescent="0.2">
      <c r="A776" s="1" t="s">
        <v>4715</v>
      </c>
      <c r="B776" s="24" t="s">
        <v>5277</v>
      </c>
      <c r="C776" s="18" t="s">
        <v>2068</v>
      </c>
      <c r="D776" s="18" t="s">
        <v>5391</v>
      </c>
      <c r="E776" s="18" t="s">
        <v>5420</v>
      </c>
      <c r="F776" s="25" t="s">
        <v>2782</v>
      </c>
      <c r="G776" s="1" t="s">
        <v>1888</v>
      </c>
      <c r="H776" s="17">
        <v>0</v>
      </c>
      <c r="I776" s="18">
        <v>710000000</v>
      </c>
      <c r="J776" s="4" t="s">
        <v>1931</v>
      </c>
      <c r="K776" s="4" t="s">
        <v>5297</v>
      </c>
      <c r="L776" s="7" t="s">
        <v>1889</v>
      </c>
      <c r="M776" s="8" t="s">
        <v>3195</v>
      </c>
      <c r="N776" s="8" t="s">
        <v>1890</v>
      </c>
      <c r="O776" s="8" t="s">
        <v>1935</v>
      </c>
      <c r="P776" s="8">
        <v>796</v>
      </c>
      <c r="Q776" s="8" t="s">
        <v>3196</v>
      </c>
      <c r="R776" s="10">
        <v>8</v>
      </c>
      <c r="S776" s="10">
        <v>1785.75</v>
      </c>
      <c r="T776" s="10">
        <f t="shared" si="340"/>
        <v>14286</v>
      </c>
      <c r="U776" s="10">
        <f t="shared" si="341"/>
        <v>16000.320000000002</v>
      </c>
      <c r="V776" s="8"/>
      <c r="W776" s="11">
        <v>2015</v>
      </c>
      <c r="X776" s="20"/>
    </row>
    <row r="777" spans="1:24" ht="76.5" customHeight="1" outlineLevel="1" x14ac:dyDescent="0.2">
      <c r="A777" s="1" t="s">
        <v>4716</v>
      </c>
      <c r="B777" s="24" t="s">
        <v>5277</v>
      </c>
      <c r="C777" s="25" t="s">
        <v>2771</v>
      </c>
      <c r="D777" s="25" t="s">
        <v>5373</v>
      </c>
      <c r="E777" s="25" t="s">
        <v>5414</v>
      </c>
      <c r="F777" s="25" t="s">
        <v>2782</v>
      </c>
      <c r="G777" s="1" t="s">
        <v>1888</v>
      </c>
      <c r="H777" s="17">
        <v>0</v>
      </c>
      <c r="I777" s="18">
        <v>710000000</v>
      </c>
      <c r="J777" s="4" t="s">
        <v>1931</v>
      </c>
      <c r="K777" s="4" t="s">
        <v>5297</v>
      </c>
      <c r="L777" s="7" t="s">
        <v>1889</v>
      </c>
      <c r="M777" s="8" t="s">
        <v>3195</v>
      </c>
      <c r="N777" s="8" t="s">
        <v>1890</v>
      </c>
      <c r="O777" s="8" t="s">
        <v>1935</v>
      </c>
      <c r="P777" s="1">
        <v>839</v>
      </c>
      <c r="Q777" s="4" t="s">
        <v>5413</v>
      </c>
      <c r="R777" s="10">
        <v>3</v>
      </c>
      <c r="S777" s="10">
        <v>3281.33</v>
      </c>
      <c r="T777" s="10">
        <f t="shared" si="340"/>
        <v>9843.99</v>
      </c>
      <c r="U777" s="10">
        <f t="shared" si="341"/>
        <v>11025.268800000002</v>
      </c>
      <c r="V777" s="8"/>
      <c r="W777" s="11">
        <v>2015</v>
      </c>
      <c r="X777" s="20"/>
    </row>
    <row r="778" spans="1:24" ht="76.5" customHeight="1" outlineLevel="1" x14ac:dyDescent="0.2">
      <c r="A778" s="1" t="s">
        <v>4717</v>
      </c>
      <c r="B778" s="24" t="s">
        <v>5277</v>
      </c>
      <c r="C778" s="25" t="s">
        <v>2069</v>
      </c>
      <c r="D778" s="25" t="s">
        <v>5373</v>
      </c>
      <c r="E778" s="25" t="s">
        <v>2070</v>
      </c>
      <c r="F778" s="25" t="s">
        <v>2782</v>
      </c>
      <c r="G778" s="1" t="s">
        <v>1888</v>
      </c>
      <c r="H778" s="17">
        <v>0</v>
      </c>
      <c r="I778" s="18">
        <v>710000000</v>
      </c>
      <c r="J778" s="4" t="s">
        <v>1931</v>
      </c>
      <c r="K778" s="4" t="s">
        <v>5297</v>
      </c>
      <c r="L778" s="7" t="s">
        <v>1889</v>
      </c>
      <c r="M778" s="8" t="s">
        <v>3195</v>
      </c>
      <c r="N778" s="8" t="s">
        <v>1890</v>
      </c>
      <c r="O778" s="8" t="s">
        <v>1935</v>
      </c>
      <c r="P778" s="1">
        <v>839</v>
      </c>
      <c r="Q778" s="4" t="s">
        <v>5413</v>
      </c>
      <c r="R778" s="10">
        <v>3</v>
      </c>
      <c r="S778" s="10">
        <v>3281.33</v>
      </c>
      <c r="T778" s="10">
        <f t="shared" si="340"/>
        <v>9843.99</v>
      </c>
      <c r="U778" s="10">
        <f t="shared" si="341"/>
        <v>11025.268800000002</v>
      </c>
      <c r="V778" s="8"/>
      <c r="W778" s="11">
        <v>2015</v>
      </c>
      <c r="X778" s="20"/>
    </row>
    <row r="779" spans="1:24" ht="76.5" customHeight="1" outlineLevel="1" x14ac:dyDescent="0.2">
      <c r="A779" s="1" t="s">
        <v>4718</v>
      </c>
      <c r="B779" s="24" t="s">
        <v>5277</v>
      </c>
      <c r="C779" s="24" t="s">
        <v>2071</v>
      </c>
      <c r="D779" s="24" t="s">
        <v>2072</v>
      </c>
      <c r="E779" s="24" t="s">
        <v>2073</v>
      </c>
      <c r="F779" s="24" t="s">
        <v>2074</v>
      </c>
      <c r="G779" s="1" t="s">
        <v>1888</v>
      </c>
      <c r="H779" s="17">
        <v>0</v>
      </c>
      <c r="I779" s="18">
        <v>710000000</v>
      </c>
      <c r="J779" s="4" t="s">
        <v>1931</v>
      </c>
      <c r="K779" s="4" t="s">
        <v>5297</v>
      </c>
      <c r="L779" s="7" t="s">
        <v>1889</v>
      </c>
      <c r="M779" s="8" t="s">
        <v>3195</v>
      </c>
      <c r="N779" s="8" t="s">
        <v>1890</v>
      </c>
      <c r="O779" s="8" t="s">
        <v>1935</v>
      </c>
      <c r="P779" s="8">
        <v>796</v>
      </c>
      <c r="Q779" s="8" t="s">
        <v>3196</v>
      </c>
      <c r="R779" s="10">
        <v>2</v>
      </c>
      <c r="S779" s="10">
        <v>31250</v>
      </c>
      <c r="T779" s="10">
        <f t="shared" si="340"/>
        <v>62500</v>
      </c>
      <c r="U779" s="10">
        <f t="shared" si="341"/>
        <v>70000</v>
      </c>
      <c r="V779" s="8"/>
      <c r="W779" s="11">
        <v>2015</v>
      </c>
      <c r="X779" s="20"/>
    </row>
    <row r="780" spans="1:24" ht="76.5" customHeight="1" outlineLevel="1" x14ac:dyDescent="0.2">
      <c r="A780" s="1" t="s">
        <v>4719</v>
      </c>
      <c r="B780" s="24" t="s">
        <v>5277</v>
      </c>
      <c r="C780" s="25" t="s">
        <v>2048</v>
      </c>
      <c r="D780" s="25" t="s">
        <v>2049</v>
      </c>
      <c r="E780" s="25" t="s">
        <v>5394</v>
      </c>
      <c r="F780" s="25" t="s">
        <v>2782</v>
      </c>
      <c r="G780" s="1" t="s">
        <v>1888</v>
      </c>
      <c r="H780" s="17">
        <v>0</v>
      </c>
      <c r="I780" s="18">
        <v>710000000</v>
      </c>
      <c r="J780" s="4" t="s">
        <v>1931</v>
      </c>
      <c r="K780" s="4" t="s">
        <v>5297</v>
      </c>
      <c r="L780" s="7" t="s">
        <v>1889</v>
      </c>
      <c r="M780" s="8" t="s">
        <v>3195</v>
      </c>
      <c r="N780" s="8" t="s">
        <v>1890</v>
      </c>
      <c r="O780" s="8" t="s">
        <v>1935</v>
      </c>
      <c r="P780" s="8">
        <v>796</v>
      </c>
      <c r="Q780" s="8" t="s">
        <v>3196</v>
      </c>
      <c r="R780" s="10">
        <v>1</v>
      </c>
      <c r="S780" s="10">
        <v>3125</v>
      </c>
      <c r="T780" s="10">
        <f t="shared" si="340"/>
        <v>3125</v>
      </c>
      <c r="U780" s="10">
        <f t="shared" si="341"/>
        <v>3500.0000000000005</v>
      </c>
      <c r="V780" s="8"/>
      <c r="W780" s="11">
        <v>2015</v>
      </c>
      <c r="X780" s="20"/>
    </row>
    <row r="781" spans="1:24" ht="76.5" customHeight="1" outlineLevel="1" x14ac:dyDescent="0.2">
      <c r="A781" s="1" t="s">
        <v>4720</v>
      </c>
      <c r="B781" s="24" t="s">
        <v>5277</v>
      </c>
      <c r="C781" s="24" t="s">
        <v>2075</v>
      </c>
      <c r="D781" s="24" t="s">
        <v>5402</v>
      </c>
      <c r="E781" s="24" t="s">
        <v>5395</v>
      </c>
      <c r="F781" s="25" t="s">
        <v>2782</v>
      </c>
      <c r="G781" s="1" t="s">
        <v>1888</v>
      </c>
      <c r="H781" s="17">
        <v>0</v>
      </c>
      <c r="I781" s="18">
        <v>710000000</v>
      </c>
      <c r="J781" s="4" t="s">
        <v>1931</v>
      </c>
      <c r="K781" s="4" t="s">
        <v>5297</v>
      </c>
      <c r="L781" s="7" t="s">
        <v>1889</v>
      </c>
      <c r="M781" s="8" t="s">
        <v>3195</v>
      </c>
      <c r="N781" s="8" t="s">
        <v>1890</v>
      </c>
      <c r="O781" s="8" t="s">
        <v>1935</v>
      </c>
      <c r="P781" s="8">
        <v>796</v>
      </c>
      <c r="Q781" s="8" t="s">
        <v>3196</v>
      </c>
      <c r="R781" s="10">
        <v>2</v>
      </c>
      <c r="S781" s="10">
        <v>4018</v>
      </c>
      <c r="T781" s="10">
        <f t="shared" si="340"/>
        <v>8036</v>
      </c>
      <c r="U781" s="10">
        <f t="shared" si="341"/>
        <v>9000.3200000000015</v>
      </c>
      <c r="V781" s="8"/>
      <c r="W781" s="11">
        <v>2015</v>
      </c>
      <c r="X781" s="20"/>
    </row>
    <row r="782" spans="1:24" ht="76.5" customHeight="1" outlineLevel="1" x14ac:dyDescent="0.2">
      <c r="A782" s="1" t="s">
        <v>4721</v>
      </c>
      <c r="B782" s="24" t="s">
        <v>5277</v>
      </c>
      <c r="C782" s="7" t="s">
        <v>3249</v>
      </c>
      <c r="D782" s="7" t="s">
        <v>3250</v>
      </c>
      <c r="E782" s="18" t="s">
        <v>5381</v>
      </c>
      <c r="F782" s="25" t="s">
        <v>2782</v>
      </c>
      <c r="G782" s="1" t="s">
        <v>1888</v>
      </c>
      <c r="H782" s="17">
        <v>0</v>
      </c>
      <c r="I782" s="18">
        <v>710000000</v>
      </c>
      <c r="J782" s="4" t="s">
        <v>1931</v>
      </c>
      <c r="K782" s="4" t="s">
        <v>5297</v>
      </c>
      <c r="L782" s="7" t="s">
        <v>1889</v>
      </c>
      <c r="M782" s="8" t="s">
        <v>3195</v>
      </c>
      <c r="N782" s="8" t="s">
        <v>1890</v>
      </c>
      <c r="O782" s="8" t="s">
        <v>1935</v>
      </c>
      <c r="P782" s="8">
        <v>796</v>
      </c>
      <c r="Q782" s="8" t="s">
        <v>3196</v>
      </c>
      <c r="R782" s="10">
        <v>1</v>
      </c>
      <c r="S782" s="10">
        <v>28571</v>
      </c>
      <c r="T782" s="10">
        <f t="shared" si="340"/>
        <v>28571</v>
      </c>
      <c r="U782" s="10">
        <f t="shared" si="341"/>
        <v>31999.520000000004</v>
      </c>
      <c r="V782" s="8"/>
      <c r="W782" s="11">
        <v>2015</v>
      </c>
      <c r="X782" s="20"/>
    </row>
    <row r="783" spans="1:24" ht="76.5" customHeight="1" outlineLevel="1" x14ac:dyDescent="0.2">
      <c r="A783" s="1" t="s">
        <v>4722</v>
      </c>
      <c r="B783" s="24" t="s">
        <v>5277</v>
      </c>
      <c r="C783" s="18" t="s">
        <v>2076</v>
      </c>
      <c r="D783" s="18" t="s">
        <v>2077</v>
      </c>
      <c r="E783" s="18" t="s">
        <v>2078</v>
      </c>
      <c r="F783" s="25" t="s">
        <v>2079</v>
      </c>
      <c r="G783" s="1" t="s">
        <v>1888</v>
      </c>
      <c r="H783" s="17">
        <v>0</v>
      </c>
      <c r="I783" s="18">
        <v>710000000</v>
      </c>
      <c r="J783" s="4" t="s">
        <v>1931</v>
      </c>
      <c r="K783" s="4" t="s">
        <v>5297</v>
      </c>
      <c r="L783" s="7" t="s">
        <v>1889</v>
      </c>
      <c r="M783" s="8" t="s">
        <v>3195</v>
      </c>
      <c r="N783" s="8" t="s">
        <v>1890</v>
      </c>
      <c r="O783" s="8" t="s">
        <v>1935</v>
      </c>
      <c r="P783" s="8">
        <v>796</v>
      </c>
      <c r="Q783" s="8" t="s">
        <v>3196</v>
      </c>
      <c r="R783" s="10">
        <v>1</v>
      </c>
      <c r="S783" s="10">
        <v>5357</v>
      </c>
      <c r="T783" s="10">
        <f t="shared" si="340"/>
        <v>5357</v>
      </c>
      <c r="U783" s="10">
        <f t="shared" si="341"/>
        <v>5999.84</v>
      </c>
      <c r="V783" s="8"/>
      <c r="W783" s="11">
        <v>2015</v>
      </c>
      <c r="X783" s="20"/>
    </row>
    <row r="784" spans="1:24" ht="76.5" customHeight="1" outlineLevel="1" x14ac:dyDescent="0.2">
      <c r="A784" s="1" t="s">
        <v>4723</v>
      </c>
      <c r="B784" s="24" t="s">
        <v>5277</v>
      </c>
      <c r="C784" s="18" t="s">
        <v>2080</v>
      </c>
      <c r="D784" s="18" t="s">
        <v>2031</v>
      </c>
      <c r="E784" s="18" t="s">
        <v>5395</v>
      </c>
      <c r="F784" s="25" t="s">
        <v>2782</v>
      </c>
      <c r="G784" s="1" t="s">
        <v>1888</v>
      </c>
      <c r="H784" s="17">
        <v>0</v>
      </c>
      <c r="I784" s="18">
        <v>710000000</v>
      </c>
      <c r="J784" s="4" t="s">
        <v>1931</v>
      </c>
      <c r="K784" s="4" t="s">
        <v>5297</v>
      </c>
      <c r="L784" s="7" t="s">
        <v>1889</v>
      </c>
      <c r="M784" s="8" t="s">
        <v>3195</v>
      </c>
      <c r="N784" s="8" t="s">
        <v>1890</v>
      </c>
      <c r="O784" s="8" t="s">
        <v>1935</v>
      </c>
      <c r="P784" s="8">
        <v>796</v>
      </c>
      <c r="Q784" s="8" t="s">
        <v>3196</v>
      </c>
      <c r="R784" s="10">
        <v>1</v>
      </c>
      <c r="S784" s="10">
        <v>8036</v>
      </c>
      <c r="T784" s="10">
        <f t="shared" si="340"/>
        <v>8036</v>
      </c>
      <c r="U784" s="10">
        <f t="shared" si="341"/>
        <v>9000.3200000000015</v>
      </c>
      <c r="V784" s="8"/>
      <c r="W784" s="11">
        <v>2015</v>
      </c>
      <c r="X784" s="20"/>
    </row>
    <row r="785" spans="1:24" ht="76.5" customHeight="1" outlineLevel="1" x14ac:dyDescent="0.2">
      <c r="A785" s="1" t="s">
        <v>4724</v>
      </c>
      <c r="B785" s="24" t="s">
        <v>5277</v>
      </c>
      <c r="C785" s="25" t="s">
        <v>2768</v>
      </c>
      <c r="D785" s="25" t="s">
        <v>5403</v>
      </c>
      <c r="E785" s="25" t="s">
        <v>5409</v>
      </c>
      <c r="F785" s="25" t="s">
        <v>2782</v>
      </c>
      <c r="G785" s="1" t="s">
        <v>1888</v>
      </c>
      <c r="H785" s="17">
        <v>0</v>
      </c>
      <c r="I785" s="18">
        <v>710000000</v>
      </c>
      <c r="J785" s="4" t="s">
        <v>1931</v>
      </c>
      <c r="K785" s="4" t="s">
        <v>5297</v>
      </c>
      <c r="L785" s="7" t="s">
        <v>1889</v>
      </c>
      <c r="M785" s="8" t="s">
        <v>3195</v>
      </c>
      <c r="N785" s="8" t="s">
        <v>1890</v>
      </c>
      <c r="O785" s="8" t="s">
        <v>1935</v>
      </c>
      <c r="P785" s="8">
        <v>796</v>
      </c>
      <c r="Q785" s="8" t="s">
        <v>3196</v>
      </c>
      <c r="R785" s="10">
        <v>4</v>
      </c>
      <c r="S785" s="10">
        <v>625</v>
      </c>
      <c r="T785" s="10">
        <f t="shared" si="340"/>
        <v>2500</v>
      </c>
      <c r="U785" s="10">
        <f t="shared" si="341"/>
        <v>2800.0000000000005</v>
      </c>
      <c r="V785" s="8"/>
      <c r="W785" s="11">
        <v>2015</v>
      </c>
      <c r="X785" s="20"/>
    </row>
    <row r="786" spans="1:24" ht="76.5" customHeight="1" outlineLevel="1" x14ac:dyDescent="0.2">
      <c r="A786" s="1" t="s">
        <v>4725</v>
      </c>
      <c r="B786" s="24" t="s">
        <v>5277</v>
      </c>
      <c r="C786" s="25" t="s">
        <v>2081</v>
      </c>
      <c r="D786" s="25" t="s">
        <v>2082</v>
      </c>
      <c r="E786" s="25" t="s">
        <v>2083</v>
      </c>
      <c r="F786" s="25" t="s">
        <v>2084</v>
      </c>
      <c r="G786" s="1" t="s">
        <v>1888</v>
      </c>
      <c r="H786" s="17">
        <v>0</v>
      </c>
      <c r="I786" s="18">
        <v>710000000</v>
      </c>
      <c r="J786" s="4" t="s">
        <v>1931</v>
      </c>
      <c r="K786" s="4" t="s">
        <v>5297</v>
      </c>
      <c r="L786" s="7" t="s">
        <v>1889</v>
      </c>
      <c r="M786" s="8" t="s">
        <v>3195</v>
      </c>
      <c r="N786" s="8" t="s">
        <v>1890</v>
      </c>
      <c r="O786" s="8" t="s">
        <v>1935</v>
      </c>
      <c r="P786" s="8">
        <v>796</v>
      </c>
      <c r="Q786" s="8" t="s">
        <v>3196</v>
      </c>
      <c r="R786" s="10">
        <v>1</v>
      </c>
      <c r="S786" s="10">
        <v>12500</v>
      </c>
      <c r="T786" s="10">
        <f t="shared" si="340"/>
        <v>12500</v>
      </c>
      <c r="U786" s="10">
        <f t="shared" si="341"/>
        <v>14000.000000000002</v>
      </c>
      <c r="V786" s="8"/>
      <c r="W786" s="11">
        <v>2015</v>
      </c>
      <c r="X786" s="20"/>
    </row>
    <row r="787" spans="1:24" ht="76.5" customHeight="1" outlineLevel="1" x14ac:dyDescent="0.2">
      <c r="A787" s="1" t="s">
        <v>4726</v>
      </c>
      <c r="B787" s="24" t="s">
        <v>5277</v>
      </c>
      <c r="C787" s="25" t="s">
        <v>2768</v>
      </c>
      <c r="D787" s="25" t="s">
        <v>5403</v>
      </c>
      <c r="E787" s="25" t="s">
        <v>5409</v>
      </c>
      <c r="F787" s="25" t="s">
        <v>2786</v>
      </c>
      <c r="G787" s="1" t="s">
        <v>1888</v>
      </c>
      <c r="H787" s="17">
        <v>0</v>
      </c>
      <c r="I787" s="18">
        <v>710000000</v>
      </c>
      <c r="J787" s="4" t="s">
        <v>1931</v>
      </c>
      <c r="K787" s="4" t="s">
        <v>5297</v>
      </c>
      <c r="L787" s="7" t="s">
        <v>1889</v>
      </c>
      <c r="M787" s="8" t="s">
        <v>3195</v>
      </c>
      <c r="N787" s="8" t="s">
        <v>1890</v>
      </c>
      <c r="O787" s="8" t="s">
        <v>1935</v>
      </c>
      <c r="P787" s="8">
        <v>796</v>
      </c>
      <c r="Q787" s="8" t="s">
        <v>3196</v>
      </c>
      <c r="R787" s="10">
        <v>1</v>
      </c>
      <c r="S787" s="10">
        <v>3571</v>
      </c>
      <c r="T787" s="10">
        <f t="shared" si="340"/>
        <v>3571</v>
      </c>
      <c r="U787" s="10">
        <f t="shared" si="341"/>
        <v>3999.5200000000004</v>
      </c>
      <c r="V787" s="8"/>
      <c r="W787" s="11">
        <v>2015</v>
      </c>
      <c r="X787" s="20"/>
    </row>
    <row r="788" spans="1:24" ht="76.5" customHeight="1" outlineLevel="1" x14ac:dyDescent="0.2">
      <c r="A788" s="1" t="s">
        <v>4727</v>
      </c>
      <c r="B788" s="24" t="s">
        <v>5277</v>
      </c>
      <c r="C788" s="7" t="s">
        <v>3070</v>
      </c>
      <c r="D788" s="7" t="s">
        <v>5373</v>
      </c>
      <c r="E788" s="18" t="s">
        <v>5374</v>
      </c>
      <c r="F788" s="25" t="s">
        <v>2786</v>
      </c>
      <c r="G788" s="1" t="s">
        <v>1888</v>
      </c>
      <c r="H788" s="17">
        <v>0</v>
      </c>
      <c r="I788" s="18">
        <v>710000000</v>
      </c>
      <c r="J788" s="4" t="s">
        <v>1931</v>
      </c>
      <c r="K788" s="4" t="s">
        <v>5297</v>
      </c>
      <c r="L788" s="7" t="s">
        <v>1889</v>
      </c>
      <c r="M788" s="8" t="s">
        <v>3195</v>
      </c>
      <c r="N788" s="8" t="s">
        <v>1890</v>
      </c>
      <c r="O788" s="8" t="s">
        <v>1935</v>
      </c>
      <c r="P788" s="1">
        <v>839</v>
      </c>
      <c r="Q788" s="4" t="s">
        <v>5413</v>
      </c>
      <c r="R788" s="10">
        <v>2</v>
      </c>
      <c r="S788" s="10">
        <v>2500</v>
      </c>
      <c r="T788" s="10">
        <f t="shared" si="340"/>
        <v>5000</v>
      </c>
      <c r="U788" s="10">
        <f t="shared" si="341"/>
        <v>5600.0000000000009</v>
      </c>
      <c r="V788" s="8"/>
      <c r="W788" s="11">
        <v>2015</v>
      </c>
      <c r="X788" s="20"/>
    </row>
    <row r="789" spans="1:24" ht="76.5" customHeight="1" outlineLevel="1" x14ac:dyDescent="0.2">
      <c r="A789" s="1" t="s">
        <v>4728</v>
      </c>
      <c r="B789" s="24" t="s">
        <v>5277</v>
      </c>
      <c r="C789" s="7" t="s">
        <v>3072</v>
      </c>
      <c r="D789" s="7" t="s">
        <v>5373</v>
      </c>
      <c r="E789" s="18" t="s">
        <v>5376</v>
      </c>
      <c r="F789" s="25" t="s">
        <v>2786</v>
      </c>
      <c r="G789" s="1" t="s">
        <v>1888</v>
      </c>
      <c r="H789" s="17">
        <v>0</v>
      </c>
      <c r="I789" s="18">
        <v>710000000</v>
      </c>
      <c r="J789" s="4" t="s">
        <v>1931</v>
      </c>
      <c r="K789" s="4" t="s">
        <v>5297</v>
      </c>
      <c r="L789" s="7" t="s">
        <v>1889</v>
      </c>
      <c r="M789" s="8" t="s">
        <v>3195</v>
      </c>
      <c r="N789" s="8" t="s">
        <v>1890</v>
      </c>
      <c r="O789" s="8" t="s">
        <v>1935</v>
      </c>
      <c r="P789" s="1">
        <v>839</v>
      </c>
      <c r="Q789" s="4" t="s">
        <v>5413</v>
      </c>
      <c r="R789" s="10">
        <v>1</v>
      </c>
      <c r="S789" s="10">
        <v>1696</v>
      </c>
      <c r="T789" s="10">
        <f t="shared" si="340"/>
        <v>1696</v>
      </c>
      <c r="U789" s="10">
        <f t="shared" si="341"/>
        <v>1899.5200000000002</v>
      </c>
      <c r="V789" s="8"/>
      <c r="W789" s="11">
        <v>2015</v>
      </c>
      <c r="X789" s="20"/>
    </row>
    <row r="790" spans="1:24" ht="76.5" customHeight="1" outlineLevel="1" x14ac:dyDescent="0.2">
      <c r="A790" s="1" t="s">
        <v>4729</v>
      </c>
      <c r="B790" s="24" t="s">
        <v>5277</v>
      </c>
      <c r="C790" s="25" t="s">
        <v>1986</v>
      </c>
      <c r="D790" s="25" t="s">
        <v>5411</v>
      </c>
      <c r="E790" s="25" t="s">
        <v>1987</v>
      </c>
      <c r="F790" s="25" t="s">
        <v>2786</v>
      </c>
      <c r="G790" s="1" t="s">
        <v>1888</v>
      </c>
      <c r="H790" s="17">
        <v>0</v>
      </c>
      <c r="I790" s="18">
        <v>710000000</v>
      </c>
      <c r="J790" s="4" t="s">
        <v>1931</v>
      </c>
      <c r="K790" s="4" t="s">
        <v>5297</v>
      </c>
      <c r="L790" s="7" t="s">
        <v>1889</v>
      </c>
      <c r="M790" s="8" t="s">
        <v>3195</v>
      </c>
      <c r="N790" s="8" t="s">
        <v>1890</v>
      </c>
      <c r="O790" s="8" t="s">
        <v>1935</v>
      </c>
      <c r="P790" s="8">
        <v>796</v>
      </c>
      <c r="Q790" s="8" t="s">
        <v>3196</v>
      </c>
      <c r="R790" s="10">
        <v>6</v>
      </c>
      <c r="S790" s="10">
        <v>3690</v>
      </c>
      <c r="T790" s="10">
        <f t="shared" si="340"/>
        <v>22140</v>
      </c>
      <c r="U790" s="10">
        <f t="shared" si="341"/>
        <v>24796.800000000003</v>
      </c>
      <c r="V790" s="8"/>
      <c r="W790" s="11">
        <v>2015</v>
      </c>
      <c r="X790" s="20"/>
    </row>
    <row r="791" spans="1:24" ht="76.5" customHeight="1" outlineLevel="1" x14ac:dyDescent="0.2">
      <c r="A791" s="1" t="s">
        <v>4730</v>
      </c>
      <c r="B791" s="24" t="s">
        <v>5277</v>
      </c>
      <c r="C791" s="25" t="s">
        <v>2085</v>
      </c>
      <c r="D791" s="25" t="s">
        <v>2086</v>
      </c>
      <c r="E791" s="25" t="s">
        <v>2087</v>
      </c>
      <c r="F791" s="25" t="s">
        <v>2786</v>
      </c>
      <c r="G791" s="1" t="s">
        <v>1888</v>
      </c>
      <c r="H791" s="17">
        <v>0</v>
      </c>
      <c r="I791" s="18">
        <v>710000000</v>
      </c>
      <c r="J791" s="4" t="s">
        <v>1931</v>
      </c>
      <c r="K791" s="4" t="s">
        <v>5297</v>
      </c>
      <c r="L791" s="7" t="s">
        <v>1889</v>
      </c>
      <c r="M791" s="8" t="s">
        <v>3195</v>
      </c>
      <c r="N791" s="8" t="s">
        <v>1890</v>
      </c>
      <c r="O791" s="8" t="s">
        <v>1935</v>
      </c>
      <c r="P791" s="1">
        <v>839</v>
      </c>
      <c r="Q791" s="4" t="s">
        <v>5413</v>
      </c>
      <c r="R791" s="10">
        <v>1</v>
      </c>
      <c r="S791" s="10">
        <v>66964</v>
      </c>
      <c r="T791" s="10">
        <f t="shared" ref="T791:T820" si="342">S791*R791</f>
        <v>66964</v>
      </c>
      <c r="U791" s="10">
        <f t="shared" si="341"/>
        <v>74999.680000000008</v>
      </c>
      <c r="V791" s="8"/>
      <c r="W791" s="11">
        <v>2015</v>
      </c>
      <c r="X791" s="20"/>
    </row>
    <row r="792" spans="1:24" ht="76.5" customHeight="1" outlineLevel="1" x14ac:dyDescent="0.2">
      <c r="A792" s="1" t="s">
        <v>4731</v>
      </c>
      <c r="B792" s="24" t="s">
        <v>5277</v>
      </c>
      <c r="C792" s="25" t="s">
        <v>2088</v>
      </c>
      <c r="D792" s="25" t="s">
        <v>5401</v>
      </c>
      <c r="E792" s="25" t="s">
        <v>2089</v>
      </c>
      <c r="F792" s="25" t="s">
        <v>2786</v>
      </c>
      <c r="G792" s="1" t="s">
        <v>1888</v>
      </c>
      <c r="H792" s="17">
        <v>0</v>
      </c>
      <c r="I792" s="18">
        <v>710000000</v>
      </c>
      <c r="J792" s="4" t="s">
        <v>1931</v>
      </c>
      <c r="K792" s="4" t="s">
        <v>5297</v>
      </c>
      <c r="L792" s="7" t="s">
        <v>1889</v>
      </c>
      <c r="M792" s="8" t="s">
        <v>3195</v>
      </c>
      <c r="N792" s="8" t="s">
        <v>1890</v>
      </c>
      <c r="O792" s="8" t="s">
        <v>1935</v>
      </c>
      <c r="P792" s="1">
        <v>839</v>
      </c>
      <c r="Q792" s="4" t="s">
        <v>5413</v>
      </c>
      <c r="R792" s="10">
        <v>1</v>
      </c>
      <c r="S792" s="10">
        <v>5357</v>
      </c>
      <c r="T792" s="10">
        <f t="shared" si="342"/>
        <v>5357</v>
      </c>
      <c r="U792" s="10">
        <f t="shared" si="341"/>
        <v>5999.84</v>
      </c>
      <c r="V792" s="8"/>
      <c r="W792" s="11">
        <v>2015</v>
      </c>
      <c r="X792" s="20"/>
    </row>
    <row r="793" spans="1:24" ht="76.5" customHeight="1" outlineLevel="1" x14ac:dyDescent="0.2">
      <c r="A793" s="1" t="s">
        <v>4732</v>
      </c>
      <c r="B793" s="24" t="s">
        <v>5277</v>
      </c>
      <c r="C793" s="25" t="s">
        <v>2090</v>
      </c>
      <c r="D793" s="25" t="s">
        <v>2091</v>
      </c>
      <c r="E793" s="25" t="s">
        <v>2092</v>
      </c>
      <c r="F793" s="25" t="s">
        <v>2093</v>
      </c>
      <c r="G793" s="1" t="s">
        <v>1888</v>
      </c>
      <c r="H793" s="17">
        <v>0</v>
      </c>
      <c r="I793" s="18">
        <v>710000000</v>
      </c>
      <c r="J793" s="4" t="s">
        <v>1931</v>
      </c>
      <c r="K793" s="4" t="s">
        <v>5297</v>
      </c>
      <c r="L793" s="7" t="s">
        <v>1889</v>
      </c>
      <c r="M793" s="8" t="s">
        <v>3195</v>
      </c>
      <c r="N793" s="8" t="s">
        <v>1890</v>
      </c>
      <c r="O793" s="8" t="s">
        <v>1935</v>
      </c>
      <c r="P793" s="8">
        <v>796</v>
      </c>
      <c r="Q793" s="8" t="s">
        <v>3196</v>
      </c>
      <c r="R793" s="10">
        <v>1</v>
      </c>
      <c r="S793" s="10">
        <v>13393</v>
      </c>
      <c r="T793" s="10">
        <f t="shared" si="342"/>
        <v>13393</v>
      </c>
      <c r="U793" s="10">
        <f t="shared" si="341"/>
        <v>15000.160000000002</v>
      </c>
      <c r="V793" s="8"/>
      <c r="W793" s="11">
        <v>2015</v>
      </c>
      <c r="X793" s="20"/>
    </row>
    <row r="794" spans="1:24" ht="76.5" customHeight="1" outlineLevel="1" x14ac:dyDescent="0.2">
      <c r="A794" s="1" t="s">
        <v>4733</v>
      </c>
      <c r="B794" s="24" t="s">
        <v>5277</v>
      </c>
      <c r="C794" s="25" t="s">
        <v>2099</v>
      </c>
      <c r="D794" s="25" t="s">
        <v>5384</v>
      </c>
      <c r="E794" s="25" t="s">
        <v>2100</v>
      </c>
      <c r="F794" s="25" t="s">
        <v>2101</v>
      </c>
      <c r="G794" s="1" t="s">
        <v>1888</v>
      </c>
      <c r="H794" s="17">
        <v>0</v>
      </c>
      <c r="I794" s="18">
        <v>710000000</v>
      </c>
      <c r="J794" s="4" t="s">
        <v>1931</v>
      </c>
      <c r="K794" s="4" t="s">
        <v>5297</v>
      </c>
      <c r="L794" s="7" t="s">
        <v>1889</v>
      </c>
      <c r="M794" s="8" t="s">
        <v>3195</v>
      </c>
      <c r="N794" s="8" t="s">
        <v>1890</v>
      </c>
      <c r="O794" s="8" t="s">
        <v>1935</v>
      </c>
      <c r="P794" s="8">
        <v>796</v>
      </c>
      <c r="Q794" s="8" t="s">
        <v>3196</v>
      </c>
      <c r="R794" s="10">
        <v>1</v>
      </c>
      <c r="S794" s="10">
        <v>7490</v>
      </c>
      <c r="T794" s="10">
        <f t="shared" si="342"/>
        <v>7490</v>
      </c>
      <c r="U794" s="10">
        <f t="shared" si="341"/>
        <v>8388.8000000000011</v>
      </c>
      <c r="V794" s="8"/>
      <c r="W794" s="11">
        <v>2015</v>
      </c>
      <c r="X794" s="20"/>
    </row>
    <row r="795" spans="1:24" ht="76.5" customHeight="1" outlineLevel="1" x14ac:dyDescent="0.2">
      <c r="A795" s="1" t="s">
        <v>4734</v>
      </c>
      <c r="B795" s="24" t="s">
        <v>5277</v>
      </c>
      <c r="C795" s="25" t="s">
        <v>2102</v>
      </c>
      <c r="D795" s="25" t="s">
        <v>2103</v>
      </c>
      <c r="E795" s="25" t="s">
        <v>5365</v>
      </c>
      <c r="F795" s="25" t="s">
        <v>2104</v>
      </c>
      <c r="G795" s="1" t="s">
        <v>1888</v>
      </c>
      <c r="H795" s="17">
        <v>0</v>
      </c>
      <c r="I795" s="18">
        <v>710000000</v>
      </c>
      <c r="J795" s="4" t="s">
        <v>1931</v>
      </c>
      <c r="K795" s="4" t="s">
        <v>5297</v>
      </c>
      <c r="L795" s="7" t="s">
        <v>1889</v>
      </c>
      <c r="M795" s="8" t="s">
        <v>3195</v>
      </c>
      <c r="N795" s="8" t="s">
        <v>1890</v>
      </c>
      <c r="O795" s="8" t="s">
        <v>1935</v>
      </c>
      <c r="P795" s="8">
        <v>796</v>
      </c>
      <c r="Q795" s="8" t="s">
        <v>3196</v>
      </c>
      <c r="R795" s="10">
        <v>4</v>
      </c>
      <c r="S795" s="10">
        <v>3745</v>
      </c>
      <c r="T795" s="10">
        <f t="shared" si="342"/>
        <v>14980</v>
      </c>
      <c r="U795" s="10">
        <f t="shared" si="341"/>
        <v>16777.600000000002</v>
      </c>
      <c r="V795" s="8"/>
      <c r="W795" s="11">
        <v>2015</v>
      </c>
      <c r="X795" s="20"/>
    </row>
    <row r="796" spans="1:24" ht="76.5" customHeight="1" outlineLevel="1" x14ac:dyDescent="0.2">
      <c r="A796" s="1" t="s">
        <v>4735</v>
      </c>
      <c r="B796" s="24" t="s">
        <v>5277</v>
      </c>
      <c r="C796" s="25" t="s">
        <v>2105</v>
      </c>
      <c r="D796" s="25" t="s">
        <v>2106</v>
      </c>
      <c r="E796" s="25" t="s">
        <v>5365</v>
      </c>
      <c r="F796" s="25" t="s">
        <v>2107</v>
      </c>
      <c r="G796" s="1" t="s">
        <v>1888</v>
      </c>
      <c r="H796" s="17">
        <v>0</v>
      </c>
      <c r="I796" s="18">
        <v>710000000</v>
      </c>
      <c r="J796" s="4" t="s">
        <v>1931</v>
      </c>
      <c r="K796" s="4" t="s">
        <v>5297</v>
      </c>
      <c r="L796" s="7" t="s">
        <v>1889</v>
      </c>
      <c r="M796" s="8" t="s">
        <v>3195</v>
      </c>
      <c r="N796" s="8" t="s">
        <v>1890</v>
      </c>
      <c r="O796" s="8" t="s">
        <v>1935</v>
      </c>
      <c r="P796" s="8">
        <v>796</v>
      </c>
      <c r="Q796" s="8" t="s">
        <v>3196</v>
      </c>
      <c r="R796" s="10">
        <v>4</v>
      </c>
      <c r="S796" s="10">
        <v>3745</v>
      </c>
      <c r="T796" s="10">
        <f t="shared" si="342"/>
        <v>14980</v>
      </c>
      <c r="U796" s="10">
        <f t="shared" ref="U796:U892" si="343">T796*1.12</f>
        <v>16777.600000000002</v>
      </c>
      <c r="V796" s="8"/>
      <c r="W796" s="11">
        <v>2015</v>
      </c>
      <c r="X796" s="20"/>
    </row>
    <row r="797" spans="1:24" ht="76.5" customHeight="1" outlineLevel="1" x14ac:dyDescent="0.2">
      <c r="A797" s="1" t="s">
        <v>4736</v>
      </c>
      <c r="B797" s="24" t="s">
        <v>5277</v>
      </c>
      <c r="C797" s="24" t="s">
        <v>2758</v>
      </c>
      <c r="D797" s="24" t="s">
        <v>5403</v>
      </c>
      <c r="E797" s="24" t="s">
        <v>5404</v>
      </c>
      <c r="F797" s="25" t="s">
        <v>2108</v>
      </c>
      <c r="G797" s="1" t="s">
        <v>1888</v>
      </c>
      <c r="H797" s="17">
        <v>0</v>
      </c>
      <c r="I797" s="18">
        <v>710000000</v>
      </c>
      <c r="J797" s="4" t="s">
        <v>1931</v>
      </c>
      <c r="K797" s="4" t="s">
        <v>5297</v>
      </c>
      <c r="L797" s="7" t="s">
        <v>1889</v>
      </c>
      <c r="M797" s="8" t="s">
        <v>3195</v>
      </c>
      <c r="N797" s="8" t="s">
        <v>1890</v>
      </c>
      <c r="O797" s="8" t="s">
        <v>1935</v>
      </c>
      <c r="P797" s="8">
        <v>796</v>
      </c>
      <c r="Q797" s="8" t="s">
        <v>3196</v>
      </c>
      <c r="R797" s="10">
        <v>3</v>
      </c>
      <c r="S797" s="10">
        <v>1070</v>
      </c>
      <c r="T797" s="10">
        <f t="shared" si="342"/>
        <v>3210</v>
      </c>
      <c r="U797" s="10">
        <f t="shared" si="343"/>
        <v>3595.2000000000003</v>
      </c>
      <c r="V797" s="8"/>
      <c r="W797" s="11">
        <v>2015</v>
      </c>
      <c r="X797" s="20"/>
    </row>
    <row r="798" spans="1:24" ht="76.5" customHeight="1" outlineLevel="1" x14ac:dyDescent="0.2">
      <c r="A798" s="1" t="s">
        <v>4737</v>
      </c>
      <c r="B798" s="24" t="s">
        <v>5277</v>
      </c>
      <c r="C798" s="25" t="s">
        <v>2109</v>
      </c>
      <c r="D798" s="25" t="s">
        <v>5411</v>
      </c>
      <c r="E798" s="25" t="s">
        <v>2110</v>
      </c>
      <c r="F798" s="25" t="s">
        <v>2111</v>
      </c>
      <c r="G798" s="1" t="s">
        <v>1888</v>
      </c>
      <c r="H798" s="17">
        <v>0</v>
      </c>
      <c r="I798" s="18">
        <v>710000000</v>
      </c>
      <c r="J798" s="4" t="s">
        <v>1931</v>
      </c>
      <c r="K798" s="4" t="s">
        <v>5297</v>
      </c>
      <c r="L798" s="7" t="s">
        <v>1889</v>
      </c>
      <c r="M798" s="8" t="s">
        <v>3195</v>
      </c>
      <c r="N798" s="8" t="s">
        <v>1890</v>
      </c>
      <c r="O798" s="8" t="s">
        <v>1935</v>
      </c>
      <c r="P798" s="8">
        <v>796</v>
      </c>
      <c r="Q798" s="8" t="s">
        <v>3196</v>
      </c>
      <c r="R798" s="10">
        <v>10</v>
      </c>
      <c r="S798" s="10">
        <v>1284</v>
      </c>
      <c r="T798" s="10">
        <f t="shared" si="342"/>
        <v>12840</v>
      </c>
      <c r="U798" s="10">
        <f t="shared" si="343"/>
        <v>14380.800000000001</v>
      </c>
      <c r="V798" s="8"/>
      <c r="W798" s="11">
        <v>2015</v>
      </c>
      <c r="X798" s="20"/>
    </row>
    <row r="799" spans="1:24" ht="76.5" customHeight="1" outlineLevel="1" x14ac:dyDescent="0.2">
      <c r="A799" s="1" t="s">
        <v>4738</v>
      </c>
      <c r="B799" s="24" t="s">
        <v>5277</v>
      </c>
      <c r="C799" s="25" t="s">
        <v>2112</v>
      </c>
      <c r="D799" s="25" t="s">
        <v>5380</v>
      </c>
      <c r="E799" s="25" t="s">
        <v>2113</v>
      </c>
      <c r="F799" s="25" t="s">
        <v>2114</v>
      </c>
      <c r="G799" s="1" t="s">
        <v>1888</v>
      </c>
      <c r="H799" s="17">
        <v>0</v>
      </c>
      <c r="I799" s="18">
        <v>710000000</v>
      </c>
      <c r="J799" s="4" t="s">
        <v>1931</v>
      </c>
      <c r="K799" s="4" t="s">
        <v>5297</v>
      </c>
      <c r="L799" s="7" t="s">
        <v>1889</v>
      </c>
      <c r="M799" s="8" t="s">
        <v>3195</v>
      </c>
      <c r="N799" s="8" t="s">
        <v>1890</v>
      </c>
      <c r="O799" s="8" t="s">
        <v>1935</v>
      </c>
      <c r="P799" s="8">
        <v>796</v>
      </c>
      <c r="Q799" s="8" t="s">
        <v>3196</v>
      </c>
      <c r="R799" s="10">
        <v>1</v>
      </c>
      <c r="S799" s="10">
        <v>40660</v>
      </c>
      <c r="T799" s="10">
        <f t="shared" si="342"/>
        <v>40660</v>
      </c>
      <c r="U799" s="10">
        <f t="shared" si="343"/>
        <v>45539.200000000004</v>
      </c>
      <c r="V799" s="8"/>
      <c r="W799" s="11">
        <v>2015</v>
      </c>
      <c r="X799" s="20"/>
    </row>
    <row r="800" spans="1:24" ht="76.5" customHeight="1" outlineLevel="1" x14ac:dyDescent="0.2">
      <c r="A800" s="1" t="s">
        <v>4739</v>
      </c>
      <c r="B800" s="24" t="s">
        <v>5277</v>
      </c>
      <c r="C800" s="25" t="s">
        <v>2115</v>
      </c>
      <c r="D800" s="25" t="s">
        <v>2116</v>
      </c>
      <c r="E800" s="25" t="s">
        <v>2116</v>
      </c>
      <c r="F800" s="25" t="s">
        <v>2117</v>
      </c>
      <c r="G800" s="1" t="s">
        <v>1888</v>
      </c>
      <c r="H800" s="17">
        <v>0</v>
      </c>
      <c r="I800" s="18">
        <v>710000000</v>
      </c>
      <c r="J800" s="4" t="s">
        <v>1931</v>
      </c>
      <c r="K800" s="4" t="s">
        <v>5297</v>
      </c>
      <c r="L800" s="7" t="s">
        <v>1889</v>
      </c>
      <c r="M800" s="8" t="s">
        <v>3195</v>
      </c>
      <c r="N800" s="8" t="s">
        <v>1890</v>
      </c>
      <c r="O800" s="8" t="s">
        <v>1935</v>
      </c>
      <c r="P800" s="8">
        <v>796</v>
      </c>
      <c r="Q800" s="8" t="s">
        <v>3196</v>
      </c>
      <c r="R800" s="10">
        <v>1</v>
      </c>
      <c r="S800" s="10">
        <v>9630</v>
      </c>
      <c r="T800" s="10">
        <f t="shared" si="342"/>
        <v>9630</v>
      </c>
      <c r="U800" s="10">
        <f t="shared" si="343"/>
        <v>10785.6</v>
      </c>
      <c r="V800" s="8"/>
      <c r="W800" s="11">
        <v>2015</v>
      </c>
      <c r="X800" s="20"/>
    </row>
    <row r="801" spans="1:24" ht="76.5" customHeight="1" outlineLevel="1" x14ac:dyDescent="0.2">
      <c r="A801" s="1" t="s">
        <v>4740</v>
      </c>
      <c r="B801" s="24" t="s">
        <v>5277</v>
      </c>
      <c r="C801" s="22" t="s">
        <v>2118</v>
      </c>
      <c r="D801" s="25" t="s">
        <v>2119</v>
      </c>
      <c r="E801" s="25" t="s">
        <v>2120</v>
      </c>
      <c r="F801" s="22"/>
      <c r="G801" s="1" t="s">
        <v>1888</v>
      </c>
      <c r="H801" s="17">
        <v>0</v>
      </c>
      <c r="I801" s="18">
        <v>710000000</v>
      </c>
      <c r="J801" s="4" t="s">
        <v>1931</v>
      </c>
      <c r="K801" s="4" t="s">
        <v>5297</v>
      </c>
      <c r="L801" s="18" t="s">
        <v>1889</v>
      </c>
      <c r="M801" s="8" t="s">
        <v>3195</v>
      </c>
      <c r="N801" s="8" t="s">
        <v>1890</v>
      </c>
      <c r="O801" s="8" t="s">
        <v>1935</v>
      </c>
      <c r="P801" s="8">
        <v>796</v>
      </c>
      <c r="Q801" s="8" t="s">
        <v>3196</v>
      </c>
      <c r="R801" s="10">
        <v>1</v>
      </c>
      <c r="S801" s="10">
        <v>4815</v>
      </c>
      <c r="T801" s="10">
        <f t="shared" si="342"/>
        <v>4815</v>
      </c>
      <c r="U801" s="10">
        <f t="shared" si="343"/>
        <v>5392.8</v>
      </c>
      <c r="V801" s="8"/>
      <c r="W801" s="11">
        <v>2015</v>
      </c>
      <c r="X801" s="8"/>
    </row>
    <row r="802" spans="1:24" ht="76.5" customHeight="1" outlineLevel="1" x14ac:dyDescent="0.2">
      <c r="A802" s="1" t="s">
        <v>4741</v>
      </c>
      <c r="B802" s="24" t="s">
        <v>5277</v>
      </c>
      <c r="C802" s="25" t="s">
        <v>2115</v>
      </c>
      <c r="D802" s="25" t="s">
        <v>2116</v>
      </c>
      <c r="E802" s="25" t="s">
        <v>2116</v>
      </c>
      <c r="F802" s="25" t="s">
        <v>2121</v>
      </c>
      <c r="G802" s="1" t="s">
        <v>1888</v>
      </c>
      <c r="H802" s="17">
        <v>0</v>
      </c>
      <c r="I802" s="18">
        <v>710000000</v>
      </c>
      <c r="J802" s="4" t="s">
        <v>1931</v>
      </c>
      <c r="K802" s="4" t="s">
        <v>5297</v>
      </c>
      <c r="L802" s="7" t="s">
        <v>1889</v>
      </c>
      <c r="M802" s="8" t="s">
        <v>3195</v>
      </c>
      <c r="N802" s="8" t="s">
        <v>1890</v>
      </c>
      <c r="O802" s="8" t="s">
        <v>1935</v>
      </c>
      <c r="P802" s="8">
        <v>796</v>
      </c>
      <c r="Q802" s="8" t="s">
        <v>3196</v>
      </c>
      <c r="R802" s="10">
        <v>1</v>
      </c>
      <c r="S802" s="10">
        <v>9630</v>
      </c>
      <c r="T802" s="10">
        <f t="shared" si="342"/>
        <v>9630</v>
      </c>
      <c r="U802" s="10">
        <f t="shared" si="343"/>
        <v>10785.6</v>
      </c>
      <c r="V802" s="8"/>
      <c r="W802" s="11">
        <v>2015</v>
      </c>
      <c r="X802" s="20"/>
    </row>
    <row r="803" spans="1:24" ht="76.5" customHeight="1" outlineLevel="1" x14ac:dyDescent="0.2">
      <c r="A803" s="1" t="s">
        <v>4742</v>
      </c>
      <c r="B803" s="24" t="s">
        <v>5277</v>
      </c>
      <c r="C803" s="22" t="s">
        <v>2122</v>
      </c>
      <c r="D803" s="25" t="s">
        <v>5363</v>
      </c>
      <c r="E803" s="25" t="s">
        <v>2120</v>
      </c>
      <c r="F803" s="22"/>
      <c r="G803" s="1" t="s">
        <v>1888</v>
      </c>
      <c r="H803" s="17">
        <v>0</v>
      </c>
      <c r="I803" s="18">
        <v>710000000</v>
      </c>
      <c r="J803" s="4" t="s">
        <v>1931</v>
      </c>
      <c r="K803" s="4" t="s">
        <v>5297</v>
      </c>
      <c r="L803" s="18" t="s">
        <v>1889</v>
      </c>
      <c r="M803" s="8" t="s">
        <v>3195</v>
      </c>
      <c r="N803" s="8" t="s">
        <v>1890</v>
      </c>
      <c r="O803" s="8" t="s">
        <v>1935</v>
      </c>
      <c r="P803" s="8">
        <v>796</v>
      </c>
      <c r="Q803" s="8" t="s">
        <v>3196</v>
      </c>
      <c r="R803" s="10">
        <v>4</v>
      </c>
      <c r="S803" s="10">
        <v>1926</v>
      </c>
      <c r="T803" s="10">
        <f t="shared" si="342"/>
        <v>7704</v>
      </c>
      <c r="U803" s="10">
        <f t="shared" si="343"/>
        <v>8628.4800000000014</v>
      </c>
      <c r="V803" s="8"/>
      <c r="W803" s="11">
        <v>2015</v>
      </c>
      <c r="X803" s="8"/>
    </row>
    <row r="804" spans="1:24" ht="76.5" customHeight="1" outlineLevel="1" x14ac:dyDescent="0.2">
      <c r="A804" s="1" t="s">
        <v>4743</v>
      </c>
      <c r="B804" s="24" t="s">
        <v>5277</v>
      </c>
      <c r="C804" s="22" t="s">
        <v>2123</v>
      </c>
      <c r="D804" s="25" t="s">
        <v>1952</v>
      </c>
      <c r="E804" s="25" t="s">
        <v>2124</v>
      </c>
      <c r="F804" s="22" t="s">
        <v>2125</v>
      </c>
      <c r="G804" s="1" t="s">
        <v>1888</v>
      </c>
      <c r="H804" s="17">
        <v>0</v>
      </c>
      <c r="I804" s="18">
        <v>710000000</v>
      </c>
      <c r="J804" s="4" t="s">
        <v>1931</v>
      </c>
      <c r="K804" s="4" t="s">
        <v>5297</v>
      </c>
      <c r="L804" s="18" t="s">
        <v>1889</v>
      </c>
      <c r="M804" s="8" t="s">
        <v>3195</v>
      </c>
      <c r="N804" s="8" t="s">
        <v>1890</v>
      </c>
      <c r="O804" s="8" t="s">
        <v>1935</v>
      </c>
      <c r="P804" s="8">
        <v>796</v>
      </c>
      <c r="Q804" s="8" t="s">
        <v>3196</v>
      </c>
      <c r="R804" s="10">
        <v>4</v>
      </c>
      <c r="S804" s="10">
        <v>2140</v>
      </c>
      <c r="T804" s="10">
        <f t="shared" si="342"/>
        <v>8560</v>
      </c>
      <c r="U804" s="10">
        <f t="shared" si="343"/>
        <v>9587.2000000000007</v>
      </c>
      <c r="V804" s="8"/>
      <c r="W804" s="11">
        <v>2015</v>
      </c>
      <c r="X804" s="8"/>
    </row>
    <row r="805" spans="1:24" ht="76.5" customHeight="1" outlineLevel="1" x14ac:dyDescent="0.2">
      <c r="A805" s="1" t="s">
        <v>4744</v>
      </c>
      <c r="B805" s="24" t="s">
        <v>5277</v>
      </c>
      <c r="C805" s="25" t="s">
        <v>2126</v>
      </c>
      <c r="D805" s="25" t="s">
        <v>2127</v>
      </c>
      <c r="E805" s="25" t="s">
        <v>2128</v>
      </c>
      <c r="F805" s="22" t="s">
        <v>2129</v>
      </c>
      <c r="G805" s="1" t="s">
        <v>1888</v>
      </c>
      <c r="H805" s="17">
        <v>0</v>
      </c>
      <c r="I805" s="18">
        <v>710000000</v>
      </c>
      <c r="J805" s="4" t="s">
        <v>1931</v>
      </c>
      <c r="K805" s="4" t="s">
        <v>5297</v>
      </c>
      <c r="L805" s="18" t="s">
        <v>1889</v>
      </c>
      <c r="M805" s="8" t="s">
        <v>3195</v>
      </c>
      <c r="N805" s="8" t="s">
        <v>1890</v>
      </c>
      <c r="O805" s="8" t="s">
        <v>1935</v>
      </c>
      <c r="P805" s="8">
        <v>796</v>
      </c>
      <c r="Q805" s="8" t="s">
        <v>3196</v>
      </c>
      <c r="R805" s="10">
        <v>1</v>
      </c>
      <c r="S805" s="10">
        <v>42800</v>
      </c>
      <c r="T805" s="10">
        <f t="shared" si="342"/>
        <v>42800</v>
      </c>
      <c r="U805" s="10">
        <f t="shared" si="343"/>
        <v>47936.000000000007</v>
      </c>
      <c r="V805" s="8"/>
      <c r="W805" s="11">
        <v>2015</v>
      </c>
      <c r="X805" s="8"/>
    </row>
    <row r="806" spans="1:24" ht="76.5" customHeight="1" outlineLevel="1" x14ac:dyDescent="0.2">
      <c r="A806" s="1" t="s">
        <v>4745</v>
      </c>
      <c r="B806" s="24" t="s">
        <v>5277</v>
      </c>
      <c r="C806" s="22" t="s">
        <v>2130</v>
      </c>
      <c r="D806" s="25" t="s">
        <v>2131</v>
      </c>
      <c r="E806" s="25" t="s">
        <v>2132</v>
      </c>
      <c r="F806" s="22"/>
      <c r="G806" s="1" t="s">
        <v>1888</v>
      </c>
      <c r="H806" s="17">
        <v>0</v>
      </c>
      <c r="I806" s="18">
        <v>710000000</v>
      </c>
      <c r="J806" s="4" t="s">
        <v>1931</v>
      </c>
      <c r="K806" s="4" t="s">
        <v>5297</v>
      </c>
      <c r="L806" s="18" t="s">
        <v>1889</v>
      </c>
      <c r="M806" s="8" t="s">
        <v>3195</v>
      </c>
      <c r="N806" s="8" t="s">
        <v>1890</v>
      </c>
      <c r="O806" s="8" t="s">
        <v>1935</v>
      </c>
      <c r="P806" s="8">
        <v>796</v>
      </c>
      <c r="Q806" s="8" t="s">
        <v>3196</v>
      </c>
      <c r="R806" s="10">
        <v>8</v>
      </c>
      <c r="S806" s="10">
        <v>856</v>
      </c>
      <c r="T806" s="10">
        <f t="shared" si="342"/>
        <v>6848</v>
      </c>
      <c r="U806" s="10">
        <f t="shared" si="343"/>
        <v>7669.7600000000011</v>
      </c>
      <c r="V806" s="8"/>
      <c r="W806" s="11">
        <v>2015</v>
      </c>
      <c r="X806" s="8"/>
    </row>
    <row r="807" spans="1:24" ht="76.5" customHeight="1" outlineLevel="1" x14ac:dyDescent="0.2">
      <c r="A807" s="1" t="s">
        <v>4746</v>
      </c>
      <c r="B807" s="24" t="s">
        <v>5277</v>
      </c>
      <c r="C807" s="7" t="s">
        <v>2788</v>
      </c>
      <c r="D807" s="7" t="s">
        <v>2789</v>
      </c>
      <c r="E807" s="18" t="s">
        <v>5424</v>
      </c>
      <c r="F807" s="25"/>
      <c r="G807" s="1" t="s">
        <v>3190</v>
      </c>
      <c r="H807" s="17">
        <v>0</v>
      </c>
      <c r="I807" s="18">
        <v>710000000</v>
      </c>
      <c r="J807" s="4" t="s">
        <v>1931</v>
      </c>
      <c r="K807" s="4" t="s">
        <v>5297</v>
      </c>
      <c r="L807" s="7" t="s">
        <v>1889</v>
      </c>
      <c r="M807" s="8" t="s">
        <v>3195</v>
      </c>
      <c r="N807" s="8" t="s">
        <v>1890</v>
      </c>
      <c r="O807" s="8" t="s">
        <v>1935</v>
      </c>
      <c r="P807" s="8">
        <v>796</v>
      </c>
      <c r="Q807" s="8" t="s">
        <v>3196</v>
      </c>
      <c r="R807" s="10">
        <v>2</v>
      </c>
      <c r="S807" s="10">
        <v>31250</v>
      </c>
      <c r="T807" s="10">
        <f t="shared" si="342"/>
        <v>62500</v>
      </c>
      <c r="U807" s="10">
        <f t="shared" si="343"/>
        <v>70000</v>
      </c>
      <c r="V807" s="8"/>
      <c r="W807" s="11">
        <v>2015</v>
      </c>
      <c r="X807" s="20"/>
    </row>
    <row r="808" spans="1:24" ht="76.5" customHeight="1" outlineLevel="1" x14ac:dyDescent="0.2">
      <c r="A808" s="1" t="s">
        <v>4747</v>
      </c>
      <c r="B808" s="24" t="s">
        <v>5277</v>
      </c>
      <c r="C808" s="7" t="s">
        <v>2790</v>
      </c>
      <c r="D808" s="7" t="s">
        <v>2789</v>
      </c>
      <c r="E808" s="18" t="s">
        <v>5425</v>
      </c>
      <c r="F808" s="25"/>
      <c r="G808" s="1" t="s">
        <v>3190</v>
      </c>
      <c r="H808" s="17">
        <v>0</v>
      </c>
      <c r="I808" s="18">
        <v>711000000</v>
      </c>
      <c r="J808" s="4" t="s">
        <v>1931</v>
      </c>
      <c r="K808" s="4" t="s">
        <v>5297</v>
      </c>
      <c r="L808" s="7" t="s">
        <v>1889</v>
      </c>
      <c r="M808" s="8" t="s">
        <v>3195</v>
      </c>
      <c r="N808" s="8" t="s">
        <v>1890</v>
      </c>
      <c r="O808" s="8" t="s">
        <v>1935</v>
      </c>
      <c r="P808" s="8">
        <v>796</v>
      </c>
      <c r="Q808" s="8" t="s">
        <v>3196</v>
      </c>
      <c r="R808" s="10">
        <v>1</v>
      </c>
      <c r="S808" s="10">
        <v>24000</v>
      </c>
      <c r="T808" s="10">
        <f t="shared" si="342"/>
        <v>24000</v>
      </c>
      <c r="U808" s="10">
        <f t="shared" si="343"/>
        <v>26880.000000000004</v>
      </c>
      <c r="V808" s="8"/>
      <c r="W808" s="11">
        <v>2015</v>
      </c>
      <c r="X808" s="20"/>
    </row>
    <row r="809" spans="1:24" ht="76.5" customHeight="1" outlineLevel="1" x14ac:dyDescent="0.2">
      <c r="A809" s="1" t="s">
        <v>4748</v>
      </c>
      <c r="B809" s="24" t="s">
        <v>5277</v>
      </c>
      <c r="C809" s="7" t="s">
        <v>2791</v>
      </c>
      <c r="D809" s="7" t="s">
        <v>2789</v>
      </c>
      <c r="E809" s="18" t="s">
        <v>5426</v>
      </c>
      <c r="F809" s="25"/>
      <c r="G809" s="1" t="s">
        <v>3190</v>
      </c>
      <c r="H809" s="17">
        <v>0</v>
      </c>
      <c r="I809" s="18">
        <v>711000000</v>
      </c>
      <c r="J809" s="4" t="s">
        <v>1931</v>
      </c>
      <c r="K809" s="4" t="s">
        <v>5297</v>
      </c>
      <c r="L809" s="7" t="s">
        <v>1889</v>
      </c>
      <c r="M809" s="8" t="s">
        <v>3195</v>
      </c>
      <c r="N809" s="8" t="s">
        <v>1890</v>
      </c>
      <c r="O809" s="8" t="s">
        <v>1935</v>
      </c>
      <c r="P809" s="8">
        <v>796</v>
      </c>
      <c r="Q809" s="8" t="s">
        <v>3196</v>
      </c>
      <c r="R809" s="10">
        <v>3</v>
      </c>
      <c r="S809" s="10">
        <v>12500</v>
      </c>
      <c r="T809" s="10">
        <f t="shared" si="342"/>
        <v>37500</v>
      </c>
      <c r="U809" s="10">
        <f t="shared" si="343"/>
        <v>42000.000000000007</v>
      </c>
      <c r="V809" s="8"/>
      <c r="W809" s="11">
        <v>2015</v>
      </c>
      <c r="X809" s="20"/>
    </row>
    <row r="810" spans="1:24" ht="76.5" customHeight="1" outlineLevel="1" x14ac:dyDescent="0.2">
      <c r="A810" s="1" t="s">
        <v>4749</v>
      </c>
      <c r="B810" s="24" t="s">
        <v>5277</v>
      </c>
      <c r="C810" s="18" t="s">
        <v>2133</v>
      </c>
      <c r="D810" s="18" t="s">
        <v>2789</v>
      </c>
      <c r="E810" s="18" t="s">
        <v>2134</v>
      </c>
      <c r="F810" s="25"/>
      <c r="G810" s="1" t="s">
        <v>3190</v>
      </c>
      <c r="H810" s="17">
        <v>0</v>
      </c>
      <c r="I810" s="18">
        <v>711000000</v>
      </c>
      <c r="J810" s="4" t="s">
        <v>1931</v>
      </c>
      <c r="K810" s="4" t="s">
        <v>5297</v>
      </c>
      <c r="L810" s="7" t="s">
        <v>1889</v>
      </c>
      <c r="M810" s="8" t="s">
        <v>3195</v>
      </c>
      <c r="N810" s="8" t="s">
        <v>1890</v>
      </c>
      <c r="O810" s="8" t="s">
        <v>1935</v>
      </c>
      <c r="P810" s="8">
        <v>796</v>
      </c>
      <c r="Q810" s="8" t="s">
        <v>3196</v>
      </c>
      <c r="R810" s="10">
        <v>4</v>
      </c>
      <c r="S810" s="10">
        <v>19643</v>
      </c>
      <c r="T810" s="10">
        <f t="shared" si="342"/>
        <v>78572</v>
      </c>
      <c r="U810" s="10">
        <f t="shared" si="343"/>
        <v>88000.640000000014</v>
      </c>
      <c r="V810" s="8"/>
      <c r="W810" s="11">
        <v>2015</v>
      </c>
      <c r="X810" s="20"/>
    </row>
    <row r="811" spans="1:24" ht="76.5" customHeight="1" outlineLevel="1" x14ac:dyDescent="0.2">
      <c r="A811" s="1" t="s">
        <v>4750</v>
      </c>
      <c r="B811" s="24" t="s">
        <v>5277</v>
      </c>
      <c r="C811" s="18" t="s">
        <v>2135</v>
      </c>
      <c r="D811" s="18" t="s">
        <v>2789</v>
      </c>
      <c r="E811" s="18" t="s">
        <v>2136</v>
      </c>
      <c r="F811" s="25" t="s">
        <v>2137</v>
      </c>
      <c r="G811" s="1" t="s">
        <v>3190</v>
      </c>
      <c r="H811" s="17">
        <v>0</v>
      </c>
      <c r="I811" s="18">
        <v>711000000</v>
      </c>
      <c r="J811" s="4" t="s">
        <v>1931</v>
      </c>
      <c r="K811" s="4" t="s">
        <v>5297</v>
      </c>
      <c r="L811" s="7" t="s">
        <v>1889</v>
      </c>
      <c r="M811" s="8" t="s">
        <v>3195</v>
      </c>
      <c r="N811" s="8" t="s">
        <v>1890</v>
      </c>
      <c r="O811" s="8" t="s">
        <v>1935</v>
      </c>
      <c r="P811" s="8">
        <v>796</v>
      </c>
      <c r="Q811" s="8" t="s">
        <v>3196</v>
      </c>
      <c r="R811" s="10">
        <v>3</v>
      </c>
      <c r="S811" s="10">
        <v>30000</v>
      </c>
      <c r="T811" s="10">
        <f t="shared" si="342"/>
        <v>90000</v>
      </c>
      <c r="U811" s="10">
        <f t="shared" si="343"/>
        <v>100800.00000000001</v>
      </c>
      <c r="V811" s="8"/>
      <c r="W811" s="11">
        <v>2015</v>
      </c>
      <c r="X811" s="20"/>
    </row>
    <row r="812" spans="1:24" ht="76.5" customHeight="1" outlineLevel="1" x14ac:dyDescent="0.2">
      <c r="A812" s="1" t="s">
        <v>4751</v>
      </c>
      <c r="B812" s="24" t="s">
        <v>5277</v>
      </c>
      <c r="C812" s="18" t="s">
        <v>2135</v>
      </c>
      <c r="D812" s="18" t="s">
        <v>2789</v>
      </c>
      <c r="E812" s="18" t="s">
        <v>2136</v>
      </c>
      <c r="F812" s="25" t="s">
        <v>2138</v>
      </c>
      <c r="G812" s="1" t="s">
        <v>3190</v>
      </c>
      <c r="H812" s="17">
        <v>0</v>
      </c>
      <c r="I812" s="18">
        <v>711000000</v>
      </c>
      <c r="J812" s="4" t="s">
        <v>1931</v>
      </c>
      <c r="K812" s="4" t="s">
        <v>5297</v>
      </c>
      <c r="L812" s="7" t="s">
        <v>1889</v>
      </c>
      <c r="M812" s="8" t="s">
        <v>3195</v>
      </c>
      <c r="N812" s="8" t="s">
        <v>1890</v>
      </c>
      <c r="O812" s="8" t="s">
        <v>1935</v>
      </c>
      <c r="P812" s="8">
        <v>796</v>
      </c>
      <c r="Q812" s="8" t="s">
        <v>3196</v>
      </c>
      <c r="R812" s="10">
        <v>3</v>
      </c>
      <c r="S812" s="10">
        <v>33600</v>
      </c>
      <c r="T812" s="10">
        <f t="shared" si="342"/>
        <v>100800</v>
      </c>
      <c r="U812" s="10">
        <f t="shared" si="343"/>
        <v>112896.00000000001</v>
      </c>
      <c r="V812" s="8"/>
      <c r="W812" s="11">
        <v>2015</v>
      </c>
      <c r="X812" s="20"/>
    </row>
    <row r="813" spans="1:24" ht="216.75" customHeight="1" outlineLevel="1" x14ac:dyDescent="0.2">
      <c r="A813" s="1" t="s">
        <v>4752</v>
      </c>
      <c r="B813" s="24" t="s">
        <v>5277</v>
      </c>
      <c r="C813" s="7" t="s">
        <v>3197</v>
      </c>
      <c r="D813" s="7" t="s">
        <v>3198</v>
      </c>
      <c r="E813" s="18" t="s">
        <v>5428</v>
      </c>
      <c r="F813" s="25" t="s">
        <v>2139</v>
      </c>
      <c r="G813" s="1" t="s">
        <v>1888</v>
      </c>
      <c r="H813" s="17">
        <v>0</v>
      </c>
      <c r="I813" s="18">
        <v>710000000</v>
      </c>
      <c r="J813" s="4" t="s">
        <v>1931</v>
      </c>
      <c r="K813" s="4" t="s">
        <v>5706</v>
      </c>
      <c r="L813" s="7" t="s">
        <v>2140</v>
      </c>
      <c r="M813" s="8" t="s">
        <v>3195</v>
      </c>
      <c r="N813" s="8" t="s">
        <v>1890</v>
      </c>
      <c r="O813" s="8" t="s">
        <v>1935</v>
      </c>
      <c r="P813" s="8">
        <v>796</v>
      </c>
      <c r="Q813" s="8" t="s">
        <v>3196</v>
      </c>
      <c r="R813" s="10">
        <v>2</v>
      </c>
      <c r="S813" s="10">
        <v>3349986.61</v>
      </c>
      <c r="T813" s="10">
        <f t="shared" si="342"/>
        <v>6699973.2199999997</v>
      </c>
      <c r="U813" s="10">
        <f t="shared" si="343"/>
        <v>7503970.0064000003</v>
      </c>
      <c r="V813" s="8"/>
      <c r="W813" s="11">
        <v>2015</v>
      </c>
      <c r="X813" s="20"/>
    </row>
    <row r="814" spans="1:24" ht="102" customHeight="1" outlineLevel="1" x14ac:dyDescent="0.2">
      <c r="A814" s="1" t="s">
        <v>4753</v>
      </c>
      <c r="B814" s="24" t="s">
        <v>5277</v>
      </c>
      <c r="C814" s="7" t="s">
        <v>3193</v>
      </c>
      <c r="D814" s="7" t="s">
        <v>3194</v>
      </c>
      <c r="E814" s="18" t="s">
        <v>5429</v>
      </c>
      <c r="F814" s="25" t="s">
        <v>2141</v>
      </c>
      <c r="G814" s="1" t="s">
        <v>1888</v>
      </c>
      <c r="H814" s="17">
        <v>0</v>
      </c>
      <c r="I814" s="18">
        <v>710000000</v>
      </c>
      <c r="J814" s="4" t="s">
        <v>1931</v>
      </c>
      <c r="K814" s="4" t="s">
        <v>5706</v>
      </c>
      <c r="L814" s="7" t="s">
        <v>2140</v>
      </c>
      <c r="M814" s="8" t="s">
        <v>3195</v>
      </c>
      <c r="N814" s="8" t="s">
        <v>1890</v>
      </c>
      <c r="O814" s="8" t="s">
        <v>1935</v>
      </c>
      <c r="P814" s="8">
        <v>796</v>
      </c>
      <c r="Q814" s="8" t="s">
        <v>3196</v>
      </c>
      <c r="R814" s="10">
        <v>28</v>
      </c>
      <c r="S814" s="10">
        <v>173816</v>
      </c>
      <c r="T814" s="10">
        <f t="shared" si="342"/>
        <v>4866848</v>
      </c>
      <c r="U814" s="10">
        <f t="shared" si="343"/>
        <v>5450869.7600000007</v>
      </c>
      <c r="V814" s="8"/>
      <c r="W814" s="11">
        <v>2015</v>
      </c>
      <c r="X814" s="1"/>
    </row>
    <row r="815" spans="1:24" ht="153" customHeight="1" outlineLevel="1" x14ac:dyDescent="0.2">
      <c r="A815" s="1" t="s">
        <v>4754</v>
      </c>
      <c r="B815" s="24" t="s">
        <v>5277</v>
      </c>
      <c r="C815" s="18" t="s">
        <v>2142</v>
      </c>
      <c r="D815" s="18" t="s">
        <v>3194</v>
      </c>
      <c r="E815" s="18" t="s">
        <v>2143</v>
      </c>
      <c r="F815" s="25" t="s">
        <v>2237</v>
      </c>
      <c r="G815" s="1" t="s">
        <v>1888</v>
      </c>
      <c r="H815" s="17">
        <v>0</v>
      </c>
      <c r="I815" s="18">
        <v>710000000</v>
      </c>
      <c r="J815" s="4" t="s">
        <v>1931</v>
      </c>
      <c r="K815" s="4" t="s">
        <v>5706</v>
      </c>
      <c r="L815" s="7" t="s">
        <v>2140</v>
      </c>
      <c r="M815" s="8" t="s">
        <v>3195</v>
      </c>
      <c r="N815" s="8" t="s">
        <v>1890</v>
      </c>
      <c r="O815" s="8" t="s">
        <v>1935</v>
      </c>
      <c r="P815" s="8">
        <v>796</v>
      </c>
      <c r="Q815" s="8" t="s">
        <v>3196</v>
      </c>
      <c r="R815" s="10">
        <v>1</v>
      </c>
      <c r="S815" s="10">
        <v>482946.43</v>
      </c>
      <c r="T815" s="10">
        <f t="shared" si="342"/>
        <v>482946.43</v>
      </c>
      <c r="U815" s="10">
        <f t="shared" si="343"/>
        <v>540900.00160000008</v>
      </c>
      <c r="V815" s="8"/>
      <c r="W815" s="11">
        <v>2015</v>
      </c>
      <c r="X815" s="1"/>
    </row>
    <row r="816" spans="1:24" ht="102" customHeight="1" outlineLevel="1" x14ac:dyDescent="0.2">
      <c r="A816" s="1" t="s">
        <v>4755</v>
      </c>
      <c r="B816" s="24" t="s">
        <v>5277</v>
      </c>
      <c r="C816" s="7" t="s">
        <v>3199</v>
      </c>
      <c r="D816" s="7" t="s">
        <v>3200</v>
      </c>
      <c r="E816" s="18" t="s">
        <v>5430</v>
      </c>
      <c r="F816" s="25" t="s">
        <v>5431</v>
      </c>
      <c r="G816" s="1" t="s">
        <v>1888</v>
      </c>
      <c r="H816" s="17">
        <v>0</v>
      </c>
      <c r="I816" s="18">
        <v>710000000</v>
      </c>
      <c r="J816" s="4" t="s">
        <v>1931</v>
      </c>
      <c r="K816" s="4" t="s">
        <v>5706</v>
      </c>
      <c r="L816" s="7" t="s">
        <v>2140</v>
      </c>
      <c r="M816" s="8" t="s">
        <v>3195</v>
      </c>
      <c r="N816" s="8" t="s">
        <v>1890</v>
      </c>
      <c r="O816" s="8" t="s">
        <v>1935</v>
      </c>
      <c r="P816" s="8">
        <v>796</v>
      </c>
      <c r="Q816" s="8" t="s">
        <v>3196</v>
      </c>
      <c r="R816" s="10">
        <v>20</v>
      </c>
      <c r="S816" s="10">
        <v>20220.54</v>
      </c>
      <c r="T816" s="10">
        <f t="shared" si="342"/>
        <v>404410.80000000005</v>
      </c>
      <c r="U816" s="10">
        <f t="shared" si="343"/>
        <v>452940.09600000008</v>
      </c>
      <c r="V816" s="8"/>
      <c r="W816" s="11">
        <v>2015</v>
      </c>
      <c r="X816" s="20"/>
    </row>
    <row r="817" spans="1:24" ht="165.75" customHeight="1" outlineLevel="1" x14ac:dyDescent="0.2">
      <c r="A817" s="1" t="s">
        <v>4756</v>
      </c>
      <c r="B817" s="24" t="s">
        <v>5277</v>
      </c>
      <c r="C817" s="7" t="s">
        <v>2981</v>
      </c>
      <c r="D817" s="7" t="s">
        <v>5432</v>
      </c>
      <c r="E817" s="18" t="s">
        <v>5433</v>
      </c>
      <c r="F817" s="25" t="s">
        <v>5434</v>
      </c>
      <c r="G817" s="1" t="s">
        <v>1888</v>
      </c>
      <c r="H817" s="17">
        <v>0</v>
      </c>
      <c r="I817" s="18">
        <v>710000000</v>
      </c>
      <c r="J817" s="4" t="s">
        <v>1931</v>
      </c>
      <c r="K817" s="4" t="s">
        <v>5706</v>
      </c>
      <c r="L817" s="7" t="s">
        <v>2140</v>
      </c>
      <c r="M817" s="8" t="s">
        <v>3195</v>
      </c>
      <c r="N817" s="8" t="s">
        <v>1890</v>
      </c>
      <c r="O817" s="8" t="s">
        <v>1935</v>
      </c>
      <c r="P817" s="8">
        <v>796</v>
      </c>
      <c r="Q817" s="8" t="s">
        <v>3196</v>
      </c>
      <c r="R817" s="10">
        <v>10</v>
      </c>
      <c r="S817" s="10">
        <v>30750.89</v>
      </c>
      <c r="T817" s="10">
        <f t="shared" si="342"/>
        <v>307508.90000000002</v>
      </c>
      <c r="U817" s="10">
        <f t="shared" si="343"/>
        <v>344409.96800000005</v>
      </c>
      <c r="V817" s="8"/>
      <c r="W817" s="11">
        <v>2015</v>
      </c>
      <c r="X817" s="1"/>
    </row>
    <row r="818" spans="1:24" ht="76.5" customHeight="1" outlineLevel="1" x14ac:dyDescent="0.2">
      <c r="A818" s="1" t="s">
        <v>4757</v>
      </c>
      <c r="B818" s="24" t="s">
        <v>5277</v>
      </c>
      <c r="C818" s="7" t="s">
        <v>1811</v>
      </c>
      <c r="D818" s="7" t="s">
        <v>5463</v>
      </c>
      <c r="E818" s="18" t="s">
        <v>5463</v>
      </c>
      <c r="F818" s="25" t="s">
        <v>2144</v>
      </c>
      <c r="G818" s="1" t="s">
        <v>1888</v>
      </c>
      <c r="H818" s="17">
        <v>0</v>
      </c>
      <c r="I818" s="18">
        <v>710000000</v>
      </c>
      <c r="J818" s="4" t="s">
        <v>1931</v>
      </c>
      <c r="K818" s="4" t="s">
        <v>5706</v>
      </c>
      <c r="L818" s="7" t="s">
        <v>2140</v>
      </c>
      <c r="M818" s="8" t="s">
        <v>3195</v>
      </c>
      <c r="N818" s="8" t="s">
        <v>1890</v>
      </c>
      <c r="O818" s="8" t="s">
        <v>1935</v>
      </c>
      <c r="P818" s="8">
        <v>796</v>
      </c>
      <c r="Q818" s="8" t="s">
        <v>3196</v>
      </c>
      <c r="R818" s="10">
        <v>30</v>
      </c>
      <c r="S818" s="10">
        <v>69467.5</v>
      </c>
      <c r="T818" s="10">
        <f t="shared" si="342"/>
        <v>2084025</v>
      </c>
      <c r="U818" s="10">
        <f t="shared" si="343"/>
        <v>2334108</v>
      </c>
      <c r="V818" s="8"/>
      <c r="W818" s="11">
        <v>2015</v>
      </c>
      <c r="X818" s="1"/>
    </row>
    <row r="819" spans="1:24" ht="76.5" customHeight="1" outlineLevel="1" x14ac:dyDescent="0.2">
      <c r="A819" s="1" t="s">
        <v>4758</v>
      </c>
      <c r="B819" s="24" t="s">
        <v>5277</v>
      </c>
      <c r="C819" s="7" t="s">
        <v>1811</v>
      </c>
      <c r="D819" s="7" t="s">
        <v>5463</v>
      </c>
      <c r="E819" s="18" t="s">
        <v>5463</v>
      </c>
      <c r="F819" s="25" t="s">
        <v>2145</v>
      </c>
      <c r="G819" s="1" t="s">
        <v>1888</v>
      </c>
      <c r="H819" s="17">
        <v>0</v>
      </c>
      <c r="I819" s="18">
        <v>710000000</v>
      </c>
      <c r="J819" s="4" t="s">
        <v>1931</v>
      </c>
      <c r="K819" s="4" t="s">
        <v>5706</v>
      </c>
      <c r="L819" s="7" t="s">
        <v>2140</v>
      </c>
      <c r="M819" s="8" t="s">
        <v>3195</v>
      </c>
      <c r="N819" s="8" t="s">
        <v>1890</v>
      </c>
      <c r="O819" s="8" t="s">
        <v>1935</v>
      </c>
      <c r="P819" s="8">
        <v>796</v>
      </c>
      <c r="Q819" s="8" t="s">
        <v>3196</v>
      </c>
      <c r="R819" s="10">
        <v>1</v>
      </c>
      <c r="S819" s="10">
        <v>385714.29</v>
      </c>
      <c r="T819" s="10">
        <f t="shared" si="342"/>
        <v>385714.29</v>
      </c>
      <c r="U819" s="10">
        <f t="shared" si="343"/>
        <v>432000.0048</v>
      </c>
      <c r="V819" s="8"/>
      <c r="W819" s="11">
        <v>2015</v>
      </c>
      <c r="X819" s="1"/>
    </row>
    <row r="820" spans="1:24" ht="76.5" customHeight="1" outlineLevel="1" x14ac:dyDescent="0.2">
      <c r="A820" s="1" t="s">
        <v>4759</v>
      </c>
      <c r="B820" s="24" t="s">
        <v>5277</v>
      </c>
      <c r="C820" s="7" t="s">
        <v>1811</v>
      </c>
      <c r="D820" s="7" t="s">
        <v>5463</v>
      </c>
      <c r="E820" s="18" t="s">
        <v>5463</v>
      </c>
      <c r="F820" s="25" t="s">
        <v>5464</v>
      </c>
      <c r="G820" s="1" t="s">
        <v>1888</v>
      </c>
      <c r="H820" s="17">
        <v>0</v>
      </c>
      <c r="I820" s="18">
        <v>710000000</v>
      </c>
      <c r="J820" s="4" t="s">
        <v>1931</v>
      </c>
      <c r="K820" s="4" t="s">
        <v>5706</v>
      </c>
      <c r="L820" s="7" t="s">
        <v>2140</v>
      </c>
      <c r="M820" s="8" t="s">
        <v>3195</v>
      </c>
      <c r="N820" s="8" t="s">
        <v>1890</v>
      </c>
      <c r="O820" s="8" t="s">
        <v>1935</v>
      </c>
      <c r="P820" s="8">
        <v>796</v>
      </c>
      <c r="Q820" s="8" t="s">
        <v>3196</v>
      </c>
      <c r="R820" s="10">
        <v>1</v>
      </c>
      <c r="S820" s="10">
        <v>887142.86</v>
      </c>
      <c r="T820" s="10">
        <f t="shared" si="342"/>
        <v>887142.86</v>
      </c>
      <c r="U820" s="10">
        <f t="shared" si="343"/>
        <v>993600.00320000004</v>
      </c>
      <c r="V820" s="8"/>
      <c r="W820" s="11">
        <v>2015</v>
      </c>
      <c r="X820" s="1"/>
    </row>
    <row r="821" spans="1:24" ht="76.5" customHeight="1" outlineLevel="1" x14ac:dyDescent="0.2">
      <c r="A821" s="1" t="s">
        <v>4760</v>
      </c>
      <c r="B821" s="24" t="s">
        <v>5277</v>
      </c>
      <c r="C821" s="7" t="s">
        <v>2982</v>
      </c>
      <c r="D821" s="7" t="s">
        <v>2983</v>
      </c>
      <c r="E821" s="18" t="s">
        <v>5435</v>
      </c>
      <c r="F821" s="25" t="s">
        <v>5436</v>
      </c>
      <c r="G821" s="1" t="s">
        <v>3187</v>
      </c>
      <c r="H821" s="17">
        <v>0.5</v>
      </c>
      <c r="I821" s="18">
        <v>710000000</v>
      </c>
      <c r="J821" s="4" t="s">
        <v>1931</v>
      </c>
      <c r="K821" s="4" t="s">
        <v>5706</v>
      </c>
      <c r="L821" s="7" t="s">
        <v>2140</v>
      </c>
      <c r="M821" s="8" t="s">
        <v>3195</v>
      </c>
      <c r="N821" s="8" t="s">
        <v>1890</v>
      </c>
      <c r="O821" s="16" t="s">
        <v>2146</v>
      </c>
      <c r="P821" s="8">
        <v>796</v>
      </c>
      <c r="Q821" s="8" t="s">
        <v>3196</v>
      </c>
      <c r="R821" s="10">
        <v>1</v>
      </c>
      <c r="S821" s="10">
        <v>56160.71</v>
      </c>
      <c r="T821" s="10">
        <v>0</v>
      </c>
      <c r="U821" s="10">
        <f t="shared" si="343"/>
        <v>0</v>
      </c>
      <c r="V821" s="8" t="s">
        <v>3027</v>
      </c>
      <c r="W821" s="11">
        <v>2015</v>
      </c>
      <c r="X821" s="4" t="s">
        <v>6565</v>
      </c>
    </row>
    <row r="822" spans="1:24" ht="76.5" customHeight="1" outlineLevel="1" x14ac:dyDescent="0.2">
      <c r="A822" s="1" t="s">
        <v>4761</v>
      </c>
      <c r="B822" s="24" t="s">
        <v>5277</v>
      </c>
      <c r="C822" s="7" t="s">
        <v>2147</v>
      </c>
      <c r="D822" s="7" t="s">
        <v>2983</v>
      </c>
      <c r="E822" s="25" t="s">
        <v>2148</v>
      </c>
      <c r="F822" s="25" t="s">
        <v>5437</v>
      </c>
      <c r="G822" s="1" t="s">
        <v>3187</v>
      </c>
      <c r="H822" s="17">
        <v>0.5</v>
      </c>
      <c r="I822" s="18">
        <v>710000000</v>
      </c>
      <c r="J822" s="4" t="s">
        <v>1931</v>
      </c>
      <c r="K822" s="4" t="s">
        <v>5706</v>
      </c>
      <c r="L822" s="7" t="s">
        <v>2140</v>
      </c>
      <c r="M822" s="8" t="s">
        <v>3195</v>
      </c>
      <c r="N822" s="8" t="s">
        <v>1890</v>
      </c>
      <c r="O822" s="16" t="s">
        <v>2146</v>
      </c>
      <c r="P822" s="8">
        <v>796</v>
      </c>
      <c r="Q822" s="8" t="s">
        <v>3196</v>
      </c>
      <c r="R822" s="10">
        <v>1</v>
      </c>
      <c r="S822" s="10">
        <v>78928.570000000007</v>
      </c>
      <c r="T822" s="10">
        <v>0</v>
      </c>
      <c r="U822" s="10">
        <f t="shared" si="343"/>
        <v>0</v>
      </c>
      <c r="V822" s="8" t="s">
        <v>3027</v>
      </c>
      <c r="W822" s="11">
        <v>2015</v>
      </c>
      <c r="X822" s="4" t="s">
        <v>6565</v>
      </c>
    </row>
    <row r="823" spans="1:24" ht="76.5" customHeight="1" outlineLevel="1" x14ac:dyDescent="0.2">
      <c r="A823" s="1" t="s">
        <v>4762</v>
      </c>
      <c r="B823" s="24" t="s">
        <v>5277</v>
      </c>
      <c r="C823" s="7" t="s">
        <v>2147</v>
      </c>
      <c r="D823" s="7" t="s">
        <v>2983</v>
      </c>
      <c r="E823" s="25" t="s">
        <v>2148</v>
      </c>
      <c r="F823" s="25" t="s">
        <v>5438</v>
      </c>
      <c r="G823" s="1" t="s">
        <v>3187</v>
      </c>
      <c r="H823" s="17">
        <v>0.5</v>
      </c>
      <c r="I823" s="18">
        <v>710000000</v>
      </c>
      <c r="J823" s="4" t="s">
        <v>1931</v>
      </c>
      <c r="K823" s="4" t="s">
        <v>5706</v>
      </c>
      <c r="L823" s="7" t="s">
        <v>2140</v>
      </c>
      <c r="M823" s="8" t="s">
        <v>3195</v>
      </c>
      <c r="N823" s="8" t="s">
        <v>1890</v>
      </c>
      <c r="O823" s="16" t="s">
        <v>2146</v>
      </c>
      <c r="P823" s="8">
        <v>796</v>
      </c>
      <c r="Q823" s="8" t="s">
        <v>3196</v>
      </c>
      <c r="R823" s="10">
        <v>1</v>
      </c>
      <c r="S823" s="10">
        <v>78928.570000000007</v>
      </c>
      <c r="T823" s="10">
        <v>0</v>
      </c>
      <c r="U823" s="10">
        <f t="shared" si="343"/>
        <v>0</v>
      </c>
      <c r="V823" s="8" t="s">
        <v>3027</v>
      </c>
      <c r="W823" s="11">
        <v>2015</v>
      </c>
      <c r="X823" s="4" t="s">
        <v>6565</v>
      </c>
    </row>
    <row r="824" spans="1:24" ht="76.5" customHeight="1" outlineLevel="1" x14ac:dyDescent="0.2">
      <c r="A824" s="1" t="s">
        <v>4763</v>
      </c>
      <c r="B824" s="24" t="s">
        <v>5277</v>
      </c>
      <c r="C824" s="7" t="s">
        <v>2147</v>
      </c>
      <c r="D824" s="7" t="s">
        <v>2983</v>
      </c>
      <c r="E824" s="25" t="s">
        <v>2148</v>
      </c>
      <c r="F824" s="25" t="s">
        <v>5439</v>
      </c>
      <c r="G824" s="1" t="s">
        <v>3187</v>
      </c>
      <c r="H824" s="17">
        <v>0.5</v>
      </c>
      <c r="I824" s="18">
        <v>710000000</v>
      </c>
      <c r="J824" s="4" t="s">
        <v>1931</v>
      </c>
      <c r="K824" s="4" t="s">
        <v>5706</v>
      </c>
      <c r="L824" s="7" t="s">
        <v>2140</v>
      </c>
      <c r="M824" s="8" t="s">
        <v>3195</v>
      </c>
      <c r="N824" s="8" t="s">
        <v>1890</v>
      </c>
      <c r="O824" s="16" t="s">
        <v>2146</v>
      </c>
      <c r="P824" s="8">
        <v>796</v>
      </c>
      <c r="Q824" s="8" t="s">
        <v>3196</v>
      </c>
      <c r="R824" s="10">
        <v>1</v>
      </c>
      <c r="S824" s="10">
        <v>78928.570000000007</v>
      </c>
      <c r="T824" s="10">
        <v>0</v>
      </c>
      <c r="U824" s="10">
        <f t="shared" si="343"/>
        <v>0</v>
      </c>
      <c r="V824" s="8" t="s">
        <v>3027</v>
      </c>
      <c r="W824" s="11">
        <v>2015</v>
      </c>
      <c r="X824" s="4" t="s">
        <v>6565</v>
      </c>
    </row>
    <row r="825" spans="1:24" ht="76.5" customHeight="1" outlineLevel="1" x14ac:dyDescent="0.2">
      <c r="A825" s="1" t="s">
        <v>4764</v>
      </c>
      <c r="B825" s="24" t="s">
        <v>5277</v>
      </c>
      <c r="C825" s="25" t="s">
        <v>2982</v>
      </c>
      <c r="D825" s="25" t="s">
        <v>2983</v>
      </c>
      <c r="E825" s="25" t="s">
        <v>5435</v>
      </c>
      <c r="F825" s="25" t="s">
        <v>5440</v>
      </c>
      <c r="G825" s="1" t="s">
        <v>3187</v>
      </c>
      <c r="H825" s="17">
        <v>0.5</v>
      </c>
      <c r="I825" s="18">
        <v>710000000</v>
      </c>
      <c r="J825" s="4" t="s">
        <v>1931</v>
      </c>
      <c r="K825" s="4" t="s">
        <v>5706</v>
      </c>
      <c r="L825" s="7" t="s">
        <v>2140</v>
      </c>
      <c r="M825" s="8" t="s">
        <v>3195</v>
      </c>
      <c r="N825" s="8" t="s">
        <v>1890</v>
      </c>
      <c r="O825" s="16" t="s">
        <v>2146</v>
      </c>
      <c r="P825" s="8">
        <v>796</v>
      </c>
      <c r="Q825" s="8" t="s">
        <v>3196</v>
      </c>
      <c r="R825" s="10">
        <v>1</v>
      </c>
      <c r="S825" s="10">
        <v>29821.43</v>
      </c>
      <c r="T825" s="10">
        <v>0</v>
      </c>
      <c r="U825" s="10">
        <f t="shared" si="343"/>
        <v>0</v>
      </c>
      <c r="V825" s="8" t="s">
        <v>3027</v>
      </c>
      <c r="W825" s="11">
        <v>2015</v>
      </c>
      <c r="X825" s="4" t="s">
        <v>6565</v>
      </c>
    </row>
    <row r="826" spans="1:24" ht="76.5" customHeight="1" outlineLevel="1" x14ac:dyDescent="0.2">
      <c r="A826" s="1" t="s">
        <v>4765</v>
      </c>
      <c r="B826" s="24" t="s">
        <v>5277</v>
      </c>
      <c r="C826" s="7" t="s">
        <v>2147</v>
      </c>
      <c r="D826" s="7" t="s">
        <v>2983</v>
      </c>
      <c r="E826" s="25" t="s">
        <v>2148</v>
      </c>
      <c r="F826" s="25" t="s">
        <v>5441</v>
      </c>
      <c r="G826" s="1" t="s">
        <v>3187</v>
      </c>
      <c r="H826" s="17">
        <v>0.5</v>
      </c>
      <c r="I826" s="18">
        <v>710000000</v>
      </c>
      <c r="J826" s="4" t="s">
        <v>1931</v>
      </c>
      <c r="K826" s="4" t="s">
        <v>5706</v>
      </c>
      <c r="L826" s="7" t="s">
        <v>2140</v>
      </c>
      <c r="M826" s="8" t="s">
        <v>3195</v>
      </c>
      <c r="N826" s="8" t="s">
        <v>1890</v>
      </c>
      <c r="O826" s="16" t="s">
        <v>2146</v>
      </c>
      <c r="P826" s="8">
        <v>796</v>
      </c>
      <c r="Q826" s="8" t="s">
        <v>3196</v>
      </c>
      <c r="R826" s="10">
        <v>1</v>
      </c>
      <c r="S826" s="10">
        <v>52767.86</v>
      </c>
      <c r="T826" s="10">
        <v>0</v>
      </c>
      <c r="U826" s="10">
        <f t="shared" si="343"/>
        <v>0</v>
      </c>
      <c r="V826" s="8" t="s">
        <v>3027</v>
      </c>
      <c r="W826" s="11">
        <v>2015</v>
      </c>
      <c r="X826" s="4" t="s">
        <v>6565</v>
      </c>
    </row>
    <row r="827" spans="1:24" ht="76.5" customHeight="1" outlineLevel="1" x14ac:dyDescent="0.2">
      <c r="A827" s="1" t="s">
        <v>4766</v>
      </c>
      <c r="B827" s="24" t="s">
        <v>5277</v>
      </c>
      <c r="C827" s="7" t="s">
        <v>2147</v>
      </c>
      <c r="D827" s="7" t="s">
        <v>2983</v>
      </c>
      <c r="E827" s="25" t="s">
        <v>2148</v>
      </c>
      <c r="F827" s="25" t="s">
        <v>5442</v>
      </c>
      <c r="G827" s="1" t="s">
        <v>3187</v>
      </c>
      <c r="H827" s="17">
        <v>0.5</v>
      </c>
      <c r="I827" s="18">
        <v>710000000</v>
      </c>
      <c r="J827" s="4" t="s">
        <v>1931</v>
      </c>
      <c r="K827" s="4" t="s">
        <v>5706</v>
      </c>
      <c r="L827" s="7" t="s">
        <v>2140</v>
      </c>
      <c r="M827" s="8" t="s">
        <v>3195</v>
      </c>
      <c r="N827" s="8" t="s">
        <v>1890</v>
      </c>
      <c r="O827" s="16" t="s">
        <v>2146</v>
      </c>
      <c r="P827" s="8">
        <v>796</v>
      </c>
      <c r="Q827" s="8" t="s">
        <v>3196</v>
      </c>
      <c r="R827" s="10">
        <v>1</v>
      </c>
      <c r="S827" s="10">
        <v>52767.86</v>
      </c>
      <c r="T827" s="10">
        <v>0</v>
      </c>
      <c r="U827" s="10">
        <f t="shared" si="343"/>
        <v>0</v>
      </c>
      <c r="V827" s="8" t="s">
        <v>3027</v>
      </c>
      <c r="W827" s="11">
        <v>2015</v>
      </c>
      <c r="X827" s="4" t="s">
        <v>6565</v>
      </c>
    </row>
    <row r="828" spans="1:24" ht="76.5" customHeight="1" outlineLevel="1" x14ac:dyDescent="0.2">
      <c r="A828" s="1" t="s">
        <v>4767</v>
      </c>
      <c r="B828" s="24" t="s">
        <v>5277</v>
      </c>
      <c r="C828" s="7" t="s">
        <v>2147</v>
      </c>
      <c r="D828" s="7" t="s">
        <v>2983</v>
      </c>
      <c r="E828" s="25" t="s">
        <v>2148</v>
      </c>
      <c r="F828" s="25" t="s">
        <v>5443</v>
      </c>
      <c r="G828" s="1" t="s">
        <v>3187</v>
      </c>
      <c r="H828" s="17">
        <v>0.5</v>
      </c>
      <c r="I828" s="18">
        <v>710000000</v>
      </c>
      <c r="J828" s="4" t="s">
        <v>1931</v>
      </c>
      <c r="K828" s="4" t="s">
        <v>5706</v>
      </c>
      <c r="L828" s="7" t="s">
        <v>2140</v>
      </c>
      <c r="M828" s="8" t="s">
        <v>3195</v>
      </c>
      <c r="N828" s="8" t="s">
        <v>1890</v>
      </c>
      <c r="O828" s="16" t="s">
        <v>2146</v>
      </c>
      <c r="P828" s="8">
        <v>796</v>
      </c>
      <c r="Q828" s="8" t="s">
        <v>3196</v>
      </c>
      <c r="R828" s="10">
        <v>1</v>
      </c>
      <c r="S828" s="10">
        <v>52767.86</v>
      </c>
      <c r="T828" s="10">
        <v>0</v>
      </c>
      <c r="U828" s="10">
        <f t="shared" si="343"/>
        <v>0</v>
      </c>
      <c r="V828" s="8" t="s">
        <v>3027</v>
      </c>
      <c r="W828" s="11">
        <v>2015</v>
      </c>
      <c r="X828" s="4" t="s">
        <v>6565</v>
      </c>
    </row>
    <row r="829" spans="1:24" ht="76.5" customHeight="1" outlineLevel="1" x14ac:dyDescent="0.2">
      <c r="A829" s="1" t="s">
        <v>4768</v>
      </c>
      <c r="B829" s="24" t="s">
        <v>5277</v>
      </c>
      <c r="C829" s="7" t="s">
        <v>2982</v>
      </c>
      <c r="D829" s="7" t="s">
        <v>2983</v>
      </c>
      <c r="E829" s="18" t="s">
        <v>5435</v>
      </c>
      <c r="F829" s="25" t="s">
        <v>5444</v>
      </c>
      <c r="G829" s="1" t="s">
        <v>3187</v>
      </c>
      <c r="H829" s="17">
        <v>0.5</v>
      </c>
      <c r="I829" s="18">
        <v>710000000</v>
      </c>
      <c r="J829" s="4" t="s">
        <v>1931</v>
      </c>
      <c r="K829" s="4" t="s">
        <v>5706</v>
      </c>
      <c r="L829" s="7" t="s">
        <v>2140</v>
      </c>
      <c r="M829" s="8" t="s">
        <v>3195</v>
      </c>
      <c r="N829" s="8" t="s">
        <v>1890</v>
      </c>
      <c r="O829" s="16" t="s">
        <v>2146</v>
      </c>
      <c r="P829" s="8">
        <v>796</v>
      </c>
      <c r="Q829" s="8" t="s">
        <v>3196</v>
      </c>
      <c r="R829" s="10">
        <v>10</v>
      </c>
      <c r="S829" s="10">
        <v>13125</v>
      </c>
      <c r="T829" s="10">
        <v>0</v>
      </c>
      <c r="U829" s="10">
        <f t="shared" si="343"/>
        <v>0</v>
      </c>
      <c r="V829" s="8" t="s">
        <v>3027</v>
      </c>
      <c r="W829" s="11">
        <v>2015</v>
      </c>
      <c r="X829" s="4" t="s">
        <v>7597</v>
      </c>
    </row>
    <row r="830" spans="1:24" ht="76.5" outlineLevel="1" x14ac:dyDescent="0.2">
      <c r="A830" s="1" t="s">
        <v>9057</v>
      </c>
      <c r="B830" s="24" t="s">
        <v>5277</v>
      </c>
      <c r="C830" s="7" t="s">
        <v>2982</v>
      </c>
      <c r="D830" s="7" t="s">
        <v>2983</v>
      </c>
      <c r="E830" s="18" t="s">
        <v>5435</v>
      </c>
      <c r="F830" s="25" t="s">
        <v>5444</v>
      </c>
      <c r="G830" s="1" t="s">
        <v>3187</v>
      </c>
      <c r="H830" s="17">
        <v>0.5</v>
      </c>
      <c r="I830" s="18">
        <v>710000000</v>
      </c>
      <c r="J830" s="4" t="s">
        <v>1931</v>
      </c>
      <c r="K830" s="4" t="s">
        <v>9076</v>
      </c>
      <c r="L830" s="7" t="s">
        <v>2140</v>
      </c>
      <c r="M830" s="8" t="s">
        <v>3195</v>
      </c>
      <c r="N830" s="8" t="s">
        <v>1890</v>
      </c>
      <c r="O830" s="16" t="s">
        <v>2146</v>
      </c>
      <c r="P830" s="8">
        <v>796</v>
      </c>
      <c r="Q830" s="8" t="s">
        <v>3196</v>
      </c>
      <c r="R830" s="10">
        <v>10</v>
      </c>
      <c r="S830" s="10">
        <v>13303.57</v>
      </c>
      <c r="T830" s="10">
        <v>0</v>
      </c>
      <c r="U830" s="10">
        <f t="shared" ref="U830" si="344">T830*1.12</f>
        <v>0</v>
      </c>
      <c r="V830" s="8" t="s">
        <v>3027</v>
      </c>
      <c r="W830" s="11">
        <v>2015</v>
      </c>
      <c r="X830" s="4">
        <v>15.22</v>
      </c>
    </row>
    <row r="831" spans="1:24" ht="76.5" outlineLevel="1" x14ac:dyDescent="0.2">
      <c r="A831" s="1" t="s">
        <v>9383</v>
      </c>
      <c r="B831" s="24" t="s">
        <v>5277</v>
      </c>
      <c r="C831" s="7" t="s">
        <v>2982</v>
      </c>
      <c r="D831" s="7" t="s">
        <v>2983</v>
      </c>
      <c r="E831" s="18" t="s">
        <v>5435</v>
      </c>
      <c r="F831" s="25" t="s">
        <v>5444</v>
      </c>
      <c r="G831" s="1" t="s">
        <v>3187</v>
      </c>
      <c r="H831" s="17">
        <v>0.5</v>
      </c>
      <c r="I831" s="18">
        <v>710000000</v>
      </c>
      <c r="J831" s="4" t="s">
        <v>1931</v>
      </c>
      <c r="K831" s="4" t="s">
        <v>9076</v>
      </c>
      <c r="L831" s="7" t="s">
        <v>2140</v>
      </c>
      <c r="M831" s="8" t="s">
        <v>3195</v>
      </c>
      <c r="N831" s="8" t="s">
        <v>1890</v>
      </c>
      <c r="O831" s="16" t="s">
        <v>1935</v>
      </c>
      <c r="P831" s="8">
        <v>796</v>
      </c>
      <c r="Q831" s="8" t="s">
        <v>3196</v>
      </c>
      <c r="R831" s="10">
        <v>10</v>
      </c>
      <c r="S831" s="10">
        <v>13303.57</v>
      </c>
      <c r="T831" s="10">
        <f t="shared" ref="T831" si="345">S831*R831</f>
        <v>133035.70000000001</v>
      </c>
      <c r="U831" s="10">
        <f t="shared" ref="U831" si="346">T831*1.12</f>
        <v>148999.98400000003</v>
      </c>
      <c r="V831" s="8"/>
      <c r="W831" s="11">
        <v>2015</v>
      </c>
      <c r="X831" s="4"/>
    </row>
    <row r="832" spans="1:24" ht="76.5" customHeight="1" outlineLevel="1" x14ac:dyDescent="0.2">
      <c r="A832" s="1" t="s">
        <v>4769</v>
      </c>
      <c r="B832" s="24" t="s">
        <v>5277</v>
      </c>
      <c r="C832" s="7" t="s">
        <v>2147</v>
      </c>
      <c r="D832" s="7" t="s">
        <v>2983</v>
      </c>
      <c r="E832" s="25" t="s">
        <v>2148</v>
      </c>
      <c r="F832" s="25" t="s">
        <v>2149</v>
      </c>
      <c r="G832" s="1" t="s">
        <v>3187</v>
      </c>
      <c r="H832" s="17">
        <v>0.5</v>
      </c>
      <c r="I832" s="18">
        <v>710000000</v>
      </c>
      <c r="J832" s="4" t="s">
        <v>1931</v>
      </c>
      <c r="K832" s="4" t="s">
        <v>5706</v>
      </c>
      <c r="L832" s="7" t="s">
        <v>2140</v>
      </c>
      <c r="M832" s="8" t="s">
        <v>3195</v>
      </c>
      <c r="N832" s="8" t="s">
        <v>1890</v>
      </c>
      <c r="O832" s="16" t="s">
        <v>2146</v>
      </c>
      <c r="P832" s="8">
        <v>796</v>
      </c>
      <c r="Q832" s="8" t="s">
        <v>3196</v>
      </c>
      <c r="R832" s="10">
        <v>10</v>
      </c>
      <c r="S832" s="10">
        <v>15446.43</v>
      </c>
      <c r="T832" s="10">
        <v>0</v>
      </c>
      <c r="U832" s="10">
        <f t="shared" si="343"/>
        <v>0</v>
      </c>
      <c r="V832" s="8" t="s">
        <v>3027</v>
      </c>
      <c r="W832" s="11">
        <v>2015</v>
      </c>
      <c r="X832" s="4" t="s">
        <v>7597</v>
      </c>
    </row>
    <row r="833" spans="1:24" ht="76.5" outlineLevel="1" x14ac:dyDescent="0.2">
      <c r="A833" s="1" t="s">
        <v>9058</v>
      </c>
      <c r="B833" s="24" t="s">
        <v>5277</v>
      </c>
      <c r="C833" s="7" t="s">
        <v>2147</v>
      </c>
      <c r="D833" s="7" t="s">
        <v>2983</v>
      </c>
      <c r="E833" s="25" t="s">
        <v>2148</v>
      </c>
      <c r="F833" s="25" t="s">
        <v>2149</v>
      </c>
      <c r="G833" s="1" t="s">
        <v>3187</v>
      </c>
      <c r="H833" s="17">
        <v>0.5</v>
      </c>
      <c r="I833" s="18">
        <v>710000000</v>
      </c>
      <c r="J833" s="4" t="s">
        <v>1931</v>
      </c>
      <c r="K833" s="4" t="s">
        <v>9076</v>
      </c>
      <c r="L833" s="7" t="s">
        <v>2140</v>
      </c>
      <c r="M833" s="8" t="s">
        <v>3195</v>
      </c>
      <c r="N833" s="8" t="s">
        <v>1890</v>
      </c>
      <c r="O833" s="16" t="s">
        <v>2146</v>
      </c>
      <c r="P833" s="8">
        <v>796</v>
      </c>
      <c r="Q833" s="8" t="s">
        <v>3196</v>
      </c>
      <c r="R833" s="10">
        <v>10</v>
      </c>
      <c r="S833" s="10">
        <v>16875</v>
      </c>
      <c r="T833" s="10">
        <v>0</v>
      </c>
      <c r="U833" s="10">
        <f t="shared" ref="U833" si="347">T833*1.12</f>
        <v>0</v>
      </c>
      <c r="V833" s="8" t="s">
        <v>3027</v>
      </c>
      <c r="W833" s="11">
        <v>2015</v>
      </c>
      <c r="X833" s="4">
        <v>15.22</v>
      </c>
    </row>
    <row r="834" spans="1:24" ht="76.5" outlineLevel="1" x14ac:dyDescent="0.2">
      <c r="A834" s="1" t="s">
        <v>9384</v>
      </c>
      <c r="B834" s="24" t="s">
        <v>5277</v>
      </c>
      <c r="C834" s="7" t="s">
        <v>2147</v>
      </c>
      <c r="D834" s="7" t="s">
        <v>2983</v>
      </c>
      <c r="E834" s="25" t="s">
        <v>2148</v>
      </c>
      <c r="F834" s="25" t="s">
        <v>2149</v>
      </c>
      <c r="G834" s="1" t="s">
        <v>3187</v>
      </c>
      <c r="H834" s="17">
        <v>0.5</v>
      </c>
      <c r="I834" s="18">
        <v>710000000</v>
      </c>
      <c r="J834" s="4" t="s">
        <v>1931</v>
      </c>
      <c r="K834" s="4" t="s">
        <v>9076</v>
      </c>
      <c r="L834" s="7" t="s">
        <v>2140</v>
      </c>
      <c r="M834" s="8" t="s">
        <v>3195</v>
      </c>
      <c r="N834" s="8" t="s">
        <v>1890</v>
      </c>
      <c r="O834" s="16" t="s">
        <v>1935</v>
      </c>
      <c r="P834" s="8">
        <v>796</v>
      </c>
      <c r="Q834" s="8" t="s">
        <v>3196</v>
      </c>
      <c r="R834" s="10">
        <v>10</v>
      </c>
      <c r="S834" s="10">
        <v>16875</v>
      </c>
      <c r="T834" s="10">
        <f t="shared" ref="T834" si="348">S834*R834</f>
        <v>168750</v>
      </c>
      <c r="U834" s="10">
        <f t="shared" ref="U834" si="349">T834*1.12</f>
        <v>189000.00000000003</v>
      </c>
      <c r="V834" s="8"/>
      <c r="W834" s="11">
        <v>2015</v>
      </c>
      <c r="X834" s="20"/>
    </row>
    <row r="835" spans="1:24" ht="76.5" customHeight="1" outlineLevel="1" x14ac:dyDescent="0.2">
      <c r="A835" s="1" t="s">
        <v>4770</v>
      </c>
      <c r="B835" s="24" t="s">
        <v>5277</v>
      </c>
      <c r="C835" s="7" t="s">
        <v>2147</v>
      </c>
      <c r="D835" s="7" t="s">
        <v>2983</v>
      </c>
      <c r="E835" s="25" t="s">
        <v>2148</v>
      </c>
      <c r="F835" s="25" t="s">
        <v>2150</v>
      </c>
      <c r="G835" s="1" t="s">
        <v>3187</v>
      </c>
      <c r="H835" s="17">
        <v>0.5</v>
      </c>
      <c r="I835" s="18">
        <v>710000000</v>
      </c>
      <c r="J835" s="4" t="s">
        <v>1931</v>
      </c>
      <c r="K835" s="4" t="s">
        <v>5706</v>
      </c>
      <c r="L835" s="7" t="s">
        <v>2140</v>
      </c>
      <c r="M835" s="8" t="s">
        <v>3195</v>
      </c>
      <c r="N835" s="8" t="s">
        <v>1890</v>
      </c>
      <c r="O835" s="16" t="s">
        <v>2146</v>
      </c>
      <c r="P835" s="8">
        <v>796</v>
      </c>
      <c r="Q835" s="8" t="s">
        <v>3196</v>
      </c>
      <c r="R835" s="10">
        <v>10</v>
      </c>
      <c r="S835" s="10">
        <v>15446.43</v>
      </c>
      <c r="T835" s="10">
        <v>0</v>
      </c>
      <c r="U835" s="10">
        <f t="shared" si="343"/>
        <v>0</v>
      </c>
      <c r="V835" s="8" t="s">
        <v>3027</v>
      </c>
      <c r="W835" s="11">
        <v>2015</v>
      </c>
      <c r="X835" s="4" t="s">
        <v>7597</v>
      </c>
    </row>
    <row r="836" spans="1:24" ht="76.5" outlineLevel="1" x14ac:dyDescent="0.2">
      <c r="A836" s="1" t="s">
        <v>9059</v>
      </c>
      <c r="B836" s="24" t="s">
        <v>5277</v>
      </c>
      <c r="C836" s="7" t="s">
        <v>2147</v>
      </c>
      <c r="D836" s="7" t="s">
        <v>2983</v>
      </c>
      <c r="E836" s="25" t="s">
        <v>2148</v>
      </c>
      <c r="F836" s="25" t="s">
        <v>2150</v>
      </c>
      <c r="G836" s="1" t="s">
        <v>3187</v>
      </c>
      <c r="H836" s="17">
        <v>0.5</v>
      </c>
      <c r="I836" s="18">
        <v>710000000</v>
      </c>
      <c r="J836" s="4" t="s">
        <v>1931</v>
      </c>
      <c r="K836" s="4" t="s">
        <v>9076</v>
      </c>
      <c r="L836" s="7" t="s">
        <v>2140</v>
      </c>
      <c r="M836" s="8" t="s">
        <v>3195</v>
      </c>
      <c r="N836" s="8" t="s">
        <v>1890</v>
      </c>
      <c r="O836" s="16" t="s">
        <v>2146</v>
      </c>
      <c r="P836" s="8">
        <v>796</v>
      </c>
      <c r="Q836" s="8" t="s">
        <v>3196</v>
      </c>
      <c r="R836" s="10">
        <v>10</v>
      </c>
      <c r="S836" s="10">
        <v>16875</v>
      </c>
      <c r="T836" s="10">
        <v>0</v>
      </c>
      <c r="U836" s="10">
        <f t="shared" ref="U836" si="350">T836*1.12</f>
        <v>0</v>
      </c>
      <c r="V836" s="8" t="s">
        <v>3027</v>
      </c>
      <c r="W836" s="11">
        <v>2015</v>
      </c>
      <c r="X836" s="4">
        <v>15.22</v>
      </c>
    </row>
    <row r="837" spans="1:24" ht="76.5" outlineLevel="1" x14ac:dyDescent="0.2">
      <c r="A837" s="1" t="s">
        <v>9385</v>
      </c>
      <c r="B837" s="24" t="s">
        <v>5277</v>
      </c>
      <c r="C837" s="7" t="s">
        <v>2147</v>
      </c>
      <c r="D837" s="7" t="s">
        <v>2983</v>
      </c>
      <c r="E837" s="25" t="s">
        <v>2148</v>
      </c>
      <c r="F837" s="25" t="s">
        <v>2150</v>
      </c>
      <c r="G837" s="1" t="s">
        <v>3187</v>
      </c>
      <c r="H837" s="17">
        <v>0.5</v>
      </c>
      <c r="I837" s="18">
        <v>710000000</v>
      </c>
      <c r="J837" s="4" t="s">
        <v>1931</v>
      </c>
      <c r="K837" s="4" t="s">
        <v>9076</v>
      </c>
      <c r="L837" s="7" t="s">
        <v>2140</v>
      </c>
      <c r="M837" s="8" t="s">
        <v>3195</v>
      </c>
      <c r="N837" s="8" t="s">
        <v>1890</v>
      </c>
      <c r="O837" s="16" t="s">
        <v>1935</v>
      </c>
      <c r="P837" s="8">
        <v>796</v>
      </c>
      <c r="Q837" s="8" t="s">
        <v>3196</v>
      </c>
      <c r="R837" s="10">
        <v>10</v>
      </c>
      <c r="S837" s="10">
        <v>16875</v>
      </c>
      <c r="T837" s="10">
        <f t="shared" ref="T837" si="351">S837*R837</f>
        <v>168750</v>
      </c>
      <c r="U837" s="10">
        <f t="shared" ref="U837" si="352">T837*1.12</f>
        <v>189000.00000000003</v>
      </c>
      <c r="V837" s="8"/>
      <c r="W837" s="11">
        <v>2015</v>
      </c>
      <c r="X837" s="4"/>
    </row>
    <row r="838" spans="1:24" ht="76.5" customHeight="1" outlineLevel="1" x14ac:dyDescent="0.2">
      <c r="A838" s="1" t="s">
        <v>4771</v>
      </c>
      <c r="B838" s="24" t="s">
        <v>5277</v>
      </c>
      <c r="C838" s="7" t="s">
        <v>2147</v>
      </c>
      <c r="D838" s="7" t="s">
        <v>2983</v>
      </c>
      <c r="E838" s="25" t="s">
        <v>2148</v>
      </c>
      <c r="F838" s="25" t="s">
        <v>2151</v>
      </c>
      <c r="G838" s="1" t="s">
        <v>3187</v>
      </c>
      <c r="H838" s="17">
        <v>0.5</v>
      </c>
      <c r="I838" s="18">
        <v>710000000</v>
      </c>
      <c r="J838" s="4" t="s">
        <v>1931</v>
      </c>
      <c r="K838" s="4" t="s">
        <v>5706</v>
      </c>
      <c r="L838" s="7" t="s">
        <v>2140</v>
      </c>
      <c r="M838" s="8" t="s">
        <v>3195</v>
      </c>
      <c r="N838" s="8" t="s">
        <v>1890</v>
      </c>
      <c r="O838" s="16" t="s">
        <v>2146</v>
      </c>
      <c r="P838" s="8">
        <v>796</v>
      </c>
      <c r="Q838" s="8" t="s">
        <v>3196</v>
      </c>
      <c r="R838" s="10">
        <v>10</v>
      </c>
      <c r="S838" s="10">
        <v>15446.43</v>
      </c>
      <c r="T838" s="10">
        <v>0</v>
      </c>
      <c r="U838" s="10">
        <f t="shared" si="343"/>
        <v>0</v>
      </c>
      <c r="V838" s="8" t="s">
        <v>3027</v>
      </c>
      <c r="W838" s="11">
        <v>2015</v>
      </c>
      <c r="X838" s="4" t="s">
        <v>7597</v>
      </c>
    </row>
    <row r="839" spans="1:24" ht="76.5" outlineLevel="1" x14ac:dyDescent="0.2">
      <c r="A839" s="1" t="s">
        <v>9060</v>
      </c>
      <c r="B839" s="24" t="s">
        <v>5277</v>
      </c>
      <c r="C839" s="7" t="s">
        <v>2147</v>
      </c>
      <c r="D839" s="7" t="s">
        <v>2983</v>
      </c>
      <c r="E839" s="25" t="s">
        <v>2148</v>
      </c>
      <c r="F839" s="25" t="s">
        <v>2151</v>
      </c>
      <c r="G839" s="1" t="s">
        <v>3187</v>
      </c>
      <c r="H839" s="17">
        <v>0.5</v>
      </c>
      <c r="I839" s="18">
        <v>710000000</v>
      </c>
      <c r="J839" s="4" t="s">
        <v>1931</v>
      </c>
      <c r="K839" s="4" t="s">
        <v>9076</v>
      </c>
      <c r="L839" s="7" t="s">
        <v>2140</v>
      </c>
      <c r="M839" s="8" t="s">
        <v>3195</v>
      </c>
      <c r="N839" s="8" t="s">
        <v>1890</v>
      </c>
      <c r="O839" s="16" t="s">
        <v>2146</v>
      </c>
      <c r="P839" s="8">
        <v>796</v>
      </c>
      <c r="Q839" s="8" t="s">
        <v>3196</v>
      </c>
      <c r="R839" s="10">
        <v>10</v>
      </c>
      <c r="S839" s="10">
        <v>16875</v>
      </c>
      <c r="T839" s="10">
        <v>0</v>
      </c>
      <c r="U839" s="10">
        <f t="shared" ref="U839" si="353">T839*1.12</f>
        <v>0</v>
      </c>
      <c r="V839" s="8" t="s">
        <v>3027</v>
      </c>
      <c r="W839" s="11">
        <v>2015</v>
      </c>
      <c r="X839" s="4">
        <v>15.22</v>
      </c>
    </row>
    <row r="840" spans="1:24" ht="76.5" outlineLevel="1" x14ac:dyDescent="0.2">
      <c r="A840" s="1" t="s">
        <v>9386</v>
      </c>
      <c r="B840" s="24" t="s">
        <v>5277</v>
      </c>
      <c r="C840" s="7" t="s">
        <v>2147</v>
      </c>
      <c r="D840" s="7" t="s">
        <v>2983</v>
      </c>
      <c r="E840" s="25" t="s">
        <v>2148</v>
      </c>
      <c r="F840" s="25" t="s">
        <v>2151</v>
      </c>
      <c r="G840" s="1" t="s">
        <v>3187</v>
      </c>
      <c r="H840" s="17">
        <v>0.5</v>
      </c>
      <c r="I840" s="18">
        <v>710000000</v>
      </c>
      <c r="J840" s="4" t="s">
        <v>1931</v>
      </c>
      <c r="K840" s="4" t="s">
        <v>9076</v>
      </c>
      <c r="L840" s="7" t="s">
        <v>2140</v>
      </c>
      <c r="M840" s="8" t="s">
        <v>3195</v>
      </c>
      <c r="N840" s="8" t="s">
        <v>1890</v>
      </c>
      <c r="O840" s="16" t="s">
        <v>1935</v>
      </c>
      <c r="P840" s="8">
        <v>796</v>
      </c>
      <c r="Q840" s="8" t="s">
        <v>3196</v>
      </c>
      <c r="R840" s="10">
        <v>10</v>
      </c>
      <c r="S840" s="10">
        <v>16875</v>
      </c>
      <c r="T840" s="10">
        <f t="shared" ref="T840" si="354">S840*R840</f>
        <v>168750</v>
      </c>
      <c r="U840" s="10">
        <f t="shared" ref="U840" si="355">T840*1.12</f>
        <v>189000.00000000003</v>
      </c>
      <c r="V840" s="8"/>
      <c r="W840" s="11">
        <v>2015</v>
      </c>
      <c r="X840" s="4"/>
    </row>
    <row r="841" spans="1:24" ht="76.5" customHeight="1" outlineLevel="1" x14ac:dyDescent="0.2">
      <c r="A841" s="1" t="s">
        <v>4772</v>
      </c>
      <c r="B841" s="24" t="s">
        <v>5277</v>
      </c>
      <c r="C841" s="7" t="s">
        <v>2982</v>
      </c>
      <c r="D841" s="7" t="s">
        <v>2983</v>
      </c>
      <c r="E841" s="18" t="s">
        <v>5435</v>
      </c>
      <c r="F841" s="25" t="s">
        <v>2152</v>
      </c>
      <c r="G841" s="1" t="s">
        <v>3187</v>
      </c>
      <c r="H841" s="17">
        <v>0.5</v>
      </c>
      <c r="I841" s="18">
        <v>710000000</v>
      </c>
      <c r="J841" s="4" t="s">
        <v>1931</v>
      </c>
      <c r="K841" s="4" t="s">
        <v>5706</v>
      </c>
      <c r="L841" s="7" t="s">
        <v>2140</v>
      </c>
      <c r="M841" s="8" t="s">
        <v>3195</v>
      </c>
      <c r="N841" s="8" t="s">
        <v>1890</v>
      </c>
      <c r="O841" s="16" t="s">
        <v>2146</v>
      </c>
      <c r="P841" s="8">
        <v>796</v>
      </c>
      <c r="Q841" s="8" t="s">
        <v>3196</v>
      </c>
      <c r="R841" s="10">
        <v>2</v>
      </c>
      <c r="S841" s="10">
        <v>26566.959999999999</v>
      </c>
      <c r="T841" s="10">
        <v>0</v>
      </c>
      <c r="U841" s="10">
        <f t="shared" si="343"/>
        <v>0</v>
      </c>
      <c r="V841" s="8" t="s">
        <v>3027</v>
      </c>
      <c r="W841" s="11">
        <v>2015</v>
      </c>
      <c r="X841" s="1" t="s">
        <v>8195</v>
      </c>
    </row>
    <row r="842" spans="1:24" ht="76.5" outlineLevel="1" x14ac:dyDescent="0.2">
      <c r="A842" s="1" t="s">
        <v>9061</v>
      </c>
      <c r="B842" s="24" t="s">
        <v>5277</v>
      </c>
      <c r="C842" s="7" t="s">
        <v>2982</v>
      </c>
      <c r="D842" s="7" t="s">
        <v>2983</v>
      </c>
      <c r="E842" s="18" t="s">
        <v>5435</v>
      </c>
      <c r="F842" s="25" t="s">
        <v>2152</v>
      </c>
      <c r="G842" s="1" t="s">
        <v>3187</v>
      </c>
      <c r="H842" s="17">
        <v>0.5</v>
      </c>
      <c r="I842" s="18">
        <v>710000000</v>
      </c>
      <c r="J842" s="4" t="s">
        <v>1931</v>
      </c>
      <c r="K842" s="4" t="s">
        <v>9076</v>
      </c>
      <c r="L842" s="7" t="s">
        <v>2140</v>
      </c>
      <c r="M842" s="8" t="s">
        <v>3195</v>
      </c>
      <c r="N842" s="8" t="s">
        <v>1890</v>
      </c>
      <c r="O842" s="16" t="s">
        <v>2146</v>
      </c>
      <c r="P842" s="8">
        <v>796</v>
      </c>
      <c r="Q842" s="8" t="s">
        <v>3196</v>
      </c>
      <c r="R842" s="10">
        <v>3</v>
      </c>
      <c r="S842" s="10">
        <v>34932.14</v>
      </c>
      <c r="T842" s="10">
        <v>0</v>
      </c>
      <c r="U842" s="10">
        <f t="shared" ref="U842" si="356">T842*1.12</f>
        <v>0</v>
      </c>
      <c r="V842" s="8" t="s">
        <v>3027</v>
      </c>
      <c r="W842" s="11">
        <v>2015</v>
      </c>
      <c r="X842" s="4">
        <v>15.22</v>
      </c>
    </row>
    <row r="843" spans="1:24" ht="76.5" outlineLevel="1" x14ac:dyDescent="0.2">
      <c r="A843" s="1" t="s">
        <v>9387</v>
      </c>
      <c r="B843" s="24" t="s">
        <v>5277</v>
      </c>
      <c r="C843" s="7" t="s">
        <v>2982</v>
      </c>
      <c r="D843" s="7" t="s">
        <v>2983</v>
      </c>
      <c r="E843" s="18" t="s">
        <v>5435</v>
      </c>
      <c r="F843" s="25" t="s">
        <v>2152</v>
      </c>
      <c r="G843" s="1" t="s">
        <v>3187</v>
      </c>
      <c r="H843" s="17">
        <v>0.5</v>
      </c>
      <c r="I843" s="18">
        <v>710000000</v>
      </c>
      <c r="J843" s="4" t="s">
        <v>1931</v>
      </c>
      <c r="K843" s="4" t="s">
        <v>9076</v>
      </c>
      <c r="L843" s="7" t="s">
        <v>2140</v>
      </c>
      <c r="M843" s="8" t="s">
        <v>3195</v>
      </c>
      <c r="N843" s="8" t="s">
        <v>1890</v>
      </c>
      <c r="O843" s="16" t="s">
        <v>1935</v>
      </c>
      <c r="P843" s="8">
        <v>796</v>
      </c>
      <c r="Q843" s="8" t="s">
        <v>3196</v>
      </c>
      <c r="R843" s="10">
        <v>3</v>
      </c>
      <c r="S843" s="10">
        <v>34932.14</v>
      </c>
      <c r="T843" s="10">
        <f t="shared" ref="T843" si="357">S843*R843</f>
        <v>104796.42</v>
      </c>
      <c r="U843" s="10">
        <f t="shared" ref="U843" si="358">T843*1.12</f>
        <v>117371.99040000001</v>
      </c>
      <c r="V843" s="8"/>
      <c r="W843" s="11">
        <v>2015</v>
      </c>
      <c r="X843" s="1"/>
    </row>
    <row r="844" spans="1:24" ht="76.5" customHeight="1" outlineLevel="1" x14ac:dyDescent="0.2">
      <c r="A844" s="1" t="s">
        <v>4773</v>
      </c>
      <c r="B844" s="24" t="s">
        <v>5277</v>
      </c>
      <c r="C844" s="7" t="s">
        <v>2147</v>
      </c>
      <c r="D844" s="7" t="s">
        <v>2983</v>
      </c>
      <c r="E844" s="25" t="s">
        <v>2148</v>
      </c>
      <c r="F844" s="25" t="s">
        <v>2153</v>
      </c>
      <c r="G844" s="1" t="s">
        <v>3187</v>
      </c>
      <c r="H844" s="17">
        <v>0.5</v>
      </c>
      <c r="I844" s="18">
        <v>710000000</v>
      </c>
      <c r="J844" s="4" t="s">
        <v>1931</v>
      </c>
      <c r="K844" s="4" t="s">
        <v>5706</v>
      </c>
      <c r="L844" s="7" t="s">
        <v>2140</v>
      </c>
      <c r="M844" s="8" t="s">
        <v>3195</v>
      </c>
      <c r="N844" s="8" t="s">
        <v>1890</v>
      </c>
      <c r="O844" s="16" t="s">
        <v>2146</v>
      </c>
      <c r="P844" s="8">
        <v>796</v>
      </c>
      <c r="Q844" s="8" t="s">
        <v>3196</v>
      </c>
      <c r="R844" s="10">
        <v>2</v>
      </c>
      <c r="S844" s="10">
        <v>38375</v>
      </c>
      <c r="T844" s="10">
        <v>0</v>
      </c>
      <c r="U844" s="10">
        <f t="shared" si="343"/>
        <v>0</v>
      </c>
      <c r="V844" s="8" t="s">
        <v>3027</v>
      </c>
      <c r="W844" s="11">
        <v>2015</v>
      </c>
      <c r="X844" s="1" t="s">
        <v>8195</v>
      </c>
    </row>
    <row r="845" spans="1:24" ht="76.5" outlineLevel="1" x14ac:dyDescent="0.2">
      <c r="A845" s="1" t="s">
        <v>9062</v>
      </c>
      <c r="B845" s="24" t="s">
        <v>5277</v>
      </c>
      <c r="C845" s="7" t="s">
        <v>2147</v>
      </c>
      <c r="D845" s="7" t="s">
        <v>2983</v>
      </c>
      <c r="E845" s="25" t="s">
        <v>2148</v>
      </c>
      <c r="F845" s="25" t="s">
        <v>2153</v>
      </c>
      <c r="G845" s="1" t="s">
        <v>3187</v>
      </c>
      <c r="H845" s="17">
        <v>0.5</v>
      </c>
      <c r="I845" s="18">
        <v>710000000</v>
      </c>
      <c r="J845" s="4" t="s">
        <v>1931</v>
      </c>
      <c r="K845" s="4" t="s">
        <v>9076</v>
      </c>
      <c r="L845" s="7" t="s">
        <v>2140</v>
      </c>
      <c r="M845" s="8" t="s">
        <v>3195</v>
      </c>
      <c r="N845" s="8" t="s">
        <v>1890</v>
      </c>
      <c r="O845" s="16" t="s">
        <v>2146</v>
      </c>
      <c r="P845" s="8">
        <v>796</v>
      </c>
      <c r="Q845" s="8" t="s">
        <v>3196</v>
      </c>
      <c r="R845" s="10">
        <v>3</v>
      </c>
      <c r="S845" s="10">
        <v>48356.25</v>
      </c>
      <c r="T845" s="10">
        <v>0</v>
      </c>
      <c r="U845" s="10">
        <f t="shared" ref="U845" si="359">T845*1.12</f>
        <v>0</v>
      </c>
      <c r="V845" s="8" t="s">
        <v>3027</v>
      </c>
      <c r="W845" s="11">
        <v>2015</v>
      </c>
      <c r="X845" s="4">
        <v>15.22</v>
      </c>
    </row>
    <row r="846" spans="1:24" ht="76.5" outlineLevel="1" x14ac:dyDescent="0.2">
      <c r="A846" s="1" t="s">
        <v>9388</v>
      </c>
      <c r="B846" s="24" t="s">
        <v>5277</v>
      </c>
      <c r="C846" s="7" t="s">
        <v>2147</v>
      </c>
      <c r="D846" s="7" t="s">
        <v>2983</v>
      </c>
      <c r="E846" s="25" t="s">
        <v>2148</v>
      </c>
      <c r="F846" s="25" t="s">
        <v>2153</v>
      </c>
      <c r="G846" s="1" t="s">
        <v>3187</v>
      </c>
      <c r="H846" s="17">
        <v>0.5</v>
      </c>
      <c r="I846" s="18">
        <v>710000000</v>
      </c>
      <c r="J846" s="4" t="s">
        <v>1931</v>
      </c>
      <c r="K846" s="4" t="s">
        <v>9076</v>
      </c>
      <c r="L846" s="7" t="s">
        <v>2140</v>
      </c>
      <c r="M846" s="8" t="s">
        <v>3195</v>
      </c>
      <c r="N846" s="8" t="s">
        <v>1890</v>
      </c>
      <c r="O846" s="16" t="s">
        <v>1935</v>
      </c>
      <c r="P846" s="8">
        <v>796</v>
      </c>
      <c r="Q846" s="8" t="s">
        <v>3196</v>
      </c>
      <c r="R846" s="10">
        <v>3</v>
      </c>
      <c r="S846" s="10">
        <v>48356.25</v>
      </c>
      <c r="T846" s="10">
        <f t="shared" ref="T846" si="360">S846*R846</f>
        <v>145068.75</v>
      </c>
      <c r="U846" s="10">
        <f t="shared" ref="U846" si="361">T846*1.12</f>
        <v>162477.00000000003</v>
      </c>
      <c r="V846" s="8"/>
      <c r="W846" s="11">
        <v>2015</v>
      </c>
      <c r="X846" s="1"/>
    </row>
    <row r="847" spans="1:24" ht="76.5" customHeight="1" outlineLevel="1" x14ac:dyDescent="0.2">
      <c r="A847" s="1" t="s">
        <v>4774</v>
      </c>
      <c r="B847" s="24" t="s">
        <v>5277</v>
      </c>
      <c r="C847" s="7" t="s">
        <v>2147</v>
      </c>
      <c r="D847" s="7" t="s">
        <v>2983</v>
      </c>
      <c r="E847" s="25" t="s">
        <v>2148</v>
      </c>
      <c r="F847" s="25" t="s">
        <v>2154</v>
      </c>
      <c r="G847" s="1" t="s">
        <v>3187</v>
      </c>
      <c r="H847" s="17">
        <v>0.5</v>
      </c>
      <c r="I847" s="18">
        <v>710000000</v>
      </c>
      <c r="J847" s="4" t="s">
        <v>1931</v>
      </c>
      <c r="K847" s="4" t="s">
        <v>5706</v>
      </c>
      <c r="L847" s="7" t="s">
        <v>2140</v>
      </c>
      <c r="M847" s="8" t="s">
        <v>3195</v>
      </c>
      <c r="N847" s="8" t="s">
        <v>1890</v>
      </c>
      <c r="O847" s="16" t="s">
        <v>2146</v>
      </c>
      <c r="P847" s="8">
        <v>796</v>
      </c>
      <c r="Q847" s="8" t="s">
        <v>3196</v>
      </c>
      <c r="R847" s="10">
        <v>2</v>
      </c>
      <c r="S847" s="10">
        <v>38375</v>
      </c>
      <c r="T847" s="10">
        <v>0</v>
      </c>
      <c r="U847" s="10">
        <f t="shared" si="343"/>
        <v>0</v>
      </c>
      <c r="V847" s="8" t="s">
        <v>3027</v>
      </c>
      <c r="W847" s="11">
        <v>2015</v>
      </c>
      <c r="X847" s="1" t="s">
        <v>8195</v>
      </c>
    </row>
    <row r="848" spans="1:24" ht="76.5" outlineLevel="1" x14ac:dyDescent="0.2">
      <c r="A848" s="1" t="s">
        <v>9063</v>
      </c>
      <c r="B848" s="24" t="s">
        <v>5277</v>
      </c>
      <c r="C848" s="7" t="s">
        <v>2147</v>
      </c>
      <c r="D848" s="7" t="s">
        <v>2983</v>
      </c>
      <c r="E848" s="25" t="s">
        <v>2148</v>
      </c>
      <c r="F848" s="25" t="s">
        <v>2154</v>
      </c>
      <c r="G848" s="1" t="s">
        <v>3187</v>
      </c>
      <c r="H848" s="17">
        <v>0.5</v>
      </c>
      <c r="I848" s="18">
        <v>710000000</v>
      </c>
      <c r="J848" s="4" t="s">
        <v>1931</v>
      </c>
      <c r="K848" s="4" t="s">
        <v>9076</v>
      </c>
      <c r="L848" s="7" t="s">
        <v>2140</v>
      </c>
      <c r="M848" s="8" t="s">
        <v>3195</v>
      </c>
      <c r="N848" s="8" t="s">
        <v>1890</v>
      </c>
      <c r="O848" s="16" t="s">
        <v>2146</v>
      </c>
      <c r="P848" s="8">
        <v>796</v>
      </c>
      <c r="Q848" s="8" t="s">
        <v>3196</v>
      </c>
      <c r="R848" s="10">
        <v>3</v>
      </c>
      <c r="S848" s="10">
        <v>48356.25</v>
      </c>
      <c r="T848" s="10">
        <v>0</v>
      </c>
      <c r="U848" s="10">
        <f t="shared" ref="U848" si="362">T848*1.12</f>
        <v>0</v>
      </c>
      <c r="V848" s="8" t="s">
        <v>3027</v>
      </c>
      <c r="W848" s="11">
        <v>2015</v>
      </c>
      <c r="X848" s="4">
        <v>15.22</v>
      </c>
    </row>
    <row r="849" spans="1:24" ht="76.5" outlineLevel="1" x14ac:dyDescent="0.2">
      <c r="A849" s="1" t="s">
        <v>9389</v>
      </c>
      <c r="B849" s="24" t="s">
        <v>5277</v>
      </c>
      <c r="C849" s="7" t="s">
        <v>2147</v>
      </c>
      <c r="D849" s="7" t="s">
        <v>2983</v>
      </c>
      <c r="E849" s="25" t="s">
        <v>2148</v>
      </c>
      <c r="F849" s="25" t="s">
        <v>2154</v>
      </c>
      <c r="G849" s="1" t="s">
        <v>3187</v>
      </c>
      <c r="H849" s="17">
        <v>0.5</v>
      </c>
      <c r="I849" s="18">
        <v>710000000</v>
      </c>
      <c r="J849" s="4" t="s">
        <v>1931</v>
      </c>
      <c r="K849" s="4" t="s">
        <v>9076</v>
      </c>
      <c r="L849" s="7" t="s">
        <v>2140</v>
      </c>
      <c r="M849" s="8" t="s">
        <v>3195</v>
      </c>
      <c r="N849" s="8" t="s">
        <v>1890</v>
      </c>
      <c r="O849" s="16" t="s">
        <v>1935</v>
      </c>
      <c r="P849" s="8">
        <v>796</v>
      </c>
      <c r="Q849" s="8" t="s">
        <v>3196</v>
      </c>
      <c r="R849" s="10">
        <v>3</v>
      </c>
      <c r="S849" s="10">
        <v>48356.25</v>
      </c>
      <c r="T849" s="10">
        <f t="shared" ref="T849" si="363">S849*R849</f>
        <v>145068.75</v>
      </c>
      <c r="U849" s="10">
        <f t="shared" ref="U849" si="364">T849*1.12</f>
        <v>162477.00000000003</v>
      </c>
      <c r="V849" s="8"/>
      <c r="W849" s="11">
        <v>2015</v>
      </c>
      <c r="X849" s="20"/>
    </row>
    <row r="850" spans="1:24" ht="76.5" customHeight="1" outlineLevel="1" x14ac:dyDescent="0.2">
      <c r="A850" s="1" t="s">
        <v>4775</v>
      </c>
      <c r="B850" s="24" t="s">
        <v>5277</v>
      </c>
      <c r="C850" s="7" t="s">
        <v>2147</v>
      </c>
      <c r="D850" s="7" t="s">
        <v>2983</v>
      </c>
      <c r="E850" s="25" t="s">
        <v>2148</v>
      </c>
      <c r="F850" s="25" t="s">
        <v>2155</v>
      </c>
      <c r="G850" s="1" t="s">
        <v>3187</v>
      </c>
      <c r="H850" s="17">
        <v>0.5</v>
      </c>
      <c r="I850" s="18">
        <v>710000000</v>
      </c>
      <c r="J850" s="4" t="s">
        <v>1931</v>
      </c>
      <c r="K850" s="4" t="s">
        <v>5706</v>
      </c>
      <c r="L850" s="7" t="s">
        <v>2140</v>
      </c>
      <c r="M850" s="8" t="s">
        <v>3195</v>
      </c>
      <c r="N850" s="8" t="s">
        <v>1890</v>
      </c>
      <c r="O850" s="16" t="s">
        <v>2146</v>
      </c>
      <c r="P850" s="8">
        <v>796</v>
      </c>
      <c r="Q850" s="8" t="s">
        <v>3196</v>
      </c>
      <c r="R850" s="10">
        <v>2</v>
      </c>
      <c r="S850" s="10">
        <v>38375</v>
      </c>
      <c r="T850" s="10">
        <v>0</v>
      </c>
      <c r="U850" s="10">
        <f t="shared" si="343"/>
        <v>0</v>
      </c>
      <c r="V850" s="8" t="s">
        <v>3027</v>
      </c>
      <c r="W850" s="11">
        <v>2015</v>
      </c>
      <c r="X850" s="1" t="s">
        <v>8195</v>
      </c>
    </row>
    <row r="851" spans="1:24" ht="76.5" outlineLevel="1" x14ac:dyDescent="0.2">
      <c r="A851" s="1" t="s">
        <v>9064</v>
      </c>
      <c r="B851" s="24" t="s">
        <v>5277</v>
      </c>
      <c r="C851" s="7" t="s">
        <v>2147</v>
      </c>
      <c r="D851" s="7" t="s">
        <v>2983</v>
      </c>
      <c r="E851" s="25" t="s">
        <v>2148</v>
      </c>
      <c r="F851" s="25" t="s">
        <v>2155</v>
      </c>
      <c r="G851" s="1" t="s">
        <v>3187</v>
      </c>
      <c r="H851" s="17">
        <v>0.5</v>
      </c>
      <c r="I851" s="18">
        <v>710000000</v>
      </c>
      <c r="J851" s="4" t="s">
        <v>1931</v>
      </c>
      <c r="K851" s="4" t="s">
        <v>9076</v>
      </c>
      <c r="L851" s="7" t="s">
        <v>2140</v>
      </c>
      <c r="M851" s="8" t="s">
        <v>3195</v>
      </c>
      <c r="N851" s="8" t="s">
        <v>1890</v>
      </c>
      <c r="O851" s="16" t="s">
        <v>2146</v>
      </c>
      <c r="P851" s="8">
        <v>796</v>
      </c>
      <c r="Q851" s="8" t="s">
        <v>3196</v>
      </c>
      <c r="R851" s="10">
        <v>3</v>
      </c>
      <c r="S851" s="10">
        <v>48356.25</v>
      </c>
      <c r="T851" s="10">
        <v>0</v>
      </c>
      <c r="U851" s="10">
        <f t="shared" ref="U851" si="365">T851*1.12</f>
        <v>0</v>
      </c>
      <c r="V851" s="8" t="s">
        <v>3027</v>
      </c>
      <c r="W851" s="11">
        <v>2015</v>
      </c>
      <c r="X851" s="4">
        <v>15.22</v>
      </c>
    </row>
    <row r="852" spans="1:24" ht="76.5" outlineLevel="1" x14ac:dyDescent="0.2">
      <c r="A852" s="1" t="s">
        <v>9390</v>
      </c>
      <c r="B852" s="24" t="s">
        <v>5277</v>
      </c>
      <c r="C852" s="7" t="s">
        <v>2147</v>
      </c>
      <c r="D852" s="7" t="s">
        <v>2983</v>
      </c>
      <c r="E852" s="25" t="s">
        <v>2148</v>
      </c>
      <c r="F852" s="25" t="s">
        <v>2155</v>
      </c>
      <c r="G852" s="1" t="s">
        <v>3187</v>
      </c>
      <c r="H852" s="17">
        <v>0.5</v>
      </c>
      <c r="I852" s="18">
        <v>710000000</v>
      </c>
      <c r="J852" s="4" t="s">
        <v>1931</v>
      </c>
      <c r="K852" s="4" t="s">
        <v>9076</v>
      </c>
      <c r="L852" s="7" t="s">
        <v>2140</v>
      </c>
      <c r="M852" s="8" t="s">
        <v>3195</v>
      </c>
      <c r="N852" s="8" t="s">
        <v>1890</v>
      </c>
      <c r="O852" s="16" t="s">
        <v>1935</v>
      </c>
      <c r="P852" s="8">
        <v>796</v>
      </c>
      <c r="Q852" s="8" t="s">
        <v>3196</v>
      </c>
      <c r="R852" s="10">
        <v>3</v>
      </c>
      <c r="S852" s="10">
        <v>48356.25</v>
      </c>
      <c r="T852" s="10">
        <f t="shared" ref="T852" si="366">S852*R852</f>
        <v>145068.75</v>
      </c>
      <c r="U852" s="10">
        <f t="shared" ref="U852" si="367">T852*1.12</f>
        <v>162477.00000000003</v>
      </c>
      <c r="V852" s="8"/>
      <c r="W852" s="11">
        <v>2015</v>
      </c>
      <c r="X852" s="1"/>
    </row>
    <row r="853" spans="1:24" ht="76.5" customHeight="1" outlineLevel="1" x14ac:dyDescent="0.2">
      <c r="A853" s="1" t="s">
        <v>4776</v>
      </c>
      <c r="B853" s="24" t="s">
        <v>5277</v>
      </c>
      <c r="C853" s="7" t="s">
        <v>2982</v>
      </c>
      <c r="D853" s="7" t="s">
        <v>2983</v>
      </c>
      <c r="E853" s="18" t="s">
        <v>5435</v>
      </c>
      <c r="F853" s="25" t="s">
        <v>5445</v>
      </c>
      <c r="G853" s="1" t="s">
        <v>3187</v>
      </c>
      <c r="H853" s="17">
        <v>0.5</v>
      </c>
      <c r="I853" s="18">
        <v>710000000</v>
      </c>
      <c r="J853" s="4" t="s">
        <v>1931</v>
      </c>
      <c r="K853" s="4" t="s">
        <v>5706</v>
      </c>
      <c r="L853" s="7" t="s">
        <v>2140</v>
      </c>
      <c r="M853" s="8" t="s">
        <v>3195</v>
      </c>
      <c r="N853" s="8" t="s">
        <v>1890</v>
      </c>
      <c r="O853" s="16" t="s">
        <v>2146</v>
      </c>
      <c r="P853" s="8">
        <v>796</v>
      </c>
      <c r="Q853" s="8" t="s">
        <v>3196</v>
      </c>
      <c r="R853" s="10">
        <v>420</v>
      </c>
      <c r="S853" s="10">
        <v>2642.86</v>
      </c>
      <c r="T853" s="10">
        <v>0</v>
      </c>
      <c r="U853" s="10">
        <f t="shared" si="343"/>
        <v>0</v>
      </c>
      <c r="V853" s="8" t="s">
        <v>3027</v>
      </c>
      <c r="W853" s="11">
        <v>2015</v>
      </c>
      <c r="X853" s="1" t="s">
        <v>8195</v>
      </c>
    </row>
    <row r="854" spans="1:24" ht="76.5" outlineLevel="1" x14ac:dyDescent="0.2">
      <c r="A854" s="1" t="s">
        <v>9065</v>
      </c>
      <c r="B854" s="24" t="s">
        <v>5277</v>
      </c>
      <c r="C854" s="7" t="s">
        <v>2982</v>
      </c>
      <c r="D854" s="7" t="s">
        <v>2983</v>
      </c>
      <c r="E854" s="18" t="s">
        <v>5435</v>
      </c>
      <c r="F854" s="25" t="s">
        <v>5445</v>
      </c>
      <c r="G854" s="1" t="s">
        <v>3187</v>
      </c>
      <c r="H854" s="17">
        <v>0.5</v>
      </c>
      <c r="I854" s="18">
        <v>710000000</v>
      </c>
      <c r="J854" s="4" t="s">
        <v>1931</v>
      </c>
      <c r="K854" s="4" t="s">
        <v>9076</v>
      </c>
      <c r="L854" s="7" t="s">
        <v>2140</v>
      </c>
      <c r="M854" s="8" t="s">
        <v>3195</v>
      </c>
      <c r="N854" s="8" t="s">
        <v>1890</v>
      </c>
      <c r="O854" s="16" t="s">
        <v>2146</v>
      </c>
      <c r="P854" s="8">
        <v>796</v>
      </c>
      <c r="Q854" s="8" t="s">
        <v>3196</v>
      </c>
      <c r="R854" s="10">
        <v>400</v>
      </c>
      <c r="S854" s="10">
        <v>1500</v>
      </c>
      <c r="T854" s="10">
        <v>0</v>
      </c>
      <c r="U854" s="10">
        <f t="shared" ref="U854" si="368">T854*1.12</f>
        <v>0</v>
      </c>
      <c r="V854" s="8" t="s">
        <v>3027</v>
      </c>
      <c r="W854" s="11">
        <v>2015</v>
      </c>
      <c r="X854" s="4">
        <v>15.22</v>
      </c>
    </row>
    <row r="855" spans="1:24" ht="76.5" outlineLevel="1" x14ac:dyDescent="0.2">
      <c r="A855" s="1" t="s">
        <v>9391</v>
      </c>
      <c r="B855" s="24" t="s">
        <v>5277</v>
      </c>
      <c r="C855" s="7" t="s">
        <v>2982</v>
      </c>
      <c r="D855" s="7" t="s">
        <v>2983</v>
      </c>
      <c r="E855" s="18" t="s">
        <v>5435</v>
      </c>
      <c r="F855" s="25" t="s">
        <v>5445</v>
      </c>
      <c r="G855" s="1" t="s">
        <v>3187</v>
      </c>
      <c r="H855" s="17">
        <v>0.5</v>
      </c>
      <c r="I855" s="18">
        <v>710000000</v>
      </c>
      <c r="J855" s="4" t="s">
        <v>1931</v>
      </c>
      <c r="K855" s="4" t="s">
        <v>9076</v>
      </c>
      <c r="L855" s="7" t="s">
        <v>2140</v>
      </c>
      <c r="M855" s="8" t="s">
        <v>3195</v>
      </c>
      <c r="N855" s="8" t="s">
        <v>1890</v>
      </c>
      <c r="O855" s="16" t="s">
        <v>1935</v>
      </c>
      <c r="P855" s="8">
        <v>796</v>
      </c>
      <c r="Q855" s="8" t="s">
        <v>3196</v>
      </c>
      <c r="R855" s="10">
        <v>400</v>
      </c>
      <c r="S855" s="10">
        <v>1500</v>
      </c>
      <c r="T855" s="10">
        <f t="shared" ref="T855" si="369">S855*R855</f>
        <v>600000</v>
      </c>
      <c r="U855" s="10">
        <f t="shared" ref="U855" si="370">T855*1.12</f>
        <v>672000.00000000012</v>
      </c>
      <c r="V855" s="8"/>
      <c r="W855" s="11">
        <v>2015</v>
      </c>
      <c r="X855" s="1"/>
    </row>
    <row r="856" spans="1:24" ht="76.5" customHeight="1" outlineLevel="1" x14ac:dyDescent="0.2">
      <c r="A856" s="1" t="s">
        <v>4777</v>
      </c>
      <c r="B856" s="24" t="s">
        <v>5277</v>
      </c>
      <c r="C856" s="7" t="s">
        <v>2982</v>
      </c>
      <c r="D856" s="7" t="s">
        <v>2983</v>
      </c>
      <c r="E856" s="18" t="s">
        <v>5435</v>
      </c>
      <c r="F856" s="25" t="s">
        <v>5446</v>
      </c>
      <c r="G856" s="1" t="s">
        <v>3187</v>
      </c>
      <c r="H856" s="17">
        <v>0.5</v>
      </c>
      <c r="I856" s="18">
        <v>710000000</v>
      </c>
      <c r="J856" s="4" t="s">
        <v>1931</v>
      </c>
      <c r="K856" s="4" t="s">
        <v>5706</v>
      </c>
      <c r="L856" s="7" t="s">
        <v>2140</v>
      </c>
      <c r="M856" s="8" t="s">
        <v>3195</v>
      </c>
      <c r="N856" s="8" t="s">
        <v>1890</v>
      </c>
      <c r="O856" s="16" t="s">
        <v>2146</v>
      </c>
      <c r="P856" s="8">
        <v>796</v>
      </c>
      <c r="Q856" s="8" t="s">
        <v>3196</v>
      </c>
      <c r="R856" s="10">
        <v>420</v>
      </c>
      <c r="S856" s="10">
        <v>2642.86</v>
      </c>
      <c r="T856" s="10">
        <v>0</v>
      </c>
      <c r="U856" s="10">
        <f t="shared" si="343"/>
        <v>0</v>
      </c>
      <c r="V856" s="8" t="s">
        <v>3027</v>
      </c>
      <c r="W856" s="11">
        <v>2015</v>
      </c>
      <c r="X856" s="1" t="s">
        <v>8195</v>
      </c>
    </row>
    <row r="857" spans="1:24" ht="76.5" outlineLevel="1" x14ac:dyDescent="0.2">
      <c r="A857" s="1" t="s">
        <v>9066</v>
      </c>
      <c r="B857" s="24" t="s">
        <v>5277</v>
      </c>
      <c r="C857" s="7" t="s">
        <v>2982</v>
      </c>
      <c r="D857" s="7" t="s">
        <v>2983</v>
      </c>
      <c r="E857" s="18" t="s">
        <v>5435</v>
      </c>
      <c r="F857" s="25" t="s">
        <v>5446</v>
      </c>
      <c r="G857" s="1" t="s">
        <v>3187</v>
      </c>
      <c r="H857" s="17">
        <v>0.5</v>
      </c>
      <c r="I857" s="18">
        <v>710000000</v>
      </c>
      <c r="J857" s="4" t="s">
        <v>1931</v>
      </c>
      <c r="K857" s="4" t="s">
        <v>9076</v>
      </c>
      <c r="L857" s="7" t="s">
        <v>2140</v>
      </c>
      <c r="M857" s="8" t="s">
        <v>3195</v>
      </c>
      <c r="N857" s="8" t="s">
        <v>1890</v>
      </c>
      <c r="O857" s="16" t="s">
        <v>2146</v>
      </c>
      <c r="P857" s="8">
        <v>796</v>
      </c>
      <c r="Q857" s="8" t="s">
        <v>3196</v>
      </c>
      <c r="R857" s="10">
        <v>500</v>
      </c>
      <c r="S857" s="10">
        <v>1500</v>
      </c>
      <c r="T857" s="10">
        <v>0</v>
      </c>
      <c r="U857" s="10">
        <f t="shared" ref="U857" si="371">T857*1.12</f>
        <v>0</v>
      </c>
      <c r="V857" s="8" t="s">
        <v>3027</v>
      </c>
      <c r="W857" s="11">
        <v>2015</v>
      </c>
      <c r="X857" s="4">
        <v>15.22</v>
      </c>
    </row>
    <row r="858" spans="1:24" ht="76.5" outlineLevel="1" x14ac:dyDescent="0.2">
      <c r="A858" s="1" t="s">
        <v>9392</v>
      </c>
      <c r="B858" s="24" t="s">
        <v>5277</v>
      </c>
      <c r="C858" s="7" t="s">
        <v>2982</v>
      </c>
      <c r="D858" s="7" t="s">
        <v>2983</v>
      </c>
      <c r="E858" s="18" t="s">
        <v>5435</v>
      </c>
      <c r="F858" s="25" t="s">
        <v>5446</v>
      </c>
      <c r="G858" s="1" t="s">
        <v>3187</v>
      </c>
      <c r="H858" s="17">
        <v>0.5</v>
      </c>
      <c r="I858" s="18">
        <v>710000000</v>
      </c>
      <c r="J858" s="4" t="s">
        <v>1931</v>
      </c>
      <c r="K858" s="4" t="s">
        <v>9076</v>
      </c>
      <c r="L858" s="7" t="s">
        <v>2140</v>
      </c>
      <c r="M858" s="8" t="s">
        <v>3195</v>
      </c>
      <c r="N858" s="8" t="s">
        <v>1890</v>
      </c>
      <c r="O858" s="16" t="s">
        <v>1935</v>
      </c>
      <c r="P858" s="8">
        <v>796</v>
      </c>
      <c r="Q858" s="8" t="s">
        <v>3196</v>
      </c>
      <c r="R858" s="10">
        <v>500</v>
      </c>
      <c r="S858" s="10">
        <v>1500</v>
      </c>
      <c r="T858" s="10">
        <f t="shared" ref="T858" si="372">S858*R858</f>
        <v>750000</v>
      </c>
      <c r="U858" s="10">
        <f t="shared" ref="U858" si="373">T858*1.12</f>
        <v>840000.00000000012</v>
      </c>
      <c r="V858" s="8"/>
      <c r="W858" s="11">
        <v>2015</v>
      </c>
      <c r="X858" s="1"/>
    </row>
    <row r="859" spans="1:24" ht="76.5" customHeight="1" outlineLevel="1" x14ac:dyDescent="0.2">
      <c r="A859" s="1" t="s">
        <v>4778</v>
      </c>
      <c r="B859" s="24" t="s">
        <v>5277</v>
      </c>
      <c r="C859" s="25" t="s">
        <v>2156</v>
      </c>
      <c r="D859" s="25" t="s">
        <v>2157</v>
      </c>
      <c r="E859" s="25" t="s">
        <v>2158</v>
      </c>
      <c r="F859" s="25" t="s">
        <v>2159</v>
      </c>
      <c r="G859" s="1" t="s">
        <v>3190</v>
      </c>
      <c r="H859" s="17">
        <v>0</v>
      </c>
      <c r="I859" s="18">
        <v>710000000</v>
      </c>
      <c r="J859" s="4" t="s">
        <v>1931</v>
      </c>
      <c r="K859" s="4" t="s">
        <v>5706</v>
      </c>
      <c r="L859" s="7" t="s">
        <v>2140</v>
      </c>
      <c r="M859" s="8" t="s">
        <v>3195</v>
      </c>
      <c r="N859" s="8" t="s">
        <v>1890</v>
      </c>
      <c r="O859" s="8" t="s">
        <v>1935</v>
      </c>
      <c r="P859" s="8">
        <v>796</v>
      </c>
      <c r="Q859" s="8" t="s">
        <v>3196</v>
      </c>
      <c r="R859" s="10">
        <v>2</v>
      </c>
      <c r="S859" s="10">
        <v>12988.39</v>
      </c>
      <c r="T859" s="10">
        <v>0</v>
      </c>
      <c r="U859" s="10">
        <f t="shared" si="343"/>
        <v>0</v>
      </c>
      <c r="V859" s="8"/>
      <c r="W859" s="11">
        <v>2015</v>
      </c>
      <c r="X859" s="4" t="s">
        <v>6565</v>
      </c>
    </row>
    <row r="860" spans="1:24" ht="76.5" customHeight="1" outlineLevel="1" x14ac:dyDescent="0.2">
      <c r="A860" s="1" t="s">
        <v>4779</v>
      </c>
      <c r="B860" s="24" t="s">
        <v>5277</v>
      </c>
      <c r="C860" s="25" t="s">
        <v>2160</v>
      </c>
      <c r="D860" s="25" t="s">
        <v>2157</v>
      </c>
      <c r="E860" s="25" t="s">
        <v>2161</v>
      </c>
      <c r="F860" s="18" t="s">
        <v>2162</v>
      </c>
      <c r="G860" s="1" t="s">
        <v>3190</v>
      </c>
      <c r="H860" s="17">
        <v>0</v>
      </c>
      <c r="I860" s="18">
        <v>710000000</v>
      </c>
      <c r="J860" s="4" t="s">
        <v>1931</v>
      </c>
      <c r="K860" s="4" t="s">
        <v>5706</v>
      </c>
      <c r="L860" s="7" t="s">
        <v>2140</v>
      </c>
      <c r="M860" s="8" t="s">
        <v>3195</v>
      </c>
      <c r="N860" s="8" t="s">
        <v>1890</v>
      </c>
      <c r="O860" s="8" t="s">
        <v>1935</v>
      </c>
      <c r="P860" s="8">
        <v>796</v>
      </c>
      <c r="Q860" s="8" t="s">
        <v>3196</v>
      </c>
      <c r="R860" s="10">
        <v>1</v>
      </c>
      <c r="S860" s="10">
        <v>12988.39</v>
      </c>
      <c r="T860" s="10">
        <v>0</v>
      </c>
      <c r="U860" s="10">
        <f t="shared" si="343"/>
        <v>0</v>
      </c>
      <c r="V860" s="8"/>
      <c r="W860" s="11">
        <v>2015</v>
      </c>
      <c r="X860" s="4" t="s">
        <v>6565</v>
      </c>
    </row>
    <row r="861" spans="1:24" ht="76.5" customHeight="1" outlineLevel="1" x14ac:dyDescent="0.2">
      <c r="A861" s="1" t="s">
        <v>4780</v>
      </c>
      <c r="B861" s="18" t="s">
        <v>5277</v>
      </c>
      <c r="C861" s="18" t="s">
        <v>2163</v>
      </c>
      <c r="D861" s="18" t="s">
        <v>2164</v>
      </c>
      <c r="E861" s="18" t="s">
        <v>2165</v>
      </c>
      <c r="F861" s="18" t="s">
        <v>2166</v>
      </c>
      <c r="G861" s="1" t="s">
        <v>3190</v>
      </c>
      <c r="H861" s="17">
        <v>0</v>
      </c>
      <c r="I861" s="18">
        <v>710000000</v>
      </c>
      <c r="J861" s="4" t="s">
        <v>1931</v>
      </c>
      <c r="K861" s="4" t="s">
        <v>5706</v>
      </c>
      <c r="L861" s="7" t="s">
        <v>2140</v>
      </c>
      <c r="M861" s="8" t="s">
        <v>3195</v>
      </c>
      <c r="N861" s="8" t="s">
        <v>1890</v>
      </c>
      <c r="O861" s="8" t="s">
        <v>1935</v>
      </c>
      <c r="P861" s="8">
        <v>796</v>
      </c>
      <c r="Q861" s="8" t="s">
        <v>3196</v>
      </c>
      <c r="R861" s="10">
        <v>1</v>
      </c>
      <c r="S861" s="10">
        <v>4919.6400000000003</v>
      </c>
      <c r="T861" s="10">
        <v>0</v>
      </c>
      <c r="U861" s="10">
        <f t="shared" si="343"/>
        <v>0</v>
      </c>
      <c r="V861" s="8"/>
      <c r="W861" s="11">
        <v>2015</v>
      </c>
      <c r="X861" s="4" t="s">
        <v>6565</v>
      </c>
    </row>
    <row r="862" spans="1:24" ht="76.5" customHeight="1" outlineLevel="1" x14ac:dyDescent="0.2">
      <c r="A862" s="1" t="s">
        <v>4781</v>
      </c>
      <c r="B862" s="24" t="s">
        <v>5277</v>
      </c>
      <c r="C862" s="7" t="s">
        <v>2989</v>
      </c>
      <c r="D862" s="7" t="s">
        <v>5447</v>
      </c>
      <c r="E862" s="18" t="s">
        <v>5448</v>
      </c>
      <c r="F862" s="25" t="s">
        <v>2167</v>
      </c>
      <c r="G862" s="1" t="s">
        <v>3190</v>
      </c>
      <c r="H862" s="17">
        <v>0</v>
      </c>
      <c r="I862" s="18">
        <v>710000000</v>
      </c>
      <c r="J862" s="4" t="s">
        <v>1931</v>
      </c>
      <c r="K862" s="4" t="s">
        <v>5706</v>
      </c>
      <c r="L862" s="7" t="s">
        <v>2140</v>
      </c>
      <c r="M862" s="8" t="s">
        <v>3195</v>
      </c>
      <c r="N862" s="8" t="s">
        <v>1890</v>
      </c>
      <c r="O862" s="8" t="s">
        <v>1935</v>
      </c>
      <c r="P862" s="8">
        <v>796</v>
      </c>
      <c r="Q862" s="8" t="s">
        <v>3196</v>
      </c>
      <c r="R862" s="10">
        <v>29</v>
      </c>
      <c r="S862" s="10">
        <v>973.21</v>
      </c>
      <c r="T862" s="10">
        <v>0</v>
      </c>
      <c r="U862" s="10">
        <f t="shared" si="343"/>
        <v>0</v>
      </c>
      <c r="V862" s="8"/>
      <c r="W862" s="11">
        <v>2015</v>
      </c>
      <c r="X862" s="4" t="s">
        <v>6562</v>
      </c>
    </row>
    <row r="863" spans="1:24" ht="76.5" customHeight="1" outlineLevel="1" x14ac:dyDescent="0.2">
      <c r="A863" s="1" t="s">
        <v>6576</v>
      </c>
      <c r="B863" s="24" t="s">
        <v>5277</v>
      </c>
      <c r="C863" s="7" t="s">
        <v>2989</v>
      </c>
      <c r="D863" s="7" t="s">
        <v>5447</v>
      </c>
      <c r="E863" s="18" t="s">
        <v>5448</v>
      </c>
      <c r="F863" s="25" t="s">
        <v>2167</v>
      </c>
      <c r="G863" s="1" t="s">
        <v>3190</v>
      </c>
      <c r="H863" s="17">
        <v>0</v>
      </c>
      <c r="I863" s="18">
        <v>710000000</v>
      </c>
      <c r="J863" s="4" t="s">
        <v>1931</v>
      </c>
      <c r="K863" s="4" t="s">
        <v>5706</v>
      </c>
      <c r="L863" s="7" t="s">
        <v>2140</v>
      </c>
      <c r="M863" s="8" t="s">
        <v>3195</v>
      </c>
      <c r="N863" s="8" t="s">
        <v>1890</v>
      </c>
      <c r="O863" s="8" t="s">
        <v>1935</v>
      </c>
      <c r="P863" s="8">
        <v>796</v>
      </c>
      <c r="Q863" s="8" t="s">
        <v>3196</v>
      </c>
      <c r="R863" s="10">
        <f>29+1</f>
        <v>30</v>
      </c>
      <c r="S863" s="10">
        <v>973.21</v>
      </c>
      <c r="T863" s="10">
        <v>0</v>
      </c>
      <c r="U863" s="10">
        <f t="shared" ref="U863" si="374">T863*1.12</f>
        <v>0</v>
      </c>
      <c r="V863" s="8"/>
      <c r="W863" s="11">
        <v>2015</v>
      </c>
      <c r="X863" s="4" t="s">
        <v>6565</v>
      </c>
    </row>
    <row r="864" spans="1:24" ht="76.5" customHeight="1" outlineLevel="1" x14ac:dyDescent="0.2">
      <c r="A864" s="1" t="s">
        <v>4782</v>
      </c>
      <c r="B864" s="24" t="s">
        <v>5277</v>
      </c>
      <c r="C864" s="25" t="s">
        <v>2168</v>
      </c>
      <c r="D864" s="25" t="s">
        <v>5449</v>
      </c>
      <c r="E864" s="25" t="s">
        <v>2169</v>
      </c>
      <c r="F864" s="25" t="s">
        <v>2170</v>
      </c>
      <c r="G864" s="1" t="s">
        <v>3190</v>
      </c>
      <c r="H864" s="17">
        <v>0</v>
      </c>
      <c r="I864" s="18">
        <v>710000000</v>
      </c>
      <c r="J864" s="4" t="s">
        <v>1931</v>
      </c>
      <c r="K864" s="4" t="s">
        <v>5706</v>
      </c>
      <c r="L864" s="7" t="s">
        <v>2140</v>
      </c>
      <c r="M864" s="8" t="s">
        <v>3195</v>
      </c>
      <c r="N864" s="8" t="s">
        <v>1890</v>
      </c>
      <c r="O864" s="8" t="s">
        <v>1935</v>
      </c>
      <c r="P864" s="8">
        <v>796</v>
      </c>
      <c r="Q864" s="8" t="s">
        <v>3196</v>
      </c>
      <c r="R864" s="10">
        <v>40</v>
      </c>
      <c r="S864" s="10">
        <v>2848.21</v>
      </c>
      <c r="T864" s="10">
        <v>0</v>
      </c>
      <c r="U864" s="10">
        <f t="shared" si="343"/>
        <v>0</v>
      </c>
      <c r="V864" s="8"/>
      <c r="W864" s="11">
        <v>2015</v>
      </c>
      <c r="X864" s="4" t="s">
        <v>6565</v>
      </c>
    </row>
    <row r="865" spans="1:24" ht="76.5" customHeight="1" outlineLevel="1" x14ac:dyDescent="0.2">
      <c r="A865" s="1" t="s">
        <v>4783</v>
      </c>
      <c r="B865" s="24" t="s">
        <v>5277</v>
      </c>
      <c r="C865" s="7" t="s">
        <v>2993</v>
      </c>
      <c r="D865" s="7" t="s">
        <v>5453</v>
      </c>
      <c r="E865" s="18" t="s">
        <v>2994</v>
      </c>
      <c r="F865" s="25" t="s">
        <v>5454</v>
      </c>
      <c r="G865" s="1" t="s">
        <v>3190</v>
      </c>
      <c r="H865" s="17">
        <v>0</v>
      </c>
      <c r="I865" s="18">
        <v>710000000</v>
      </c>
      <c r="J865" s="4" t="s">
        <v>1931</v>
      </c>
      <c r="K865" s="4" t="s">
        <v>5706</v>
      </c>
      <c r="L865" s="7" t="s">
        <v>2140</v>
      </c>
      <c r="M865" s="8" t="s">
        <v>3195</v>
      </c>
      <c r="N865" s="8" t="s">
        <v>1890</v>
      </c>
      <c r="O865" s="8" t="s">
        <v>1935</v>
      </c>
      <c r="P865" s="8">
        <v>796</v>
      </c>
      <c r="Q865" s="8" t="s">
        <v>3196</v>
      </c>
      <c r="R865" s="10">
        <v>100</v>
      </c>
      <c r="S865" s="10">
        <v>544.64</v>
      </c>
      <c r="T865" s="10">
        <v>0</v>
      </c>
      <c r="U865" s="10">
        <f t="shared" si="343"/>
        <v>0</v>
      </c>
      <c r="V865" s="8"/>
      <c r="W865" s="11">
        <v>2015</v>
      </c>
      <c r="X865" s="4" t="s">
        <v>6582</v>
      </c>
    </row>
    <row r="866" spans="1:24" ht="76.5" customHeight="1" outlineLevel="1" x14ac:dyDescent="0.2">
      <c r="A866" s="1" t="s">
        <v>7564</v>
      </c>
      <c r="B866" s="24" t="s">
        <v>5277</v>
      </c>
      <c r="C866" s="7" t="s">
        <v>2993</v>
      </c>
      <c r="D866" s="7" t="s">
        <v>5453</v>
      </c>
      <c r="E866" s="18" t="s">
        <v>2994</v>
      </c>
      <c r="F866" s="25" t="s">
        <v>5454</v>
      </c>
      <c r="G866" s="1" t="s">
        <v>3190</v>
      </c>
      <c r="H866" s="17">
        <v>0</v>
      </c>
      <c r="I866" s="18">
        <v>710000000</v>
      </c>
      <c r="J866" s="4" t="s">
        <v>1931</v>
      </c>
      <c r="K866" s="4" t="s">
        <v>5706</v>
      </c>
      <c r="L866" s="7" t="s">
        <v>2140</v>
      </c>
      <c r="M866" s="8" t="s">
        <v>3195</v>
      </c>
      <c r="N866" s="8" t="s">
        <v>1890</v>
      </c>
      <c r="O866" s="8" t="s">
        <v>1935</v>
      </c>
      <c r="P866" s="8">
        <v>796</v>
      </c>
      <c r="Q866" s="8" t="s">
        <v>3196</v>
      </c>
      <c r="R866" s="10">
        <v>100</v>
      </c>
      <c r="S866" s="10">
        <v>437.5</v>
      </c>
      <c r="T866" s="10">
        <v>0</v>
      </c>
      <c r="U866" s="10">
        <f t="shared" ref="U866" si="375">T866*1.12</f>
        <v>0</v>
      </c>
      <c r="V866" s="8"/>
      <c r="W866" s="11">
        <v>2015</v>
      </c>
      <c r="X866" s="4" t="s">
        <v>8195</v>
      </c>
    </row>
    <row r="867" spans="1:24" ht="76.5" customHeight="1" outlineLevel="1" x14ac:dyDescent="0.2">
      <c r="A867" s="1" t="s">
        <v>9072</v>
      </c>
      <c r="B867" s="24" t="s">
        <v>5277</v>
      </c>
      <c r="C867" s="7" t="s">
        <v>2993</v>
      </c>
      <c r="D867" s="7" t="s">
        <v>5453</v>
      </c>
      <c r="E867" s="18" t="s">
        <v>2994</v>
      </c>
      <c r="F867" s="25" t="s">
        <v>5454</v>
      </c>
      <c r="G867" s="1" t="s">
        <v>3190</v>
      </c>
      <c r="H867" s="17">
        <v>0</v>
      </c>
      <c r="I867" s="18">
        <v>710000000</v>
      </c>
      <c r="J867" s="4" t="s">
        <v>1931</v>
      </c>
      <c r="K867" s="4" t="s">
        <v>9076</v>
      </c>
      <c r="L867" s="7" t="s">
        <v>2140</v>
      </c>
      <c r="M867" s="8" t="s">
        <v>3195</v>
      </c>
      <c r="N867" s="8" t="s">
        <v>1890</v>
      </c>
      <c r="O867" s="8" t="s">
        <v>1935</v>
      </c>
      <c r="P867" s="8">
        <v>796</v>
      </c>
      <c r="Q867" s="8" t="s">
        <v>3196</v>
      </c>
      <c r="R867" s="10">
        <v>300</v>
      </c>
      <c r="S867" s="10">
        <v>660.71</v>
      </c>
      <c r="T867" s="10">
        <f t="shared" ref="T867" si="376">S867*R867</f>
        <v>198213</v>
      </c>
      <c r="U867" s="10">
        <f t="shared" ref="U867" si="377">T867*1.12</f>
        <v>221998.56000000003</v>
      </c>
      <c r="V867" s="8"/>
      <c r="W867" s="11">
        <v>2015</v>
      </c>
      <c r="X867" s="4"/>
    </row>
    <row r="868" spans="1:24" ht="76.5" customHeight="1" outlineLevel="1" x14ac:dyDescent="0.2">
      <c r="A868" s="1" t="s">
        <v>4784</v>
      </c>
      <c r="B868" s="24" t="s">
        <v>5277</v>
      </c>
      <c r="C868" s="18" t="s">
        <v>3556</v>
      </c>
      <c r="D868" s="18" t="s">
        <v>2996</v>
      </c>
      <c r="E868" s="18" t="s">
        <v>6156</v>
      </c>
      <c r="F868" s="18" t="s">
        <v>2173</v>
      </c>
      <c r="G868" s="1" t="s">
        <v>3190</v>
      </c>
      <c r="H868" s="17">
        <v>0</v>
      </c>
      <c r="I868" s="18">
        <v>710000000</v>
      </c>
      <c r="J868" s="4" t="s">
        <v>1931</v>
      </c>
      <c r="K868" s="4" t="s">
        <v>5706</v>
      </c>
      <c r="L868" s="7" t="s">
        <v>2140</v>
      </c>
      <c r="M868" s="8" t="s">
        <v>3195</v>
      </c>
      <c r="N868" s="8" t="s">
        <v>1890</v>
      </c>
      <c r="O868" s="8" t="s">
        <v>1935</v>
      </c>
      <c r="P868" s="40" t="s">
        <v>3443</v>
      </c>
      <c r="Q868" s="4" t="s">
        <v>5676</v>
      </c>
      <c r="R868" s="10">
        <v>840</v>
      </c>
      <c r="S868" s="10">
        <v>15.18</v>
      </c>
      <c r="T868" s="10">
        <v>0</v>
      </c>
      <c r="U868" s="10">
        <f t="shared" si="343"/>
        <v>0</v>
      </c>
      <c r="V868" s="8"/>
      <c r="W868" s="11">
        <v>2015</v>
      </c>
      <c r="X868" s="4" t="s">
        <v>6565</v>
      </c>
    </row>
    <row r="869" spans="1:24" ht="76.5" customHeight="1" outlineLevel="1" x14ac:dyDescent="0.2">
      <c r="A869" s="1" t="s">
        <v>4785</v>
      </c>
      <c r="B869" s="24" t="s">
        <v>5277</v>
      </c>
      <c r="C869" s="18" t="s">
        <v>2174</v>
      </c>
      <c r="D869" s="18" t="s">
        <v>2996</v>
      </c>
      <c r="E869" s="18" t="s">
        <v>2175</v>
      </c>
      <c r="F869" s="18" t="s">
        <v>2176</v>
      </c>
      <c r="G869" s="1" t="s">
        <v>3190</v>
      </c>
      <c r="H869" s="17">
        <v>0</v>
      </c>
      <c r="I869" s="18">
        <v>710000000</v>
      </c>
      <c r="J869" s="4" t="s">
        <v>1931</v>
      </c>
      <c r="K869" s="4" t="s">
        <v>5706</v>
      </c>
      <c r="L869" s="7" t="s">
        <v>2140</v>
      </c>
      <c r="M869" s="8" t="s">
        <v>3195</v>
      </c>
      <c r="N869" s="8" t="s">
        <v>1890</v>
      </c>
      <c r="O869" s="8" t="s">
        <v>1935</v>
      </c>
      <c r="P869" s="40" t="s">
        <v>3443</v>
      </c>
      <c r="Q869" s="4" t="s">
        <v>5676</v>
      </c>
      <c r="R869" s="10">
        <v>1830</v>
      </c>
      <c r="S869" s="10">
        <v>52.68</v>
      </c>
      <c r="T869" s="10">
        <v>0</v>
      </c>
      <c r="U869" s="10">
        <f t="shared" si="343"/>
        <v>0</v>
      </c>
      <c r="V869" s="8"/>
      <c r="W869" s="11">
        <v>2015</v>
      </c>
      <c r="X869" s="4" t="s">
        <v>6565</v>
      </c>
    </row>
    <row r="870" spans="1:24" ht="76.5" customHeight="1" outlineLevel="1" x14ac:dyDescent="0.2">
      <c r="A870" s="1" t="s">
        <v>4786</v>
      </c>
      <c r="B870" s="24" t="s">
        <v>5277</v>
      </c>
      <c r="C870" s="7" t="s">
        <v>2995</v>
      </c>
      <c r="D870" s="7" t="s">
        <v>2996</v>
      </c>
      <c r="E870" s="18" t="s">
        <v>5455</v>
      </c>
      <c r="F870" s="25" t="s">
        <v>2177</v>
      </c>
      <c r="G870" s="1" t="s">
        <v>3190</v>
      </c>
      <c r="H870" s="17">
        <v>0</v>
      </c>
      <c r="I870" s="18">
        <v>710000000</v>
      </c>
      <c r="J870" s="4" t="s">
        <v>1931</v>
      </c>
      <c r="K870" s="4" t="s">
        <v>5706</v>
      </c>
      <c r="L870" s="7" t="s">
        <v>2140</v>
      </c>
      <c r="M870" s="8" t="s">
        <v>3195</v>
      </c>
      <c r="N870" s="8" t="s">
        <v>1890</v>
      </c>
      <c r="O870" s="8" t="s">
        <v>1935</v>
      </c>
      <c r="P870" s="8">
        <v>796</v>
      </c>
      <c r="Q870" s="8" t="s">
        <v>3196</v>
      </c>
      <c r="R870" s="10">
        <v>100</v>
      </c>
      <c r="S870" s="10">
        <v>660.71</v>
      </c>
      <c r="T870" s="10">
        <v>0</v>
      </c>
      <c r="U870" s="10">
        <f t="shared" si="343"/>
        <v>0</v>
      </c>
      <c r="V870" s="8"/>
      <c r="W870" s="11">
        <v>2015</v>
      </c>
      <c r="X870" s="4" t="s">
        <v>6562</v>
      </c>
    </row>
    <row r="871" spans="1:24" ht="76.5" customHeight="1" outlineLevel="1" x14ac:dyDescent="0.2">
      <c r="A871" s="1" t="s">
        <v>6577</v>
      </c>
      <c r="B871" s="24" t="s">
        <v>5277</v>
      </c>
      <c r="C871" s="7" t="s">
        <v>2995</v>
      </c>
      <c r="D871" s="7" t="s">
        <v>2996</v>
      </c>
      <c r="E871" s="18" t="s">
        <v>5455</v>
      </c>
      <c r="F871" s="25" t="s">
        <v>2177</v>
      </c>
      <c r="G871" s="1" t="s">
        <v>3190</v>
      </c>
      <c r="H871" s="17">
        <v>0</v>
      </c>
      <c r="I871" s="18">
        <v>710000000</v>
      </c>
      <c r="J871" s="4" t="s">
        <v>1931</v>
      </c>
      <c r="K871" s="4" t="s">
        <v>5706</v>
      </c>
      <c r="L871" s="7" t="s">
        <v>2140</v>
      </c>
      <c r="M871" s="8" t="s">
        <v>3195</v>
      </c>
      <c r="N871" s="8" t="s">
        <v>1890</v>
      </c>
      <c r="O871" s="8" t="s">
        <v>1935</v>
      </c>
      <c r="P871" s="8">
        <v>796</v>
      </c>
      <c r="Q871" s="8" t="s">
        <v>3196</v>
      </c>
      <c r="R871" s="10">
        <v>100</v>
      </c>
      <c r="S871" s="10">
        <v>660.71</v>
      </c>
      <c r="T871" s="10">
        <v>0</v>
      </c>
      <c r="U871" s="10">
        <f t="shared" ref="U871" si="378">T871*1.12</f>
        <v>0</v>
      </c>
      <c r="V871" s="8"/>
      <c r="W871" s="11">
        <v>2015</v>
      </c>
      <c r="X871" s="4" t="s">
        <v>6582</v>
      </c>
    </row>
    <row r="872" spans="1:24" ht="76.5" customHeight="1" outlineLevel="1" x14ac:dyDescent="0.2">
      <c r="A872" s="1" t="s">
        <v>7536</v>
      </c>
      <c r="B872" s="24" t="s">
        <v>5277</v>
      </c>
      <c r="C872" s="7" t="s">
        <v>2995</v>
      </c>
      <c r="D872" s="7" t="s">
        <v>2996</v>
      </c>
      <c r="E872" s="18" t="s">
        <v>5455</v>
      </c>
      <c r="F872" s="25" t="s">
        <v>2177</v>
      </c>
      <c r="G872" s="1" t="s">
        <v>3190</v>
      </c>
      <c r="H872" s="17">
        <v>0</v>
      </c>
      <c r="I872" s="18">
        <v>710000000</v>
      </c>
      <c r="J872" s="4" t="s">
        <v>1931</v>
      </c>
      <c r="K872" s="4" t="s">
        <v>5706</v>
      </c>
      <c r="L872" s="7" t="s">
        <v>2140</v>
      </c>
      <c r="M872" s="8" t="s">
        <v>3195</v>
      </c>
      <c r="N872" s="8" t="s">
        <v>1890</v>
      </c>
      <c r="O872" s="8" t="s">
        <v>1935</v>
      </c>
      <c r="P872" s="8">
        <v>796</v>
      </c>
      <c r="Q872" s="8" t="s">
        <v>3196</v>
      </c>
      <c r="R872" s="10">
        <f>100-30</f>
        <v>70</v>
      </c>
      <c r="S872" s="10">
        <v>633.92849999999999</v>
      </c>
      <c r="T872" s="10">
        <v>0</v>
      </c>
      <c r="U872" s="10">
        <f t="shared" ref="U872" si="379">T872*1.12</f>
        <v>0</v>
      </c>
      <c r="V872" s="8"/>
      <c r="W872" s="11">
        <v>2015</v>
      </c>
      <c r="X872" s="1" t="s">
        <v>8195</v>
      </c>
    </row>
    <row r="873" spans="1:24" ht="76.5" customHeight="1" outlineLevel="1" x14ac:dyDescent="0.2">
      <c r="A873" s="1" t="s">
        <v>9073</v>
      </c>
      <c r="B873" s="24" t="s">
        <v>5277</v>
      </c>
      <c r="C873" s="7" t="s">
        <v>2995</v>
      </c>
      <c r="D873" s="7" t="s">
        <v>2996</v>
      </c>
      <c r="E873" s="18" t="s">
        <v>5455</v>
      </c>
      <c r="F873" s="25" t="s">
        <v>2177</v>
      </c>
      <c r="G873" s="1" t="s">
        <v>3190</v>
      </c>
      <c r="H873" s="17">
        <v>0</v>
      </c>
      <c r="I873" s="18">
        <v>710000000</v>
      </c>
      <c r="J873" s="4" t="s">
        <v>1931</v>
      </c>
      <c r="K873" s="4" t="s">
        <v>9076</v>
      </c>
      <c r="L873" s="7" t="s">
        <v>2140</v>
      </c>
      <c r="M873" s="8" t="s">
        <v>3195</v>
      </c>
      <c r="N873" s="8" t="s">
        <v>1890</v>
      </c>
      <c r="O873" s="8" t="s">
        <v>1935</v>
      </c>
      <c r="P873" s="8">
        <v>796</v>
      </c>
      <c r="Q873" s="8" t="s">
        <v>3196</v>
      </c>
      <c r="R873" s="10">
        <v>30</v>
      </c>
      <c r="S873" s="10">
        <v>883.93</v>
      </c>
      <c r="T873" s="10">
        <f t="shared" ref="T873" si="380">S873*R873</f>
        <v>26517.899999999998</v>
      </c>
      <c r="U873" s="10">
        <f t="shared" ref="U873" si="381">T873*1.12</f>
        <v>29700.047999999999</v>
      </c>
      <c r="V873" s="8"/>
      <c r="W873" s="11">
        <v>2015</v>
      </c>
      <c r="X873" s="20"/>
    </row>
    <row r="874" spans="1:24" ht="76.5" customHeight="1" outlineLevel="1" x14ac:dyDescent="0.2">
      <c r="A874" s="1" t="s">
        <v>4787</v>
      </c>
      <c r="B874" s="24" t="s">
        <v>5277</v>
      </c>
      <c r="C874" s="7" t="s">
        <v>3059</v>
      </c>
      <c r="D874" s="7" t="s">
        <v>5456</v>
      </c>
      <c r="E874" s="18" t="s">
        <v>5456</v>
      </c>
      <c r="F874" s="25" t="s">
        <v>2178</v>
      </c>
      <c r="G874" s="1" t="s">
        <v>3190</v>
      </c>
      <c r="H874" s="17">
        <v>0</v>
      </c>
      <c r="I874" s="18">
        <v>710000000</v>
      </c>
      <c r="J874" s="4" t="s">
        <v>1931</v>
      </c>
      <c r="K874" s="4" t="s">
        <v>5706</v>
      </c>
      <c r="L874" s="7" t="s">
        <v>2140</v>
      </c>
      <c r="M874" s="8" t="s">
        <v>3195</v>
      </c>
      <c r="N874" s="8" t="s">
        <v>1890</v>
      </c>
      <c r="O874" s="8" t="s">
        <v>1935</v>
      </c>
      <c r="P874" s="8">
        <v>796</v>
      </c>
      <c r="Q874" s="8" t="s">
        <v>3196</v>
      </c>
      <c r="R874" s="10">
        <v>20</v>
      </c>
      <c r="S874" s="10">
        <v>2053.5700000000002</v>
      </c>
      <c r="T874" s="10">
        <v>0</v>
      </c>
      <c r="U874" s="10">
        <f t="shared" si="343"/>
        <v>0</v>
      </c>
      <c r="V874" s="8"/>
      <c r="W874" s="11">
        <v>2015</v>
      </c>
      <c r="X874" s="1" t="s">
        <v>8195</v>
      </c>
    </row>
    <row r="875" spans="1:24" ht="76.5" customHeight="1" outlineLevel="1" x14ac:dyDescent="0.2">
      <c r="A875" s="1" t="s">
        <v>9074</v>
      </c>
      <c r="B875" s="24" t="s">
        <v>5277</v>
      </c>
      <c r="C875" s="7" t="s">
        <v>3059</v>
      </c>
      <c r="D875" s="7" t="s">
        <v>5456</v>
      </c>
      <c r="E875" s="18" t="s">
        <v>5456</v>
      </c>
      <c r="F875" s="25" t="s">
        <v>2178</v>
      </c>
      <c r="G875" s="1" t="s">
        <v>3190</v>
      </c>
      <c r="H875" s="17">
        <v>0</v>
      </c>
      <c r="I875" s="18">
        <v>710000000</v>
      </c>
      <c r="J875" s="4" t="s">
        <v>1931</v>
      </c>
      <c r="K875" s="4" t="s">
        <v>9076</v>
      </c>
      <c r="L875" s="7" t="s">
        <v>2140</v>
      </c>
      <c r="M875" s="8" t="s">
        <v>3195</v>
      </c>
      <c r="N875" s="8" t="s">
        <v>1890</v>
      </c>
      <c r="O875" s="8" t="s">
        <v>1935</v>
      </c>
      <c r="P875" s="8">
        <v>796</v>
      </c>
      <c r="Q875" s="8" t="s">
        <v>3196</v>
      </c>
      <c r="R875" s="10">
        <v>20</v>
      </c>
      <c r="S875" s="10">
        <v>1955.36</v>
      </c>
      <c r="T875" s="10">
        <f t="shared" ref="T875" si="382">S875*R875</f>
        <v>39107.199999999997</v>
      </c>
      <c r="U875" s="10">
        <f t="shared" ref="U875" si="383">T875*1.12</f>
        <v>43800.063999999998</v>
      </c>
      <c r="V875" s="8"/>
      <c r="W875" s="11">
        <v>2015</v>
      </c>
      <c r="X875" s="4"/>
    </row>
    <row r="876" spans="1:24" ht="76.5" customHeight="1" outlineLevel="1" x14ac:dyDescent="0.2">
      <c r="A876" s="1" t="s">
        <v>4788</v>
      </c>
      <c r="B876" s="24" t="s">
        <v>5277</v>
      </c>
      <c r="C876" s="7" t="s">
        <v>2997</v>
      </c>
      <c r="D876" s="7" t="s">
        <v>5457</v>
      </c>
      <c r="E876" s="18" t="s">
        <v>5458</v>
      </c>
      <c r="F876" s="25"/>
      <c r="G876" s="1" t="s">
        <v>3190</v>
      </c>
      <c r="H876" s="17">
        <v>0</v>
      </c>
      <c r="I876" s="18">
        <v>710000000</v>
      </c>
      <c r="J876" s="4" t="s">
        <v>1931</v>
      </c>
      <c r="K876" s="4" t="s">
        <v>5706</v>
      </c>
      <c r="L876" s="7" t="s">
        <v>2140</v>
      </c>
      <c r="M876" s="8" t="s">
        <v>3195</v>
      </c>
      <c r="N876" s="8" t="s">
        <v>1890</v>
      </c>
      <c r="O876" s="8" t="s">
        <v>1935</v>
      </c>
      <c r="P876" s="8">
        <v>796</v>
      </c>
      <c r="Q876" s="8" t="s">
        <v>3196</v>
      </c>
      <c r="R876" s="10">
        <v>250</v>
      </c>
      <c r="S876" s="10">
        <v>13.39</v>
      </c>
      <c r="T876" s="10">
        <v>0</v>
      </c>
      <c r="U876" s="10">
        <f t="shared" si="343"/>
        <v>0</v>
      </c>
      <c r="V876" s="8"/>
      <c r="W876" s="11">
        <v>2015</v>
      </c>
      <c r="X876" s="4" t="s">
        <v>6565</v>
      </c>
    </row>
    <row r="877" spans="1:24" ht="76.5" customHeight="1" outlineLevel="1" x14ac:dyDescent="0.2">
      <c r="A877" s="1" t="s">
        <v>4789</v>
      </c>
      <c r="B877" s="24" t="s">
        <v>5277</v>
      </c>
      <c r="C877" s="7" t="s">
        <v>1812</v>
      </c>
      <c r="D877" s="7" t="s">
        <v>5457</v>
      </c>
      <c r="E877" s="18" t="s">
        <v>5459</v>
      </c>
      <c r="F877" s="25"/>
      <c r="G877" s="1" t="s">
        <v>3190</v>
      </c>
      <c r="H877" s="17">
        <v>0</v>
      </c>
      <c r="I877" s="18">
        <v>710000000</v>
      </c>
      <c r="J877" s="4" t="s">
        <v>1931</v>
      </c>
      <c r="K877" s="4" t="s">
        <v>5706</v>
      </c>
      <c r="L877" s="7" t="s">
        <v>2140</v>
      </c>
      <c r="M877" s="8" t="s">
        <v>3195</v>
      </c>
      <c r="N877" s="8" t="s">
        <v>1890</v>
      </c>
      <c r="O877" s="8" t="s">
        <v>1935</v>
      </c>
      <c r="P877" s="8">
        <v>796</v>
      </c>
      <c r="Q877" s="8" t="s">
        <v>3196</v>
      </c>
      <c r="R877" s="10">
        <v>250</v>
      </c>
      <c r="S877" s="10">
        <v>13.39</v>
      </c>
      <c r="T877" s="10">
        <v>0</v>
      </c>
      <c r="U877" s="10">
        <f t="shared" si="343"/>
        <v>0</v>
      </c>
      <c r="V877" s="8"/>
      <c r="W877" s="11">
        <v>2015</v>
      </c>
      <c r="X877" s="4" t="s">
        <v>6565</v>
      </c>
    </row>
    <row r="878" spans="1:24" ht="76.5" customHeight="1" outlineLevel="1" x14ac:dyDescent="0.2">
      <c r="A878" s="1" t="s">
        <v>4790</v>
      </c>
      <c r="B878" s="24" t="s">
        <v>5277</v>
      </c>
      <c r="C878" s="7" t="s">
        <v>2999</v>
      </c>
      <c r="D878" s="7" t="s">
        <v>2998</v>
      </c>
      <c r="E878" s="18" t="s">
        <v>5460</v>
      </c>
      <c r="F878" s="25"/>
      <c r="G878" s="1" t="s">
        <v>3190</v>
      </c>
      <c r="H878" s="17">
        <v>0</v>
      </c>
      <c r="I878" s="18">
        <v>710000000</v>
      </c>
      <c r="J878" s="4" t="s">
        <v>1931</v>
      </c>
      <c r="K878" s="4" t="s">
        <v>5706</v>
      </c>
      <c r="L878" s="7" t="s">
        <v>2140</v>
      </c>
      <c r="M878" s="8" t="s">
        <v>3195</v>
      </c>
      <c r="N878" s="8" t="s">
        <v>1890</v>
      </c>
      <c r="O878" s="8" t="s">
        <v>1935</v>
      </c>
      <c r="P878" s="8">
        <v>796</v>
      </c>
      <c r="Q878" s="8" t="s">
        <v>3196</v>
      </c>
      <c r="R878" s="10">
        <v>100</v>
      </c>
      <c r="S878" s="10">
        <v>44.64</v>
      </c>
      <c r="T878" s="10">
        <v>0</v>
      </c>
      <c r="U878" s="10">
        <f t="shared" si="343"/>
        <v>0</v>
      </c>
      <c r="V878" s="8"/>
      <c r="W878" s="11">
        <v>2015</v>
      </c>
      <c r="X878" s="4" t="s">
        <v>6565</v>
      </c>
    </row>
    <row r="879" spans="1:24" ht="76.5" customHeight="1" outlineLevel="1" x14ac:dyDescent="0.2">
      <c r="A879" s="1" t="s">
        <v>4791</v>
      </c>
      <c r="B879" s="24" t="s">
        <v>5277</v>
      </c>
      <c r="C879" s="7" t="s">
        <v>3000</v>
      </c>
      <c r="D879" s="7" t="s">
        <v>3001</v>
      </c>
      <c r="E879" s="18" t="s">
        <v>5461</v>
      </c>
      <c r="F879" s="25"/>
      <c r="G879" s="1" t="s">
        <v>3190</v>
      </c>
      <c r="H879" s="17">
        <v>0</v>
      </c>
      <c r="I879" s="18">
        <v>710000000</v>
      </c>
      <c r="J879" s="4" t="s">
        <v>1931</v>
      </c>
      <c r="K879" s="4" t="s">
        <v>5706</v>
      </c>
      <c r="L879" s="7" t="s">
        <v>2140</v>
      </c>
      <c r="M879" s="8" t="s">
        <v>3195</v>
      </c>
      <c r="N879" s="8" t="s">
        <v>1890</v>
      </c>
      <c r="O879" s="8" t="s">
        <v>1935</v>
      </c>
      <c r="P879" s="8">
        <v>796</v>
      </c>
      <c r="Q879" s="8" t="s">
        <v>3196</v>
      </c>
      <c r="R879" s="10">
        <v>100</v>
      </c>
      <c r="S879" s="10">
        <v>44.64</v>
      </c>
      <c r="T879" s="10">
        <v>0</v>
      </c>
      <c r="U879" s="10">
        <f t="shared" si="343"/>
        <v>0</v>
      </c>
      <c r="V879" s="8"/>
      <c r="W879" s="11">
        <v>2015</v>
      </c>
      <c r="X879" s="4" t="s">
        <v>6565</v>
      </c>
    </row>
    <row r="880" spans="1:24" ht="76.5" customHeight="1" outlineLevel="1" x14ac:dyDescent="0.2">
      <c r="A880" s="1" t="s">
        <v>4792</v>
      </c>
      <c r="B880" s="24" t="s">
        <v>5277</v>
      </c>
      <c r="C880" s="18" t="s">
        <v>2179</v>
      </c>
      <c r="D880" s="18" t="s">
        <v>2180</v>
      </c>
      <c r="E880" s="18" t="s">
        <v>2181</v>
      </c>
      <c r="F880" s="25" t="s">
        <v>2182</v>
      </c>
      <c r="G880" s="1" t="s">
        <v>3190</v>
      </c>
      <c r="H880" s="17">
        <v>0</v>
      </c>
      <c r="I880" s="18">
        <v>710000000</v>
      </c>
      <c r="J880" s="4" t="s">
        <v>1931</v>
      </c>
      <c r="K880" s="4" t="s">
        <v>5706</v>
      </c>
      <c r="L880" s="7" t="s">
        <v>2140</v>
      </c>
      <c r="M880" s="8" t="s">
        <v>3195</v>
      </c>
      <c r="N880" s="8" t="s">
        <v>1890</v>
      </c>
      <c r="O880" s="8" t="s">
        <v>1935</v>
      </c>
      <c r="P880" s="8">
        <v>796</v>
      </c>
      <c r="Q880" s="8" t="s">
        <v>3196</v>
      </c>
      <c r="R880" s="10">
        <v>26</v>
      </c>
      <c r="S880" s="10">
        <v>1419.64</v>
      </c>
      <c r="T880" s="10">
        <v>0</v>
      </c>
      <c r="U880" s="10">
        <f t="shared" si="343"/>
        <v>0</v>
      </c>
      <c r="V880" s="8"/>
      <c r="W880" s="11">
        <v>2015</v>
      </c>
      <c r="X880" s="4" t="s">
        <v>6565</v>
      </c>
    </row>
    <row r="881" spans="1:24" ht="76.5" customHeight="1" outlineLevel="1" x14ac:dyDescent="0.2">
      <c r="A881" s="1" t="s">
        <v>4793</v>
      </c>
      <c r="B881" s="24" t="s">
        <v>5277</v>
      </c>
      <c r="C881" s="18" t="s">
        <v>2183</v>
      </c>
      <c r="D881" s="18" t="s">
        <v>2184</v>
      </c>
      <c r="E881" s="18" t="s">
        <v>2185</v>
      </c>
      <c r="F881" s="25" t="s">
        <v>2186</v>
      </c>
      <c r="G881" s="1" t="s">
        <v>3190</v>
      </c>
      <c r="H881" s="17">
        <v>0</v>
      </c>
      <c r="I881" s="18">
        <v>710000000</v>
      </c>
      <c r="J881" s="4" t="s">
        <v>1931</v>
      </c>
      <c r="K881" s="4" t="s">
        <v>5706</v>
      </c>
      <c r="L881" s="7" t="s">
        <v>2140</v>
      </c>
      <c r="M881" s="8" t="s">
        <v>3195</v>
      </c>
      <c r="N881" s="8" t="s">
        <v>1890</v>
      </c>
      <c r="O881" s="8" t="s">
        <v>1935</v>
      </c>
      <c r="P881" s="8">
        <v>796</v>
      </c>
      <c r="Q881" s="8" t="s">
        <v>3196</v>
      </c>
      <c r="R881" s="10">
        <v>40</v>
      </c>
      <c r="S881" s="10">
        <v>767.86</v>
      </c>
      <c r="T881" s="10">
        <v>0</v>
      </c>
      <c r="U881" s="10">
        <f t="shared" si="343"/>
        <v>0</v>
      </c>
      <c r="V881" s="8"/>
      <c r="W881" s="11">
        <v>2015</v>
      </c>
      <c r="X881" s="1" t="s">
        <v>6562</v>
      </c>
    </row>
    <row r="882" spans="1:24" ht="76.5" customHeight="1" outlineLevel="1" x14ac:dyDescent="0.2">
      <c r="A882" s="1" t="s">
        <v>6578</v>
      </c>
      <c r="B882" s="24" t="s">
        <v>5277</v>
      </c>
      <c r="C882" s="18" t="s">
        <v>2183</v>
      </c>
      <c r="D882" s="18" t="s">
        <v>2184</v>
      </c>
      <c r="E882" s="18" t="s">
        <v>2185</v>
      </c>
      <c r="F882" s="25" t="s">
        <v>2186</v>
      </c>
      <c r="G882" s="1" t="s">
        <v>3190</v>
      </c>
      <c r="H882" s="17">
        <v>0</v>
      </c>
      <c r="I882" s="18">
        <v>710000000</v>
      </c>
      <c r="J882" s="4" t="s">
        <v>1931</v>
      </c>
      <c r="K882" s="4" t="s">
        <v>5706</v>
      </c>
      <c r="L882" s="7" t="s">
        <v>2140</v>
      </c>
      <c r="M882" s="8" t="s">
        <v>3195</v>
      </c>
      <c r="N882" s="8" t="s">
        <v>1890</v>
      </c>
      <c r="O882" s="8" t="s">
        <v>1935</v>
      </c>
      <c r="P882" s="8">
        <v>796</v>
      </c>
      <c r="Q882" s="8" t="s">
        <v>3196</v>
      </c>
      <c r="R882" s="10">
        <f>40-5</f>
        <v>35</v>
      </c>
      <c r="S882" s="10">
        <v>767.86</v>
      </c>
      <c r="T882" s="10">
        <v>0</v>
      </c>
      <c r="U882" s="10">
        <f t="shared" ref="U882" si="384">T882*1.12</f>
        <v>0</v>
      </c>
      <c r="V882" s="8"/>
      <c r="W882" s="11">
        <v>2015</v>
      </c>
      <c r="X882" s="20" t="s">
        <v>8195</v>
      </c>
    </row>
    <row r="883" spans="1:24" ht="76.5" customHeight="1" outlineLevel="1" x14ac:dyDescent="0.2">
      <c r="A883" s="1" t="s">
        <v>9069</v>
      </c>
      <c r="B883" s="24" t="s">
        <v>5277</v>
      </c>
      <c r="C883" s="18" t="s">
        <v>2183</v>
      </c>
      <c r="D883" s="18" t="s">
        <v>2184</v>
      </c>
      <c r="E883" s="18" t="s">
        <v>2185</v>
      </c>
      <c r="F883" s="25" t="s">
        <v>2186</v>
      </c>
      <c r="G883" s="1" t="s">
        <v>3190</v>
      </c>
      <c r="H883" s="17">
        <v>0</v>
      </c>
      <c r="I883" s="18">
        <v>710000000</v>
      </c>
      <c r="J883" s="4" t="s">
        <v>1931</v>
      </c>
      <c r="K883" s="4" t="s">
        <v>9076</v>
      </c>
      <c r="L883" s="7" t="s">
        <v>2140</v>
      </c>
      <c r="M883" s="8" t="s">
        <v>3195</v>
      </c>
      <c r="N883" s="8" t="s">
        <v>1890</v>
      </c>
      <c r="O883" s="8" t="s">
        <v>1935</v>
      </c>
      <c r="P883" s="8">
        <v>796</v>
      </c>
      <c r="Q883" s="8" t="s">
        <v>3196</v>
      </c>
      <c r="R883" s="10">
        <v>20</v>
      </c>
      <c r="S883" s="10">
        <v>1083.04</v>
      </c>
      <c r="T883" s="10">
        <f t="shared" ref="T883" si="385">S883*R883</f>
        <v>21660.799999999999</v>
      </c>
      <c r="U883" s="10">
        <f t="shared" ref="U883" si="386">T883*1.12</f>
        <v>24260.096000000001</v>
      </c>
      <c r="V883" s="8"/>
      <c r="W883" s="11">
        <v>2015</v>
      </c>
      <c r="X883" s="20"/>
    </row>
    <row r="884" spans="1:24" ht="76.5" customHeight="1" outlineLevel="1" x14ac:dyDescent="0.2">
      <c r="A884" s="1" t="s">
        <v>4794</v>
      </c>
      <c r="B884" s="24" t="s">
        <v>5277</v>
      </c>
      <c r="C884" s="18" t="s">
        <v>2187</v>
      </c>
      <c r="D884" s="18" t="s">
        <v>2184</v>
      </c>
      <c r="E884" s="18" t="s">
        <v>2188</v>
      </c>
      <c r="F884" s="25" t="s">
        <v>2189</v>
      </c>
      <c r="G884" s="1" t="s">
        <v>3190</v>
      </c>
      <c r="H884" s="17">
        <v>0</v>
      </c>
      <c r="I884" s="18">
        <v>710000000</v>
      </c>
      <c r="J884" s="4" t="s">
        <v>1931</v>
      </c>
      <c r="K884" s="4" t="s">
        <v>5706</v>
      </c>
      <c r="L884" s="7" t="s">
        <v>2140</v>
      </c>
      <c r="M884" s="8" t="s">
        <v>3195</v>
      </c>
      <c r="N884" s="8" t="s">
        <v>1890</v>
      </c>
      <c r="O884" s="8" t="s">
        <v>1935</v>
      </c>
      <c r="P884" s="8">
        <v>796</v>
      </c>
      <c r="Q884" s="8" t="s">
        <v>3196</v>
      </c>
      <c r="R884" s="10">
        <v>10</v>
      </c>
      <c r="S884" s="10">
        <v>4098.21</v>
      </c>
      <c r="T884" s="10">
        <v>0</v>
      </c>
      <c r="U884" s="10">
        <f t="shared" si="343"/>
        <v>0</v>
      </c>
      <c r="V884" s="8"/>
      <c r="W884" s="11">
        <v>2015</v>
      </c>
      <c r="X884" s="1" t="s">
        <v>6565</v>
      </c>
    </row>
    <row r="885" spans="1:24" ht="76.5" customHeight="1" outlineLevel="1" x14ac:dyDescent="0.2">
      <c r="A885" s="1" t="s">
        <v>4795</v>
      </c>
      <c r="B885" s="24" t="s">
        <v>5277</v>
      </c>
      <c r="C885" s="7" t="s">
        <v>2990</v>
      </c>
      <c r="D885" s="7" t="s">
        <v>2991</v>
      </c>
      <c r="E885" s="18" t="s">
        <v>5450</v>
      </c>
      <c r="F885" s="25"/>
      <c r="G885" s="1" t="s">
        <v>3190</v>
      </c>
      <c r="H885" s="17">
        <v>0</v>
      </c>
      <c r="I885" s="18">
        <v>710000000</v>
      </c>
      <c r="J885" s="4" t="s">
        <v>1931</v>
      </c>
      <c r="K885" s="4" t="s">
        <v>5706</v>
      </c>
      <c r="L885" s="7" t="s">
        <v>2140</v>
      </c>
      <c r="M885" s="8" t="s">
        <v>3195</v>
      </c>
      <c r="N885" s="8" t="s">
        <v>1890</v>
      </c>
      <c r="O885" s="8" t="s">
        <v>1935</v>
      </c>
      <c r="P885" s="8">
        <v>796</v>
      </c>
      <c r="Q885" s="8" t="s">
        <v>3196</v>
      </c>
      <c r="R885" s="10">
        <f>200+32</f>
        <v>232</v>
      </c>
      <c r="S885" s="10">
        <v>120</v>
      </c>
      <c r="T885" s="10">
        <v>0</v>
      </c>
      <c r="U885" s="10">
        <f t="shared" si="343"/>
        <v>0</v>
      </c>
      <c r="V885" s="8"/>
      <c r="W885" s="11">
        <v>2015</v>
      </c>
      <c r="X885" s="4" t="s">
        <v>6580</v>
      </c>
    </row>
    <row r="886" spans="1:24" ht="76.5" customHeight="1" outlineLevel="1" x14ac:dyDescent="0.2">
      <c r="A886" s="1" t="s">
        <v>6579</v>
      </c>
      <c r="B886" s="24" t="s">
        <v>5277</v>
      </c>
      <c r="C886" s="7" t="s">
        <v>2990</v>
      </c>
      <c r="D886" s="7" t="s">
        <v>2991</v>
      </c>
      <c r="E886" s="18" t="s">
        <v>5450</v>
      </c>
      <c r="F886" s="25"/>
      <c r="G886" s="1" t="s">
        <v>3190</v>
      </c>
      <c r="H886" s="17">
        <v>0</v>
      </c>
      <c r="I886" s="18">
        <v>710000000</v>
      </c>
      <c r="J886" s="4" t="s">
        <v>1931</v>
      </c>
      <c r="K886" s="4" t="s">
        <v>5706</v>
      </c>
      <c r="L886" s="7" t="s">
        <v>2140</v>
      </c>
      <c r="M886" s="8" t="s">
        <v>3195</v>
      </c>
      <c r="N886" s="8" t="s">
        <v>1890</v>
      </c>
      <c r="O886" s="8" t="s">
        <v>1935</v>
      </c>
      <c r="P886" s="8">
        <v>796</v>
      </c>
      <c r="Q886" s="8" t="s">
        <v>3196</v>
      </c>
      <c r="R886" s="10">
        <v>200</v>
      </c>
      <c r="S886" s="10">
        <v>71.430000000000007</v>
      </c>
      <c r="T886" s="10">
        <v>0</v>
      </c>
      <c r="U886" s="10">
        <f t="shared" ref="U886" si="387">T886*1.12</f>
        <v>0</v>
      </c>
      <c r="V886" s="8"/>
      <c r="W886" s="11">
        <v>2015</v>
      </c>
      <c r="X886" s="4" t="s">
        <v>8195</v>
      </c>
    </row>
    <row r="887" spans="1:24" ht="76.5" customHeight="1" outlineLevel="1" x14ac:dyDescent="0.2">
      <c r="A887" s="1" t="s">
        <v>9070</v>
      </c>
      <c r="B887" s="24" t="s">
        <v>5277</v>
      </c>
      <c r="C887" s="7" t="s">
        <v>2990</v>
      </c>
      <c r="D887" s="7" t="s">
        <v>2991</v>
      </c>
      <c r="E887" s="18" t="s">
        <v>5450</v>
      </c>
      <c r="F887" s="25"/>
      <c r="G887" s="1" t="s">
        <v>3190</v>
      </c>
      <c r="H887" s="17">
        <v>0</v>
      </c>
      <c r="I887" s="18">
        <v>710000000</v>
      </c>
      <c r="J887" s="4" t="s">
        <v>1931</v>
      </c>
      <c r="K887" s="4" t="s">
        <v>9076</v>
      </c>
      <c r="L887" s="7" t="s">
        <v>2140</v>
      </c>
      <c r="M887" s="8" t="s">
        <v>3195</v>
      </c>
      <c r="N887" s="8" t="s">
        <v>1890</v>
      </c>
      <c r="O887" s="8" t="s">
        <v>1935</v>
      </c>
      <c r="P887" s="8">
        <v>796</v>
      </c>
      <c r="Q887" s="8" t="s">
        <v>3196</v>
      </c>
      <c r="R887" s="10">
        <v>100</v>
      </c>
      <c r="S887" s="10">
        <v>116.07</v>
      </c>
      <c r="T887" s="10">
        <f t="shared" ref="T887" si="388">S887*R887</f>
        <v>11607</v>
      </c>
      <c r="U887" s="10">
        <f t="shared" ref="U887" si="389">T887*1.12</f>
        <v>12999.840000000002</v>
      </c>
      <c r="V887" s="8"/>
      <c r="W887" s="11">
        <v>2015</v>
      </c>
      <c r="X887" s="4"/>
    </row>
    <row r="888" spans="1:24" ht="76.5" customHeight="1" outlineLevel="1" x14ac:dyDescent="0.2">
      <c r="A888" s="1" t="s">
        <v>4796</v>
      </c>
      <c r="B888" s="24" t="s">
        <v>5277</v>
      </c>
      <c r="C888" s="18" t="s">
        <v>2171</v>
      </c>
      <c r="D888" s="18" t="s">
        <v>2991</v>
      </c>
      <c r="E888" s="18" t="s">
        <v>2172</v>
      </c>
      <c r="F888" s="25"/>
      <c r="G888" s="1" t="s">
        <v>3190</v>
      </c>
      <c r="H888" s="17">
        <v>0</v>
      </c>
      <c r="I888" s="18">
        <v>710000000</v>
      </c>
      <c r="J888" s="4" t="s">
        <v>1931</v>
      </c>
      <c r="K888" s="4" t="s">
        <v>5706</v>
      </c>
      <c r="L888" s="7" t="s">
        <v>2140</v>
      </c>
      <c r="M888" s="8" t="s">
        <v>3195</v>
      </c>
      <c r="N888" s="8" t="s">
        <v>1890</v>
      </c>
      <c r="O888" s="8" t="s">
        <v>1935</v>
      </c>
      <c r="P888" s="8">
        <v>796</v>
      </c>
      <c r="Q888" s="8" t="s">
        <v>3196</v>
      </c>
      <c r="R888" s="10">
        <v>200</v>
      </c>
      <c r="S888" s="10">
        <v>110</v>
      </c>
      <c r="T888" s="10">
        <v>0</v>
      </c>
      <c r="U888" s="10">
        <f t="shared" si="343"/>
        <v>0</v>
      </c>
      <c r="V888" s="8"/>
      <c r="W888" s="11">
        <v>2015</v>
      </c>
      <c r="X888" s="4" t="s">
        <v>6582</v>
      </c>
    </row>
    <row r="889" spans="1:24" ht="76.5" customHeight="1" outlineLevel="1" x14ac:dyDescent="0.2">
      <c r="A889" s="1" t="s">
        <v>6581</v>
      </c>
      <c r="B889" s="24" t="s">
        <v>5277</v>
      </c>
      <c r="C889" s="18" t="s">
        <v>2171</v>
      </c>
      <c r="D889" s="18" t="s">
        <v>2991</v>
      </c>
      <c r="E889" s="18" t="s">
        <v>2172</v>
      </c>
      <c r="F889" s="25"/>
      <c r="G889" s="1" t="s">
        <v>3190</v>
      </c>
      <c r="H889" s="17">
        <v>0</v>
      </c>
      <c r="I889" s="18">
        <v>710000000</v>
      </c>
      <c r="J889" s="4" t="s">
        <v>1931</v>
      </c>
      <c r="K889" s="4" t="s">
        <v>5706</v>
      </c>
      <c r="L889" s="7" t="s">
        <v>2140</v>
      </c>
      <c r="M889" s="8" t="s">
        <v>3195</v>
      </c>
      <c r="N889" s="8" t="s">
        <v>1890</v>
      </c>
      <c r="O889" s="8" t="s">
        <v>1935</v>
      </c>
      <c r="P889" s="8">
        <v>796</v>
      </c>
      <c r="Q889" s="8" t="s">
        <v>3196</v>
      </c>
      <c r="R889" s="10">
        <v>200</v>
      </c>
      <c r="S889" s="10">
        <v>71.430000000000007</v>
      </c>
      <c r="T889" s="10">
        <v>0</v>
      </c>
      <c r="U889" s="10">
        <f t="shared" ref="U889" si="390">T889*1.12</f>
        <v>0</v>
      </c>
      <c r="V889" s="8"/>
      <c r="W889" s="11">
        <v>2015</v>
      </c>
      <c r="X889" s="4" t="s">
        <v>8195</v>
      </c>
    </row>
    <row r="890" spans="1:24" ht="76.5" customHeight="1" outlineLevel="1" x14ac:dyDescent="0.2">
      <c r="A890" s="1" t="s">
        <v>9071</v>
      </c>
      <c r="B890" s="24" t="s">
        <v>5277</v>
      </c>
      <c r="C890" s="18" t="s">
        <v>2171</v>
      </c>
      <c r="D890" s="18" t="s">
        <v>2991</v>
      </c>
      <c r="E890" s="18" t="s">
        <v>2172</v>
      </c>
      <c r="F890" s="25"/>
      <c r="G890" s="1" t="s">
        <v>3190</v>
      </c>
      <c r="H890" s="17">
        <v>0</v>
      </c>
      <c r="I890" s="18">
        <v>710000000</v>
      </c>
      <c r="J890" s="4" t="s">
        <v>1931</v>
      </c>
      <c r="K890" s="4" t="s">
        <v>9076</v>
      </c>
      <c r="L890" s="7" t="s">
        <v>2140</v>
      </c>
      <c r="M890" s="8" t="s">
        <v>3195</v>
      </c>
      <c r="N890" s="8" t="s">
        <v>1890</v>
      </c>
      <c r="O890" s="8" t="s">
        <v>1935</v>
      </c>
      <c r="P890" s="8">
        <v>796</v>
      </c>
      <c r="Q890" s="8" t="s">
        <v>3196</v>
      </c>
      <c r="R890" s="10">
        <v>100</v>
      </c>
      <c r="S890" s="10">
        <v>116.07</v>
      </c>
      <c r="T890" s="10">
        <f t="shared" ref="T890" si="391">S890*R890</f>
        <v>11607</v>
      </c>
      <c r="U890" s="10">
        <f t="shared" ref="U890" si="392">T890*1.12</f>
        <v>12999.840000000002</v>
      </c>
      <c r="V890" s="8"/>
      <c r="W890" s="11">
        <v>2015</v>
      </c>
      <c r="X890" s="20"/>
    </row>
    <row r="891" spans="1:24" ht="76.5" customHeight="1" outlineLevel="1" x14ac:dyDescent="0.2">
      <c r="A891" s="1" t="s">
        <v>4797</v>
      </c>
      <c r="B891" s="24" t="s">
        <v>5277</v>
      </c>
      <c r="C891" s="7" t="s">
        <v>2992</v>
      </c>
      <c r="D891" s="7" t="s">
        <v>5451</v>
      </c>
      <c r="E891" s="18" t="s">
        <v>5452</v>
      </c>
      <c r="F891" s="25"/>
      <c r="G891" s="1" t="s">
        <v>3190</v>
      </c>
      <c r="H891" s="17">
        <v>0</v>
      </c>
      <c r="I891" s="18">
        <v>710000000</v>
      </c>
      <c r="J891" s="4" t="s">
        <v>1931</v>
      </c>
      <c r="K891" s="4" t="s">
        <v>5706</v>
      </c>
      <c r="L891" s="7" t="s">
        <v>2140</v>
      </c>
      <c r="M891" s="8" t="s">
        <v>3195</v>
      </c>
      <c r="N891" s="8" t="s">
        <v>1890</v>
      </c>
      <c r="O891" s="8" t="s">
        <v>1935</v>
      </c>
      <c r="P891" s="8">
        <v>796</v>
      </c>
      <c r="Q891" s="8" t="s">
        <v>3196</v>
      </c>
      <c r="R891" s="10">
        <v>10</v>
      </c>
      <c r="S891" s="10">
        <v>491.07</v>
      </c>
      <c r="T891" s="10">
        <v>0</v>
      </c>
      <c r="U891" s="10">
        <f t="shared" si="343"/>
        <v>0</v>
      </c>
      <c r="V891" s="8"/>
      <c r="W891" s="11">
        <v>2015</v>
      </c>
      <c r="X891" s="1" t="s">
        <v>6565</v>
      </c>
    </row>
    <row r="892" spans="1:24" s="13" customFormat="1" ht="102" customHeight="1" outlineLevel="1" x14ac:dyDescent="0.2">
      <c r="A892" s="1" t="s">
        <v>4798</v>
      </c>
      <c r="B892" s="38" t="s">
        <v>5277</v>
      </c>
      <c r="C892" s="2" t="s">
        <v>2990</v>
      </c>
      <c r="D892" s="2" t="s">
        <v>2991</v>
      </c>
      <c r="E892" s="6" t="s">
        <v>5450</v>
      </c>
      <c r="F892" s="39"/>
      <c r="G892" s="50" t="s">
        <v>3190</v>
      </c>
      <c r="H892" s="5">
        <v>0</v>
      </c>
      <c r="I892" s="6">
        <v>710000000</v>
      </c>
      <c r="J892" s="4" t="s">
        <v>1931</v>
      </c>
      <c r="K892" s="4" t="s">
        <v>5297</v>
      </c>
      <c r="L892" s="2" t="s">
        <v>6999</v>
      </c>
      <c r="M892" s="8" t="s">
        <v>3195</v>
      </c>
      <c r="N892" s="3" t="s">
        <v>1890</v>
      </c>
      <c r="O892" s="8" t="s">
        <v>1935</v>
      </c>
      <c r="P892" s="8">
        <v>796</v>
      </c>
      <c r="Q892" s="8" t="s">
        <v>3196</v>
      </c>
      <c r="R892" s="9">
        <f>2736+504</f>
        <v>3240</v>
      </c>
      <c r="S892" s="10">
        <v>120</v>
      </c>
      <c r="T892" s="10">
        <f t="shared" ref="T892:T965" si="393">S892*R892</f>
        <v>388800</v>
      </c>
      <c r="U892" s="10">
        <f t="shared" si="343"/>
        <v>435456.00000000006</v>
      </c>
      <c r="V892" s="7"/>
      <c r="W892" s="11">
        <v>2015</v>
      </c>
      <c r="X892" s="12"/>
    </row>
    <row r="893" spans="1:24" s="13" customFormat="1" ht="102" customHeight="1" outlineLevel="1" x14ac:dyDescent="0.2">
      <c r="A893" s="1" t="s">
        <v>4799</v>
      </c>
      <c r="B893" s="38" t="s">
        <v>5277</v>
      </c>
      <c r="C893" s="6" t="s">
        <v>1233</v>
      </c>
      <c r="D893" s="6" t="s">
        <v>2991</v>
      </c>
      <c r="E893" s="6" t="s">
        <v>1232</v>
      </c>
      <c r="F893" s="39"/>
      <c r="G893" s="50" t="s">
        <v>3190</v>
      </c>
      <c r="H893" s="5">
        <v>0</v>
      </c>
      <c r="I893" s="6">
        <v>710000000</v>
      </c>
      <c r="J893" s="4" t="s">
        <v>1931</v>
      </c>
      <c r="K893" s="4" t="s">
        <v>5297</v>
      </c>
      <c r="L893" s="2" t="s">
        <v>6999</v>
      </c>
      <c r="M893" s="8" t="s">
        <v>3195</v>
      </c>
      <c r="N893" s="3" t="s">
        <v>1890</v>
      </c>
      <c r="O893" s="8" t="s">
        <v>1935</v>
      </c>
      <c r="P893" s="8">
        <v>796</v>
      </c>
      <c r="Q893" s="8" t="s">
        <v>3196</v>
      </c>
      <c r="R893" s="9">
        <f>400+1500</f>
        <v>1900</v>
      </c>
      <c r="S893" s="9">
        <v>110</v>
      </c>
      <c r="T893" s="10">
        <f t="shared" si="393"/>
        <v>209000</v>
      </c>
      <c r="U893" s="10">
        <f t="shared" ref="U893:U975" si="394">T893*1.12</f>
        <v>234080.00000000003</v>
      </c>
      <c r="V893" s="7"/>
      <c r="W893" s="11">
        <v>2015</v>
      </c>
      <c r="X893" s="12"/>
    </row>
    <row r="894" spans="1:24" s="57" customFormat="1" ht="76.5" customHeight="1" outlineLevel="1" x14ac:dyDescent="0.2">
      <c r="A894" s="1" t="s">
        <v>4800</v>
      </c>
      <c r="B894" s="24" t="s">
        <v>5277</v>
      </c>
      <c r="C894" s="22" t="s">
        <v>2190</v>
      </c>
      <c r="D894" s="22" t="s">
        <v>2191</v>
      </c>
      <c r="E894" s="22" t="s">
        <v>2192</v>
      </c>
      <c r="F894" s="22" t="s">
        <v>2193</v>
      </c>
      <c r="G894" s="1" t="s">
        <v>3190</v>
      </c>
      <c r="H894" s="17">
        <v>0</v>
      </c>
      <c r="I894" s="18">
        <v>710000000</v>
      </c>
      <c r="J894" s="4" t="s">
        <v>1931</v>
      </c>
      <c r="K894" s="4" t="s">
        <v>5706</v>
      </c>
      <c r="L894" s="7" t="s">
        <v>1708</v>
      </c>
      <c r="M894" s="8" t="s">
        <v>3195</v>
      </c>
      <c r="N894" s="8" t="s">
        <v>1890</v>
      </c>
      <c r="O894" s="8" t="s">
        <v>1935</v>
      </c>
      <c r="P894" s="8">
        <v>796</v>
      </c>
      <c r="Q894" s="8" t="s">
        <v>3196</v>
      </c>
      <c r="R894" s="10">
        <v>2</v>
      </c>
      <c r="S894" s="10">
        <v>2729</v>
      </c>
      <c r="T894" s="10">
        <f t="shared" si="393"/>
        <v>5458</v>
      </c>
      <c r="U894" s="10">
        <f t="shared" si="394"/>
        <v>6112.9600000000009</v>
      </c>
      <c r="V894" s="8"/>
      <c r="W894" s="11">
        <v>2015</v>
      </c>
      <c r="X894" s="8"/>
    </row>
    <row r="895" spans="1:24" s="57" customFormat="1" ht="76.5" customHeight="1" outlineLevel="1" x14ac:dyDescent="0.2">
      <c r="A895" s="1" t="s">
        <v>4801</v>
      </c>
      <c r="B895" s="24" t="s">
        <v>5277</v>
      </c>
      <c r="C895" s="22" t="s">
        <v>2194</v>
      </c>
      <c r="D895" s="22" t="s">
        <v>2195</v>
      </c>
      <c r="E895" s="22" t="s">
        <v>2196</v>
      </c>
      <c r="F895" s="22" t="s">
        <v>2197</v>
      </c>
      <c r="G895" s="1" t="s">
        <v>3190</v>
      </c>
      <c r="H895" s="17">
        <v>0</v>
      </c>
      <c r="I895" s="18">
        <v>710000000</v>
      </c>
      <c r="J895" s="4" t="s">
        <v>1931</v>
      </c>
      <c r="K895" s="4" t="s">
        <v>5706</v>
      </c>
      <c r="L895" s="7" t="s">
        <v>1708</v>
      </c>
      <c r="M895" s="8" t="s">
        <v>3195</v>
      </c>
      <c r="N895" s="8" t="s">
        <v>1890</v>
      </c>
      <c r="O895" s="8" t="s">
        <v>1935</v>
      </c>
      <c r="P895" s="1">
        <v>704</v>
      </c>
      <c r="Q895" s="4" t="s">
        <v>5196</v>
      </c>
      <c r="R895" s="10">
        <v>2</v>
      </c>
      <c r="S895" s="10">
        <v>32271</v>
      </c>
      <c r="T895" s="10">
        <f t="shared" si="393"/>
        <v>64542</v>
      </c>
      <c r="U895" s="10">
        <f t="shared" si="394"/>
        <v>72287.040000000008</v>
      </c>
      <c r="V895" s="8"/>
      <c r="W895" s="11">
        <v>2015</v>
      </c>
      <c r="X895" s="8"/>
    </row>
    <row r="896" spans="1:24" s="57" customFormat="1" ht="102" customHeight="1" outlineLevel="1" x14ac:dyDescent="0.2">
      <c r="A896" s="1" t="s">
        <v>4802</v>
      </c>
      <c r="B896" s="24" t="s">
        <v>5277</v>
      </c>
      <c r="C896" s="22" t="s">
        <v>2198</v>
      </c>
      <c r="D896" s="22" t="s">
        <v>2199</v>
      </c>
      <c r="E896" s="22" t="s">
        <v>2200</v>
      </c>
      <c r="F896" s="2" t="s">
        <v>2201</v>
      </c>
      <c r="G896" s="1" t="s">
        <v>3190</v>
      </c>
      <c r="H896" s="17">
        <v>0</v>
      </c>
      <c r="I896" s="18">
        <v>710000000</v>
      </c>
      <c r="J896" s="4" t="s">
        <v>1931</v>
      </c>
      <c r="K896" s="4" t="s">
        <v>5706</v>
      </c>
      <c r="L896" s="7" t="s">
        <v>1708</v>
      </c>
      <c r="M896" s="8" t="s">
        <v>3195</v>
      </c>
      <c r="N896" s="8" t="s">
        <v>1890</v>
      </c>
      <c r="O896" s="8" t="s">
        <v>1935</v>
      </c>
      <c r="P896" s="8">
        <v>796</v>
      </c>
      <c r="Q896" s="8" t="s">
        <v>3196</v>
      </c>
      <c r="R896" s="10">
        <v>1</v>
      </c>
      <c r="S896" s="10">
        <v>49775</v>
      </c>
      <c r="T896" s="10">
        <f t="shared" si="393"/>
        <v>49775</v>
      </c>
      <c r="U896" s="10">
        <f t="shared" si="394"/>
        <v>55748.000000000007</v>
      </c>
      <c r="V896" s="8"/>
      <c r="W896" s="11">
        <v>2015</v>
      </c>
      <c r="X896" s="8"/>
    </row>
    <row r="897" spans="1:24" s="57" customFormat="1" ht="76.5" customHeight="1" outlineLevel="1" x14ac:dyDescent="0.2">
      <c r="A897" s="1" t="s">
        <v>4803</v>
      </c>
      <c r="B897" s="24" t="s">
        <v>5277</v>
      </c>
      <c r="C897" s="22" t="s">
        <v>2194</v>
      </c>
      <c r="D897" s="22" t="s">
        <v>2195</v>
      </c>
      <c r="E897" s="22" t="s">
        <v>2196</v>
      </c>
      <c r="F897" s="22" t="s">
        <v>2202</v>
      </c>
      <c r="G897" s="1" t="s">
        <v>3190</v>
      </c>
      <c r="H897" s="17">
        <v>0</v>
      </c>
      <c r="I897" s="18">
        <v>710000000</v>
      </c>
      <c r="J897" s="4" t="s">
        <v>1931</v>
      </c>
      <c r="K897" s="4" t="s">
        <v>5706</v>
      </c>
      <c r="L897" s="7" t="s">
        <v>1708</v>
      </c>
      <c r="M897" s="8" t="s">
        <v>3195</v>
      </c>
      <c r="N897" s="8" t="s">
        <v>1890</v>
      </c>
      <c r="O897" s="8" t="s">
        <v>1935</v>
      </c>
      <c r="P897" s="1">
        <v>704</v>
      </c>
      <c r="Q897" s="4" t="s">
        <v>5196</v>
      </c>
      <c r="R897" s="10">
        <v>1</v>
      </c>
      <c r="S897" s="10">
        <v>105716</v>
      </c>
      <c r="T897" s="10">
        <f t="shared" si="393"/>
        <v>105716</v>
      </c>
      <c r="U897" s="10">
        <f t="shared" si="394"/>
        <v>118401.92000000001</v>
      </c>
      <c r="V897" s="8"/>
      <c r="W897" s="11">
        <v>2015</v>
      </c>
      <c r="X897" s="8"/>
    </row>
    <row r="898" spans="1:24" s="57" customFormat="1" ht="102" customHeight="1" outlineLevel="1" x14ac:dyDescent="0.2">
      <c r="A898" s="1" t="s">
        <v>4804</v>
      </c>
      <c r="B898" s="24" t="s">
        <v>5277</v>
      </c>
      <c r="C898" s="22" t="s">
        <v>2194</v>
      </c>
      <c r="D898" s="22" t="s">
        <v>2195</v>
      </c>
      <c r="E898" s="22" t="s">
        <v>2196</v>
      </c>
      <c r="F898" s="22" t="s">
        <v>2203</v>
      </c>
      <c r="G898" s="1" t="s">
        <v>3190</v>
      </c>
      <c r="H898" s="17">
        <v>0</v>
      </c>
      <c r="I898" s="18">
        <v>710000000</v>
      </c>
      <c r="J898" s="4" t="s">
        <v>1931</v>
      </c>
      <c r="K898" s="4" t="s">
        <v>5706</v>
      </c>
      <c r="L898" s="7" t="s">
        <v>1708</v>
      </c>
      <c r="M898" s="8" t="s">
        <v>3195</v>
      </c>
      <c r="N898" s="8" t="s">
        <v>1890</v>
      </c>
      <c r="O898" s="8" t="s">
        <v>1935</v>
      </c>
      <c r="P898" s="1">
        <v>704</v>
      </c>
      <c r="Q898" s="4" t="s">
        <v>5196</v>
      </c>
      <c r="R898" s="10">
        <v>1</v>
      </c>
      <c r="S898" s="10">
        <v>15103</v>
      </c>
      <c r="T898" s="10">
        <f t="shared" si="393"/>
        <v>15103</v>
      </c>
      <c r="U898" s="10">
        <f t="shared" si="394"/>
        <v>16915.36</v>
      </c>
      <c r="V898" s="8"/>
      <c r="W898" s="11">
        <v>2015</v>
      </c>
      <c r="X898" s="8"/>
    </row>
    <row r="899" spans="1:24" s="57" customFormat="1" ht="76.5" customHeight="1" outlineLevel="1" x14ac:dyDescent="0.2">
      <c r="A899" s="1" t="s">
        <v>4805</v>
      </c>
      <c r="B899" s="24" t="s">
        <v>5277</v>
      </c>
      <c r="C899" s="4" t="s">
        <v>3005</v>
      </c>
      <c r="D899" s="4" t="s">
        <v>2204</v>
      </c>
      <c r="E899" s="4" t="s">
        <v>2205</v>
      </c>
      <c r="F899" s="22"/>
      <c r="G899" s="1" t="s">
        <v>3190</v>
      </c>
      <c r="H899" s="17">
        <v>0</v>
      </c>
      <c r="I899" s="18">
        <v>710000000</v>
      </c>
      <c r="J899" s="4" t="s">
        <v>1931</v>
      </c>
      <c r="K899" s="4" t="s">
        <v>5706</v>
      </c>
      <c r="L899" s="7" t="s">
        <v>1708</v>
      </c>
      <c r="M899" s="8" t="s">
        <v>3195</v>
      </c>
      <c r="N899" s="8" t="s">
        <v>1890</v>
      </c>
      <c r="O899" s="8" t="s">
        <v>1935</v>
      </c>
      <c r="P899" s="8">
        <v>796</v>
      </c>
      <c r="Q899" s="8" t="s">
        <v>3196</v>
      </c>
      <c r="R899" s="10">
        <v>1</v>
      </c>
      <c r="S899" s="10">
        <v>62028</v>
      </c>
      <c r="T899" s="10">
        <f t="shared" si="393"/>
        <v>62028</v>
      </c>
      <c r="U899" s="10">
        <f t="shared" si="394"/>
        <v>69471.360000000001</v>
      </c>
      <c r="V899" s="8"/>
      <c r="W899" s="11">
        <v>2015</v>
      </c>
      <c r="X899" s="8"/>
    </row>
    <row r="900" spans="1:24" s="57" customFormat="1" ht="76.5" customHeight="1" outlineLevel="1" x14ac:dyDescent="0.2">
      <c r="A900" s="1" t="s">
        <v>4806</v>
      </c>
      <c r="B900" s="24" t="s">
        <v>5277</v>
      </c>
      <c r="C900" s="22" t="s">
        <v>3417</v>
      </c>
      <c r="D900" s="22" t="s">
        <v>6052</v>
      </c>
      <c r="E900" s="22" t="s">
        <v>6053</v>
      </c>
      <c r="F900" s="22" t="s">
        <v>2206</v>
      </c>
      <c r="G900" s="1" t="s">
        <v>3190</v>
      </c>
      <c r="H900" s="17">
        <v>0</v>
      </c>
      <c r="I900" s="18">
        <v>710000000</v>
      </c>
      <c r="J900" s="4" t="s">
        <v>1931</v>
      </c>
      <c r="K900" s="4" t="s">
        <v>5706</v>
      </c>
      <c r="L900" s="7" t="s">
        <v>1708</v>
      </c>
      <c r="M900" s="8" t="s">
        <v>3195</v>
      </c>
      <c r="N900" s="8" t="s">
        <v>1890</v>
      </c>
      <c r="O900" s="8" t="s">
        <v>1935</v>
      </c>
      <c r="P900" s="8">
        <v>796</v>
      </c>
      <c r="Q900" s="8" t="s">
        <v>3196</v>
      </c>
      <c r="R900" s="10">
        <v>1</v>
      </c>
      <c r="S900" s="10">
        <v>5564</v>
      </c>
      <c r="T900" s="10">
        <f t="shared" si="393"/>
        <v>5564</v>
      </c>
      <c r="U900" s="10">
        <f t="shared" si="394"/>
        <v>6231.68</v>
      </c>
      <c r="V900" s="8"/>
      <c r="W900" s="11">
        <v>2015</v>
      </c>
      <c r="X900" s="8"/>
    </row>
    <row r="901" spans="1:24" s="57" customFormat="1" ht="76.5" customHeight="1" outlineLevel="1" x14ac:dyDescent="0.2">
      <c r="A901" s="1" t="s">
        <v>4807</v>
      </c>
      <c r="B901" s="24" t="s">
        <v>5277</v>
      </c>
      <c r="C901" s="22" t="s">
        <v>2194</v>
      </c>
      <c r="D901" s="22" t="s">
        <v>2195</v>
      </c>
      <c r="E901" s="22" t="s">
        <v>2196</v>
      </c>
      <c r="F901" s="22" t="s">
        <v>2207</v>
      </c>
      <c r="G901" s="1" t="s">
        <v>3190</v>
      </c>
      <c r="H901" s="17">
        <v>0</v>
      </c>
      <c r="I901" s="18">
        <v>710000000</v>
      </c>
      <c r="J901" s="4" t="s">
        <v>1931</v>
      </c>
      <c r="K901" s="4" t="s">
        <v>5706</v>
      </c>
      <c r="L901" s="7" t="s">
        <v>1708</v>
      </c>
      <c r="M901" s="8" t="s">
        <v>3195</v>
      </c>
      <c r="N901" s="8" t="s">
        <v>1890</v>
      </c>
      <c r="O901" s="8" t="s">
        <v>1935</v>
      </c>
      <c r="P901" s="1">
        <v>704</v>
      </c>
      <c r="Q901" s="4" t="s">
        <v>5196</v>
      </c>
      <c r="R901" s="10">
        <v>1</v>
      </c>
      <c r="S901" s="10">
        <v>18538</v>
      </c>
      <c r="T901" s="10">
        <f t="shared" si="393"/>
        <v>18538</v>
      </c>
      <c r="U901" s="10">
        <f t="shared" si="394"/>
        <v>20762.560000000001</v>
      </c>
      <c r="V901" s="8"/>
      <c r="W901" s="11">
        <v>2015</v>
      </c>
      <c r="X901" s="8"/>
    </row>
    <row r="902" spans="1:24" s="57" customFormat="1" ht="76.5" customHeight="1" outlineLevel="1" x14ac:dyDescent="0.2">
      <c r="A902" s="1" t="s">
        <v>4808</v>
      </c>
      <c r="B902" s="24" t="s">
        <v>5277</v>
      </c>
      <c r="C902" s="4" t="s">
        <v>2208</v>
      </c>
      <c r="D902" s="4" t="s">
        <v>2209</v>
      </c>
      <c r="E902" s="4" t="s">
        <v>2210</v>
      </c>
      <c r="F902" s="2" t="s">
        <v>2211</v>
      </c>
      <c r="G902" s="1" t="s">
        <v>3190</v>
      </c>
      <c r="H902" s="17">
        <v>0</v>
      </c>
      <c r="I902" s="18">
        <v>710000000</v>
      </c>
      <c r="J902" s="4" t="s">
        <v>1931</v>
      </c>
      <c r="K902" s="4" t="s">
        <v>5706</v>
      </c>
      <c r="L902" s="7" t="s">
        <v>1708</v>
      </c>
      <c r="M902" s="8" t="s">
        <v>3195</v>
      </c>
      <c r="N902" s="8" t="s">
        <v>1890</v>
      </c>
      <c r="O902" s="8" t="s">
        <v>1935</v>
      </c>
      <c r="P902" s="8">
        <v>796</v>
      </c>
      <c r="Q902" s="8" t="s">
        <v>3196</v>
      </c>
      <c r="R902" s="10">
        <v>5</v>
      </c>
      <c r="S902" s="10">
        <v>697</v>
      </c>
      <c r="T902" s="10">
        <f t="shared" si="393"/>
        <v>3485</v>
      </c>
      <c r="U902" s="10">
        <f t="shared" si="394"/>
        <v>3903.2000000000003</v>
      </c>
      <c r="V902" s="8"/>
      <c r="W902" s="11">
        <v>2015</v>
      </c>
      <c r="X902" s="8"/>
    </row>
    <row r="903" spans="1:24" s="57" customFormat="1" ht="76.5" customHeight="1" outlineLevel="1" x14ac:dyDescent="0.2">
      <c r="A903" s="1" t="s">
        <v>4809</v>
      </c>
      <c r="B903" s="24" t="s">
        <v>5277</v>
      </c>
      <c r="C903" s="4" t="s">
        <v>3729</v>
      </c>
      <c r="D903" s="4" t="s">
        <v>6164</v>
      </c>
      <c r="E903" s="4" t="s">
        <v>6165</v>
      </c>
      <c r="F903" s="4"/>
      <c r="G903" s="1" t="s">
        <v>3190</v>
      </c>
      <c r="H903" s="17">
        <v>0</v>
      </c>
      <c r="I903" s="18">
        <v>710000000</v>
      </c>
      <c r="J903" s="4" t="s">
        <v>1931</v>
      </c>
      <c r="K903" s="4" t="s">
        <v>5706</v>
      </c>
      <c r="L903" s="7" t="s">
        <v>1708</v>
      </c>
      <c r="M903" s="8" t="s">
        <v>3195</v>
      </c>
      <c r="N903" s="8" t="s">
        <v>1890</v>
      </c>
      <c r="O903" s="8" t="s">
        <v>1935</v>
      </c>
      <c r="P903" s="8">
        <v>796</v>
      </c>
      <c r="Q903" s="8" t="s">
        <v>3196</v>
      </c>
      <c r="R903" s="10">
        <v>10</v>
      </c>
      <c r="S903" s="10">
        <v>50</v>
      </c>
      <c r="T903" s="10">
        <f t="shared" si="393"/>
        <v>500</v>
      </c>
      <c r="U903" s="10">
        <f t="shared" si="394"/>
        <v>560</v>
      </c>
      <c r="V903" s="8"/>
      <c r="W903" s="11">
        <v>2015</v>
      </c>
      <c r="X903" s="8"/>
    </row>
    <row r="904" spans="1:24" s="57" customFormat="1" ht="76.5" customHeight="1" outlineLevel="1" x14ac:dyDescent="0.2">
      <c r="A904" s="1" t="s">
        <v>4810</v>
      </c>
      <c r="B904" s="24" t="s">
        <v>5277</v>
      </c>
      <c r="C904" s="4" t="s">
        <v>2212</v>
      </c>
      <c r="D904" s="4" t="s">
        <v>2213</v>
      </c>
      <c r="E904" s="4" t="s">
        <v>2214</v>
      </c>
      <c r="F904" s="4"/>
      <c r="G904" s="1" t="s">
        <v>3190</v>
      </c>
      <c r="H904" s="17">
        <v>0</v>
      </c>
      <c r="I904" s="18">
        <v>710000000</v>
      </c>
      <c r="J904" s="4" t="s">
        <v>1931</v>
      </c>
      <c r="K904" s="4" t="s">
        <v>5706</v>
      </c>
      <c r="L904" s="7" t="s">
        <v>1708</v>
      </c>
      <c r="M904" s="8" t="s">
        <v>3195</v>
      </c>
      <c r="N904" s="8" t="s">
        <v>1890</v>
      </c>
      <c r="O904" s="8" t="s">
        <v>1935</v>
      </c>
      <c r="P904" s="1" t="s">
        <v>3010</v>
      </c>
      <c r="Q904" s="4" t="s">
        <v>5142</v>
      </c>
      <c r="R904" s="10">
        <v>50</v>
      </c>
      <c r="S904" s="10">
        <v>148</v>
      </c>
      <c r="T904" s="10">
        <f t="shared" si="393"/>
        <v>7400</v>
      </c>
      <c r="U904" s="10">
        <f t="shared" si="394"/>
        <v>8288</v>
      </c>
      <c r="V904" s="8"/>
      <c r="W904" s="11">
        <v>2015</v>
      </c>
      <c r="X904" s="8"/>
    </row>
    <row r="905" spans="1:24" s="57" customFormat="1" ht="76.5" customHeight="1" outlineLevel="1" x14ac:dyDescent="0.2">
      <c r="A905" s="1" t="s">
        <v>4811</v>
      </c>
      <c r="B905" s="24" t="s">
        <v>5277</v>
      </c>
      <c r="C905" s="4" t="s">
        <v>2215</v>
      </c>
      <c r="D905" s="4" t="s">
        <v>2213</v>
      </c>
      <c r="E905" s="4" t="s">
        <v>2216</v>
      </c>
      <c r="F905" s="4"/>
      <c r="G905" s="1" t="s">
        <v>3190</v>
      </c>
      <c r="H905" s="17">
        <v>0</v>
      </c>
      <c r="I905" s="18">
        <v>710000000</v>
      </c>
      <c r="J905" s="4" t="s">
        <v>1931</v>
      </c>
      <c r="K905" s="4" t="s">
        <v>5706</v>
      </c>
      <c r="L905" s="7" t="s">
        <v>1708</v>
      </c>
      <c r="M905" s="8" t="s">
        <v>3195</v>
      </c>
      <c r="N905" s="8" t="s">
        <v>1890</v>
      </c>
      <c r="O905" s="8" t="s">
        <v>1935</v>
      </c>
      <c r="P905" s="1" t="s">
        <v>3010</v>
      </c>
      <c r="Q905" s="4" t="s">
        <v>5142</v>
      </c>
      <c r="R905" s="10">
        <v>100</v>
      </c>
      <c r="S905" s="10">
        <v>106</v>
      </c>
      <c r="T905" s="10">
        <f t="shared" si="393"/>
        <v>10600</v>
      </c>
      <c r="U905" s="10">
        <f t="shared" si="394"/>
        <v>11872.000000000002</v>
      </c>
      <c r="V905" s="8"/>
      <c r="W905" s="11">
        <v>2015</v>
      </c>
      <c r="X905" s="8"/>
    </row>
    <row r="906" spans="1:24" s="57" customFormat="1" ht="76.5" customHeight="1" outlineLevel="1" x14ac:dyDescent="0.2">
      <c r="A906" s="1" t="s">
        <v>4812</v>
      </c>
      <c r="B906" s="24" t="s">
        <v>5277</v>
      </c>
      <c r="C906" s="18" t="s">
        <v>2217</v>
      </c>
      <c r="D906" s="18" t="s">
        <v>2996</v>
      </c>
      <c r="E906" s="18" t="s">
        <v>2218</v>
      </c>
      <c r="F906" s="4"/>
      <c r="G906" s="1" t="s">
        <v>3190</v>
      </c>
      <c r="H906" s="17">
        <v>0</v>
      </c>
      <c r="I906" s="18">
        <v>710000000</v>
      </c>
      <c r="J906" s="4" t="s">
        <v>1931</v>
      </c>
      <c r="K906" s="4" t="s">
        <v>5706</v>
      </c>
      <c r="L906" s="7" t="s">
        <v>1708</v>
      </c>
      <c r="M906" s="8" t="s">
        <v>3195</v>
      </c>
      <c r="N906" s="8" t="s">
        <v>1890</v>
      </c>
      <c r="O906" s="8" t="s">
        <v>1935</v>
      </c>
      <c r="P906" s="1" t="s">
        <v>3443</v>
      </c>
      <c r="Q906" s="4" t="s">
        <v>5676</v>
      </c>
      <c r="R906" s="10">
        <v>1000</v>
      </c>
      <c r="S906" s="10">
        <v>23</v>
      </c>
      <c r="T906" s="10">
        <f t="shared" si="393"/>
        <v>23000</v>
      </c>
      <c r="U906" s="10">
        <f t="shared" si="394"/>
        <v>25760.000000000004</v>
      </c>
      <c r="V906" s="8"/>
      <c r="W906" s="11">
        <v>2015</v>
      </c>
      <c r="X906" s="8"/>
    </row>
    <row r="907" spans="1:24" s="57" customFormat="1" ht="76.5" customHeight="1" outlineLevel="1" x14ac:dyDescent="0.2">
      <c r="A907" s="1" t="s">
        <v>4813</v>
      </c>
      <c r="B907" s="24" t="s">
        <v>5277</v>
      </c>
      <c r="C907" s="4" t="s">
        <v>2219</v>
      </c>
      <c r="D907" s="4" t="s">
        <v>6157</v>
      </c>
      <c r="E907" s="4" t="s">
        <v>2220</v>
      </c>
      <c r="F907" s="4"/>
      <c r="G907" s="1" t="s">
        <v>3190</v>
      </c>
      <c r="H907" s="17">
        <v>0</v>
      </c>
      <c r="I907" s="18">
        <v>710000000</v>
      </c>
      <c r="J907" s="4" t="s">
        <v>1931</v>
      </c>
      <c r="K907" s="4" t="s">
        <v>5706</v>
      </c>
      <c r="L907" s="7" t="s">
        <v>1708</v>
      </c>
      <c r="M907" s="8" t="s">
        <v>3195</v>
      </c>
      <c r="N907" s="8" t="s">
        <v>1890</v>
      </c>
      <c r="O907" s="8" t="s">
        <v>1935</v>
      </c>
      <c r="P907" s="1" t="s">
        <v>3443</v>
      </c>
      <c r="Q907" s="4" t="s">
        <v>5676</v>
      </c>
      <c r="R907" s="10">
        <v>900</v>
      </c>
      <c r="S907" s="10">
        <v>14</v>
      </c>
      <c r="T907" s="10">
        <f t="shared" si="393"/>
        <v>12600</v>
      </c>
      <c r="U907" s="10">
        <f t="shared" si="394"/>
        <v>14112.000000000002</v>
      </c>
      <c r="V907" s="8"/>
      <c r="W907" s="11">
        <v>2015</v>
      </c>
      <c r="X907" s="8"/>
    </row>
    <row r="908" spans="1:24" s="57" customFormat="1" ht="76.5" customHeight="1" outlineLevel="1" x14ac:dyDescent="0.2">
      <c r="A908" s="1" t="s">
        <v>4814</v>
      </c>
      <c r="B908" s="24" t="s">
        <v>5277</v>
      </c>
      <c r="C908" s="4" t="s">
        <v>2221</v>
      </c>
      <c r="D908" s="4" t="s">
        <v>5462</v>
      </c>
      <c r="E908" s="4" t="s">
        <v>2222</v>
      </c>
      <c r="F908" s="4"/>
      <c r="G908" s="1" t="s">
        <v>3190</v>
      </c>
      <c r="H908" s="17">
        <v>0</v>
      </c>
      <c r="I908" s="18">
        <v>710000000</v>
      </c>
      <c r="J908" s="4" t="s">
        <v>1931</v>
      </c>
      <c r="K908" s="4" t="s">
        <v>5706</v>
      </c>
      <c r="L908" s="7" t="s">
        <v>1708</v>
      </c>
      <c r="M908" s="8" t="s">
        <v>3195</v>
      </c>
      <c r="N908" s="8" t="s">
        <v>1890</v>
      </c>
      <c r="O908" s="8" t="s">
        <v>1935</v>
      </c>
      <c r="P908" s="8">
        <v>796</v>
      </c>
      <c r="Q908" s="8" t="s">
        <v>3196</v>
      </c>
      <c r="R908" s="10">
        <v>1000</v>
      </c>
      <c r="S908" s="10">
        <v>43.87</v>
      </c>
      <c r="T908" s="10">
        <f t="shared" si="393"/>
        <v>43870</v>
      </c>
      <c r="U908" s="10">
        <f t="shared" si="394"/>
        <v>49134.400000000001</v>
      </c>
      <c r="V908" s="8"/>
      <c r="W908" s="11">
        <v>2015</v>
      </c>
      <c r="X908" s="8"/>
    </row>
    <row r="909" spans="1:24" s="57" customFormat="1" ht="76.5" customHeight="1" outlineLevel="1" x14ac:dyDescent="0.2">
      <c r="A909" s="1" t="s">
        <v>4815</v>
      </c>
      <c r="B909" s="24" t="s">
        <v>5277</v>
      </c>
      <c r="C909" s="4" t="s">
        <v>2223</v>
      </c>
      <c r="D909" s="4" t="s">
        <v>2224</v>
      </c>
      <c r="E909" s="4" t="s">
        <v>2225</v>
      </c>
      <c r="F909" s="4" t="s">
        <v>2226</v>
      </c>
      <c r="G909" s="1" t="s">
        <v>3190</v>
      </c>
      <c r="H909" s="17">
        <v>0</v>
      </c>
      <c r="I909" s="18">
        <v>710000000</v>
      </c>
      <c r="J909" s="4" t="s">
        <v>1931</v>
      </c>
      <c r="K909" s="4" t="s">
        <v>5706</v>
      </c>
      <c r="L909" s="7" t="s">
        <v>1708</v>
      </c>
      <c r="M909" s="8" t="s">
        <v>3195</v>
      </c>
      <c r="N909" s="8" t="s">
        <v>1890</v>
      </c>
      <c r="O909" s="8" t="s">
        <v>1935</v>
      </c>
      <c r="P909" s="8">
        <v>796</v>
      </c>
      <c r="Q909" s="8" t="s">
        <v>3196</v>
      </c>
      <c r="R909" s="10">
        <v>1</v>
      </c>
      <c r="S909" s="10">
        <v>20458</v>
      </c>
      <c r="T909" s="10">
        <f t="shared" si="393"/>
        <v>20458</v>
      </c>
      <c r="U909" s="10">
        <f t="shared" si="394"/>
        <v>22912.960000000003</v>
      </c>
      <c r="V909" s="8"/>
      <c r="W909" s="11">
        <v>2015</v>
      </c>
      <c r="X909" s="8"/>
    </row>
    <row r="910" spans="1:24" s="57" customFormat="1" ht="76.5" customHeight="1" outlineLevel="1" x14ac:dyDescent="0.2">
      <c r="A910" s="1" t="s">
        <v>4816</v>
      </c>
      <c r="B910" s="24" t="s">
        <v>5277</v>
      </c>
      <c r="C910" s="4" t="s">
        <v>2227</v>
      </c>
      <c r="D910" s="4" t="s">
        <v>6133</v>
      </c>
      <c r="E910" s="4" t="s">
        <v>2228</v>
      </c>
      <c r="F910" s="4"/>
      <c r="G910" s="1" t="s">
        <v>3190</v>
      </c>
      <c r="H910" s="17">
        <v>0</v>
      </c>
      <c r="I910" s="18">
        <v>710000000</v>
      </c>
      <c r="J910" s="4" t="s">
        <v>1931</v>
      </c>
      <c r="K910" s="4" t="s">
        <v>5706</v>
      </c>
      <c r="L910" s="7" t="s">
        <v>1708</v>
      </c>
      <c r="M910" s="8" t="s">
        <v>3195</v>
      </c>
      <c r="N910" s="8" t="s">
        <v>1890</v>
      </c>
      <c r="O910" s="8" t="s">
        <v>1935</v>
      </c>
      <c r="P910" s="8">
        <v>796</v>
      </c>
      <c r="Q910" s="8" t="s">
        <v>3196</v>
      </c>
      <c r="R910" s="10">
        <v>100</v>
      </c>
      <c r="S910" s="10">
        <v>461</v>
      </c>
      <c r="T910" s="10">
        <f t="shared" si="393"/>
        <v>46100</v>
      </c>
      <c r="U910" s="10">
        <f t="shared" si="394"/>
        <v>51632.000000000007</v>
      </c>
      <c r="V910" s="8"/>
      <c r="W910" s="11">
        <v>2015</v>
      </c>
      <c r="X910" s="8"/>
    </row>
    <row r="911" spans="1:24" ht="76.5" customHeight="1" outlineLevel="1" x14ac:dyDescent="0.2">
      <c r="A911" s="1" t="s">
        <v>4817</v>
      </c>
      <c r="B911" s="24" t="s">
        <v>5277</v>
      </c>
      <c r="C911" s="7" t="s">
        <v>2997</v>
      </c>
      <c r="D911" s="7" t="s">
        <v>5457</v>
      </c>
      <c r="E911" s="18" t="s">
        <v>5458</v>
      </c>
      <c r="F911" s="25"/>
      <c r="G911" s="1" t="s">
        <v>3190</v>
      </c>
      <c r="H911" s="17">
        <v>0</v>
      </c>
      <c r="I911" s="18">
        <v>710000000</v>
      </c>
      <c r="J911" s="4" t="s">
        <v>1931</v>
      </c>
      <c r="K911" s="4" t="s">
        <v>5706</v>
      </c>
      <c r="L911" s="7" t="s">
        <v>1708</v>
      </c>
      <c r="M911" s="8" t="s">
        <v>3195</v>
      </c>
      <c r="N911" s="8" t="s">
        <v>1890</v>
      </c>
      <c r="O911" s="8" t="s">
        <v>1935</v>
      </c>
      <c r="P911" s="8">
        <v>796</v>
      </c>
      <c r="Q911" s="8" t="s">
        <v>3196</v>
      </c>
      <c r="R911" s="10">
        <v>300</v>
      </c>
      <c r="S911" s="10">
        <v>13.39</v>
      </c>
      <c r="T911" s="10">
        <f t="shared" si="393"/>
        <v>4017</v>
      </c>
      <c r="U911" s="10">
        <f t="shared" si="394"/>
        <v>4499.0400000000009</v>
      </c>
      <c r="V911" s="8"/>
      <c r="W911" s="11">
        <v>2015</v>
      </c>
      <c r="X911" s="4"/>
    </row>
    <row r="912" spans="1:24" ht="76.5" customHeight="1" outlineLevel="1" x14ac:dyDescent="0.2">
      <c r="A912" s="1" t="s">
        <v>4818</v>
      </c>
      <c r="B912" s="24" t="s">
        <v>5277</v>
      </c>
      <c r="C912" s="7" t="s">
        <v>1812</v>
      </c>
      <c r="D912" s="7" t="s">
        <v>5457</v>
      </c>
      <c r="E912" s="18" t="s">
        <v>5459</v>
      </c>
      <c r="F912" s="25"/>
      <c r="G912" s="1" t="s">
        <v>3190</v>
      </c>
      <c r="H912" s="17">
        <v>0</v>
      </c>
      <c r="I912" s="18">
        <v>710000000</v>
      </c>
      <c r="J912" s="4" t="s">
        <v>1931</v>
      </c>
      <c r="K912" s="4" t="s">
        <v>5706</v>
      </c>
      <c r="L912" s="7" t="s">
        <v>1708</v>
      </c>
      <c r="M912" s="8" t="s">
        <v>3195</v>
      </c>
      <c r="N912" s="8" t="s">
        <v>1890</v>
      </c>
      <c r="O912" s="8" t="s">
        <v>1935</v>
      </c>
      <c r="P912" s="8">
        <v>796</v>
      </c>
      <c r="Q912" s="8" t="s">
        <v>3196</v>
      </c>
      <c r="R912" s="10">
        <v>1000</v>
      </c>
      <c r="S912" s="10">
        <v>13.39</v>
      </c>
      <c r="T912" s="10">
        <f t="shared" si="393"/>
        <v>13390</v>
      </c>
      <c r="U912" s="10">
        <f t="shared" si="394"/>
        <v>14996.800000000001</v>
      </c>
      <c r="V912" s="8"/>
      <c r="W912" s="11">
        <v>2015</v>
      </c>
      <c r="X912" s="4"/>
    </row>
    <row r="913" spans="1:24" ht="76.5" customHeight="1" outlineLevel="1" x14ac:dyDescent="0.2">
      <c r="A913" s="1" t="s">
        <v>4819</v>
      </c>
      <c r="B913" s="24" t="s">
        <v>5277</v>
      </c>
      <c r="C913" s="7" t="s">
        <v>2229</v>
      </c>
      <c r="D913" s="7" t="s">
        <v>6022</v>
      </c>
      <c r="E913" s="7" t="s">
        <v>2230</v>
      </c>
      <c r="F913" s="25" t="s">
        <v>2231</v>
      </c>
      <c r="G913" s="1" t="s">
        <v>3190</v>
      </c>
      <c r="H913" s="17">
        <v>0</v>
      </c>
      <c r="I913" s="18">
        <v>710000000</v>
      </c>
      <c r="J913" s="4" t="s">
        <v>1931</v>
      </c>
      <c r="K913" s="4" t="s">
        <v>5706</v>
      </c>
      <c r="L913" s="7" t="s">
        <v>1708</v>
      </c>
      <c r="M913" s="8" t="s">
        <v>3195</v>
      </c>
      <c r="N913" s="8" t="s">
        <v>1890</v>
      </c>
      <c r="O913" s="8" t="s">
        <v>1935</v>
      </c>
      <c r="P913" s="1">
        <v>778</v>
      </c>
      <c r="Q913" s="4" t="s">
        <v>3327</v>
      </c>
      <c r="R913" s="10">
        <v>5</v>
      </c>
      <c r="S913" s="10">
        <v>1500</v>
      </c>
      <c r="T913" s="10">
        <f t="shared" si="393"/>
        <v>7500</v>
      </c>
      <c r="U913" s="10">
        <f t="shared" si="394"/>
        <v>8400</v>
      </c>
      <c r="V913" s="8"/>
      <c r="W913" s="11">
        <v>2015</v>
      </c>
      <c r="X913" s="4"/>
    </row>
    <row r="914" spans="1:24" ht="76.5" customHeight="1" outlineLevel="1" x14ac:dyDescent="0.2">
      <c r="A914" s="1" t="s">
        <v>4820</v>
      </c>
      <c r="B914" s="24" t="s">
        <v>5277</v>
      </c>
      <c r="C914" s="7" t="s">
        <v>2232</v>
      </c>
      <c r="D914" s="7" t="s">
        <v>3004</v>
      </c>
      <c r="E914" s="7" t="s">
        <v>2233</v>
      </c>
      <c r="F914" s="25"/>
      <c r="G914" s="1" t="s">
        <v>3190</v>
      </c>
      <c r="H914" s="17">
        <v>0</v>
      </c>
      <c r="I914" s="18">
        <v>710000000</v>
      </c>
      <c r="J914" s="4" t="s">
        <v>1931</v>
      </c>
      <c r="K914" s="4" t="s">
        <v>5706</v>
      </c>
      <c r="L914" s="7" t="s">
        <v>1708</v>
      </c>
      <c r="M914" s="8" t="s">
        <v>3195</v>
      </c>
      <c r="N914" s="8" t="s">
        <v>1890</v>
      </c>
      <c r="O914" s="8" t="s">
        <v>1935</v>
      </c>
      <c r="P914" s="8">
        <v>796</v>
      </c>
      <c r="Q914" s="8" t="s">
        <v>3196</v>
      </c>
      <c r="R914" s="10">
        <v>20</v>
      </c>
      <c r="S914" s="10">
        <v>385</v>
      </c>
      <c r="T914" s="10">
        <f t="shared" si="393"/>
        <v>7700</v>
      </c>
      <c r="U914" s="10">
        <f t="shared" si="394"/>
        <v>8624</v>
      </c>
      <c r="V914" s="8"/>
      <c r="W914" s="11">
        <v>2015</v>
      </c>
      <c r="X914" s="4"/>
    </row>
    <row r="915" spans="1:24" ht="76.5" customHeight="1" outlineLevel="1" x14ac:dyDescent="0.2">
      <c r="A915" s="1" t="s">
        <v>4821</v>
      </c>
      <c r="B915" s="24" t="s">
        <v>5277</v>
      </c>
      <c r="C915" s="7" t="s">
        <v>2234</v>
      </c>
      <c r="D915" s="7" t="s">
        <v>2235</v>
      </c>
      <c r="E915" s="7" t="s">
        <v>2236</v>
      </c>
      <c r="F915" s="25"/>
      <c r="G915" s="1" t="s">
        <v>3190</v>
      </c>
      <c r="H915" s="17">
        <v>0</v>
      </c>
      <c r="I915" s="18">
        <v>710000000</v>
      </c>
      <c r="J915" s="4" t="s">
        <v>1931</v>
      </c>
      <c r="K915" s="4" t="s">
        <v>5706</v>
      </c>
      <c r="L915" s="7" t="s">
        <v>1708</v>
      </c>
      <c r="M915" s="8" t="s">
        <v>3195</v>
      </c>
      <c r="N915" s="8" t="s">
        <v>1890</v>
      </c>
      <c r="O915" s="8" t="s">
        <v>1935</v>
      </c>
      <c r="P915" s="8">
        <v>796</v>
      </c>
      <c r="Q915" s="8" t="s">
        <v>3196</v>
      </c>
      <c r="R915" s="10">
        <v>2</v>
      </c>
      <c r="S915" s="10">
        <v>17900</v>
      </c>
      <c r="T915" s="10">
        <f t="shared" si="393"/>
        <v>35800</v>
      </c>
      <c r="U915" s="10">
        <f t="shared" si="394"/>
        <v>40096.000000000007</v>
      </c>
      <c r="V915" s="8"/>
      <c r="W915" s="11">
        <v>2015</v>
      </c>
      <c r="X915" s="4"/>
    </row>
    <row r="916" spans="1:24" ht="76.5" customHeight="1" outlineLevel="1" x14ac:dyDescent="0.2">
      <c r="A916" s="1" t="s">
        <v>4822</v>
      </c>
      <c r="B916" s="24" t="s">
        <v>5277</v>
      </c>
      <c r="C916" s="18" t="s">
        <v>2179</v>
      </c>
      <c r="D916" s="18" t="s">
        <v>2180</v>
      </c>
      <c r="E916" s="18" t="s">
        <v>2181</v>
      </c>
      <c r="F916" s="25" t="s">
        <v>2182</v>
      </c>
      <c r="G916" s="1" t="s">
        <v>3190</v>
      </c>
      <c r="H916" s="17">
        <v>0</v>
      </c>
      <c r="I916" s="18">
        <v>710000000</v>
      </c>
      <c r="J916" s="4" t="s">
        <v>1931</v>
      </c>
      <c r="K916" s="4" t="s">
        <v>5706</v>
      </c>
      <c r="L916" s="7" t="s">
        <v>1708</v>
      </c>
      <c r="M916" s="8" t="s">
        <v>3195</v>
      </c>
      <c r="N916" s="8" t="s">
        <v>1890</v>
      </c>
      <c r="O916" s="8" t="s">
        <v>1935</v>
      </c>
      <c r="P916" s="8">
        <v>796</v>
      </c>
      <c r="Q916" s="8" t="s">
        <v>3196</v>
      </c>
      <c r="R916" s="10">
        <v>10</v>
      </c>
      <c r="S916" s="10">
        <v>767.86</v>
      </c>
      <c r="T916" s="10">
        <f t="shared" si="393"/>
        <v>7678.6</v>
      </c>
      <c r="U916" s="10">
        <f t="shared" si="394"/>
        <v>8600.0320000000011</v>
      </c>
      <c r="V916" s="8"/>
      <c r="W916" s="11">
        <v>2015</v>
      </c>
      <c r="X916" s="4"/>
    </row>
    <row r="917" spans="1:24" ht="76.5" customHeight="1" outlineLevel="1" x14ac:dyDescent="0.2">
      <c r="A917" s="1" t="s">
        <v>4823</v>
      </c>
      <c r="B917" s="24" t="s">
        <v>5277</v>
      </c>
      <c r="C917" s="18" t="s">
        <v>2183</v>
      </c>
      <c r="D917" s="18" t="s">
        <v>2184</v>
      </c>
      <c r="E917" s="18" t="s">
        <v>2185</v>
      </c>
      <c r="F917" s="25" t="s">
        <v>2186</v>
      </c>
      <c r="G917" s="1" t="s">
        <v>3190</v>
      </c>
      <c r="H917" s="17">
        <v>0</v>
      </c>
      <c r="I917" s="18">
        <v>710000000</v>
      </c>
      <c r="J917" s="4" t="s">
        <v>1931</v>
      </c>
      <c r="K917" s="4" t="s">
        <v>5706</v>
      </c>
      <c r="L917" s="7" t="s">
        <v>1708</v>
      </c>
      <c r="M917" s="8" t="s">
        <v>3195</v>
      </c>
      <c r="N917" s="8" t="s">
        <v>1890</v>
      </c>
      <c r="O917" s="8" t="s">
        <v>1935</v>
      </c>
      <c r="P917" s="8">
        <v>796</v>
      </c>
      <c r="Q917" s="8" t="s">
        <v>3196</v>
      </c>
      <c r="R917" s="10">
        <v>10</v>
      </c>
      <c r="S917" s="10">
        <v>1419.64</v>
      </c>
      <c r="T917" s="10">
        <f t="shared" si="393"/>
        <v>14196.400000000001</v>
      </c>
      <c r="U917" s="10">
        <f t="shared" si="394"/>
        <v>15899.968000000003</v>
      </c>
      <c r="V917" s="8"/>
      <c r="W917" s="11">
        <v>2015</v>
      </c>
      <c r="X917" s="20"/>
    </row>
    <row r="918" spans="1:24" ht="151.5" customHeight="1" outlineLevel="1" x14ac:dyDescent="0.2">
      <c r="A918" s="1" t="s">
        <v>4824</v>
      </c>
      <c r="B918" s="24" t="s">
        <v>5277</v>
      </c>
      <c r="C918" s="25" t="s">
        <v>6985</v>
      </c>
      <c r="D918" s="25" t="s">
        <v>6986</v>
      </c>
      <c r="E918" s="25" t="s">
        <v>6987</v>
      </c>
      <c r="F918" s="25" t="s">
        <v>6597</v>
      </c>
      <c r="G918" s="1" t="s">
        <v>1888</v>
      </c>
      <c r="H918" s="17">
        <v>0.5</v>
      </c>
      <c r="I918" s="18">
        <v>710000000</v>
      </c>
      <c r="J918" s="4" t="s">
        <v>1931</v>
      </c>
      <c r="K918" s="4" t="s">
        <v>5297</v>
      </c>
      <c r="L918" s="7" t="s">
        <v>1940</v>
      </c>
      <c r="M918" s="8" t="s">
        <v>3195</v>
      </c>
      <c r="N918" s="8" t="s">
        <v>1890</v>
      </c>
      <c r="O918" s="8" t="s">
        <v>1935</v>
      </c>
      <c r="P918" s="8">
        <v>796</v>
      </c>
      <c r="Q918" s="8" t="s">
        <v>3196</v>
      </c>
      <c r="R918" s="10">
        <v>15</v>
      </c>
      <c r="S918" s="10">
        <v>20349.11</v>
      </c>
      <c r="T918" s="10">
        <f t="shared" si="393"/>
        <v>305236.65000000002</v>
      </c>
      <c r="U918" s="10">
        <f t="shared" si="394"/>
        <v>341865.04800000007</v>
      </c>
      <c r="V918" s="8"/>
      <c r="W918" s="11">
        <v>2015</v>
      </c>
      <c r="X918" s="1"/>
    </row>
    <row r="919" spans="1:24" ht="102" customHeight="1" outlineLevel="1" x14ac:dyDescent="0.2">
      <c r="A919" s="1" t="s">
        <v>4825</v>
      </c>
      <c r="B919" s="24" t="s">
        <v>5277</v>
      </c>
      <c r="C919" s="7" t="s">
        <v>3120</v>
      </c>
      <c r="D919" s="7" t="s">
        <v>5577</v>
      </c>
      <c r="E919" s="18" t="s">
        <v>5577</v>
      </c>
      <c r="F919" s="25" t="s">
        <v>2238</v>
      </c>
      <c r="G919" s="1" t="s">
        <v>1888</v>
      </c>
      <c r="H919" s="17">
        <v>0.5</v>
      </c>
      <c r="I919" s="18">
        <v>710000000</v>
      </c>
      <c r="J919" s="4" t="s">
        <v>1931</v>
      </c>
      <c r="K919" s="4" t="s">
        <v>5297</v>
      </c>
      <c r="L919" s="7" t="s">
        <v>1940</v>
      </c>
      <c r="M919" s="8" t="s">
        <v>3195</v>
      </c>
      <c r="N919" s="8" t="s">
        <v>1890</v>
      </c>
      <c r="O919" s="8" t="s">
        <v>1935</v>
      </c>
      <c r="P919" s="8">
        <v>796</v>
      </c>
      <c r="Q919" s="8" t="s">
        <v>3196</v>
      </c>
      <c r="R919" s="10">
        <f>120+50</f>
        <v>170</v>
      </c>
      <c r="S919" s="10">
        <v>3152.68</v>
      </c>
      <c r="T919" s="10">
        <f t="shared" si="393"/>
        <v>535955.6</v>
      </c>
      <c r="U919" s="10">
        <f t="shared" si="394"/>
        <v>600270.272</v>
      </c>
      <c r="V919" s="8"/>
      <c r="W919" s="11">
        <v>2015</v>
      </c>
      <c r="X919" s="1"/>
    </row>
    <row r="920" spans="1:24" ht="76.5" customHeight="1" outlineLevel="1" x14ac:dyDescent="0.2">
      <c r="A920" s="1" t="s">
        <v>4826</v>
      </c>
      <c r="B920" s="24" t="s">
        <v>5277</v>
      </c>
      <c r="C920" s="7" t="s">
        <v>3105</v>
      </c>
      <c r="D920" s="7" t="s">
        <v>5582</v>
      </c>
      <c r="E920" s="18" t="s">
        <v>5583</v>
      </c>
      <c r="F920" s="25" t="s">
        <v>5584</v>
      </c>
      <c r="G920" s="1" t="s">
        <v>1888</v>
      </c>
      <c r="H920" s="17">
        <v>0.5</v>
      </c>
      <c r="I920" s="18">
        <v>710000000</v>
      </c>
      <c r="J920" s="4" t="s">
        <v>1931</v>
      </c>
      <c r="K920" s="4" t="s">
        <v>5297</v>
      </c>
      <c r="L920" s="7" t="s">
        <v>1940</v>
      </c>
      <c r="M920" s="8" t="s">
        <v>3195</v>
      </c>
      <c r="N920" s="8" t="s">
        <v>1890</v>
      </c>
      <c r="O920" s="8" t="s">
        <v>1935</v>
      </c>
      <c r="P920" s="8">
        <v>796</v>
      </c>
      <c r="Q920" s="8" t="s">
        <v>3196</v>
      </c>
      <c r="R920" s="10">
        <f>3638+470+28+12+33</f>
        <v>4181</v>
      </c>
      <c r="S920" s="10">
        <v>232.14</v>
      </c>
      <c r="T920" s="10">
        <v>0</v>
      </c>
      <c r="U920" s="10">
        <f t="shared" si="394"/>
        <v>0</v>
      </c>
      <c r="V920" s="8"/>
      <c r="W920" s="11">
        <v>2015</v>
      </c>
      <c r="X920" s="1" t="s">
        <v>6562</v>
      </c>
    </row>
    <row r="921" spans="1:24" ht="76.5" customHeight="1" outlineLevel="1" x14ac:dyDescent="0.2">
      <c r="A921" s="1" t="s">
        <v>6602</v>
      </c>
      <c r="B921" s="24" t="s">
        <v>5277</v>
      </c>
      <c r="C921" s="7" t="s">
        <v>3105</v>
      </c>
      <c r="D921" s="7" t="s">
        <v>5582</v>
      </c>
      <c r="E921" s="18" t="s">
        <v>5583</v>
      </c>
      <c r="F921" s="25" t="s">
        <v>5584</v>
      </c>
      <c r="G921" s="1" t="s">
        <v>1888</v>
      </c>
      <c r="H921" s="17">
        <v>0.5</v>
      </c>
      <c r="I921" s="18">
        <v>710000000</v>
      </c>
      <c r="J921" s="4" t="s">
        <v>1931</v>
      </c>
      <c r="K921" s="4" t="s">
        <v>5297</v>
      </c>
      <c r="L921" s="7" t="s">
        <v>1940</v>
      </c>
      <c r="M921" s="8" t="s">
        <v>3195</v>
      </c>
      <c r="N921" s="8" t="s">
        <v>1890</v>
      </c>
      <c r="O921" s="8" t="s">
        <v>1935</v>
      </c>
      <c r="P921" s="8">
        <v>796</v>
      </c>
      <c r="Q921" s="8" t="s">
        <v>3196</v>
      </c>
      <c r="R921" s="10">
        <f>3638+470+28+12+33+478</f>
        <v>4659</v>
      </c>
      <c r="S921" s="10">
        <v>232.14</v>
      </c>
      <c r="T921" s="10">
        <f t="shared" ref="T921" si="395">S921*R921</f>
        <v>1081540.26</v>
      </c>
      <c r="U921" s="10">
        <f t="shared" ref="U921" si="396">T921*1.12</f>
        <v>1211325.0912000001</v>
      </c>
      <c r="V921" s="8"/>
      <c r="W921" s="11">
        <v>2015</v>
      </c>
      <c r="X921" s="1"/>
    </row>
    <row r="922" spans="1:24" ht="76.5" customHeight="1" outlineLevel="1" x14ac:dyDescent="0.2">
      <c r="A922" s="1" t="s">
        <v>4827</v>
      </c>
      <c r="B922" s="24" t="s">
        <v>5277</v>
      </c>
      <c r="C922" s="7" t="s">
        <v>3106</v>
      </c>
      <c r="D922" s="7" t="s">
        <v>5589</v>
      </c>
      <c r="E922" s="18" t="s">
        <v>5590</v>
      </c>
      <c r="F922" s="25" t="s">
        <v>5591</v>
      </c>
      <c r="G922" s="1" t="s">
        <v>1888</v>
      </c>
      <c r="H922" s="17">
        <v>0.5</v>
      </c>
      <c r="I922" s="18">
        <v>710000000</v>
      </c>
      <c r="J922" s="4" t="s">
        <v>1931</v>
      </c>
      <c r="K922" s="4" t="s">
        <v>5297</v>
      </c>
      <c r="L922" s="7" t="s">
        <v>1940</v>
      </c>
      <c r="M922" s="8" t="s">
        <v>3195</v>
      </c>
      <c r="N922" s="8" t="s">
        <v>1890</v>
      </c>
      <c r="O922" s="8" t="s">
        <v>1935</v>
      </c>
      <c r="P922" s="1">
        <v>881</v>
      </c>
      <c r="Q922" s="4" t="s">
        <v>3107</v>
      </c>
      <c r="R922" s="10">
        <f>265+100+8+10</f>
        <v>383</v>
      </c>
      <c r="S922" s="10">
        <v>3343.75</v>
      </c>
      <c r="T922" s="10">
        <f t="shared" si="393"/>
        <v>1280656.25</v>
      </c>
      <c r="U922" s="10">
        <f t="shared" si="394"/>
        <v>1434335.0000000002</v>
      </c>
      <c r="V922" s="8"/>
      <c r="W922" s="11">
        <v>2015</v>
      </c>
      <c r="X922" s="1"/>
    </row>
    <row r="923" spans="1:24" ht="89.25" customHeight="1" outlineLevel="1" x14ac:dyDescent="0.2">
      <c r="A923" s="1" t="s">
        <v>4828</v>
      </c>
      <c r="B923" s="24" t="s">
        <v>5277</v>
      </c>
      <c r="C923" s="25" t="s">
        <v>3118</v>
      </c>
      <c r="D923" s="25" t="s">
        <v>3119</v>
      </c>
      <c r="E923" s="25" t="s">
        <v>5603</v>
      </c>
      <c r="F923" s="25" t="s">
        <v>2239</v>
      </c>
      <c r="G923" s="1" t="s">
        <v>1888</v>
      </c>
      <c r="H923" s="17">
        <v>0.5</v>
      </c>
      <c r="I923" s="18">
        <v>710000000</v>
      </c>
      <c r="J923" s="4" t="s">
        <v>1931</v>
      </c>
      <c r="K923" s="4" t="s">
        <v>5297</v>
      </c>
      <c r="L923" s="7" t="s">
        <v>1940</v>
      </c>
      <c r="M923" s="8" t="s">
        <v>3195</v>
      </c>
      <c r="N923" s="8" t="s">
        <v>1890</v>
      </c>
      <c r="O923" s="8" t="s">
        <v>1935</v>
      </c>
      <c r="P923" s="1">
        <v>868</v>
      </c>
      <c r="Q923" s="4" t="s">
        <v>5521</v>
      </c>
      <c r="R923" s="10">
        <f>36+7+7</f>
        <v>50</v>
      </c>
      <c r="S923" s="10">
        <v>791.07</v>
      </c>
      <c r="T923" s="10">
        <f t="shared" si="393"/>
        <v>39553.5</v>
      </c>
      <c r="U923" s="10">
        <f t="shared" si="394"/>
        <v>44299.920000000006</v>
      </c>
      <c r="V923" s="8"/>
      <c r="W923" s="11">
        <v>2015</v>
      </c>
      <c r="X923" s="1"/>
    </row>
    <row r="924" spans="1:24" ht="76.5" customHeight="1" outlineLevel="1" x14ac:dyDescent="0.2">
      <c r="A924" s="1" t="s">
        <v>4829</v>
      </c>
      <c r="B924" s="24" t="s">
        <v>5277</v>
      </c>
      <c r="C924" s="7" t="s">
        <v>3120</v>
      </c>
      <c r="D924" s="7" t="s">
        <v>5577</v>
      </c>
      <c r="E924" s="18" t="s">
        <v>5577</v>
      </c>
      <c r="F924" s="25" t="s">
        <v>6601</v>
      </c>
      <c r="G924" s="1" t="s">
        <v>1888</v>
      </c>
      <c r="H924" s="17">
        <v>0.5</v>
      </c>
      <c r="I924" s="18">
        <v>710000000</v>
      </c>
      <c r="J924" s="4" t="s">
        <v>1931</v>
      </c>
      <c r="K924" s="4" t="s">
        <v>5297</v>
      </c>
      <c r="L924" s="7" t="s">
        <v>1940</v>
      </c>
      <c r="M924" s="8" t="s">
        <v>3195</v>
      </c>
      <c r="N924" s="8" t="s">
        <v>1890</v>
      </c>
      <c r="O924" s="8" t="s">
        <v>1935</v>
      </c>
      <c r="P924" s="1">
        <v>868</v>
      </c>
      <c r="Q924" s="4" t="s">
        <v>5521</v>
      </c>
      <c r="R924" s="10">
        <f>5+288+40</f>
        <v>333</v>
      </c>
      <c r="S924" s="10">
        <v>1110.71</v>
      </c>
      <c r="T924" s="10">
        <f t="shared" si="393"/>
        <v>369866.43</v>
      </c>
      <c r="U924" s="10">
        <f t="shared" si="394"/>
        <v>414250.40160000004</v>
      </c>
      <c r="V924" s="8"/>
      <c r="W924" s="11">
        <v>2015</v>
      </c>
      <c r="X924" s="1"/>
    </row>
    <row r="925" spans="1:24" ht="76.5" customHeight="1" outlineLevel="1" x14ac:dyDescent="0.2">
      <c r="A925" s="1" t="s">
        <v>4830</v>
      </c>
      <c r="B925" s="24" t="s">
        <v>5277</v>
      </c>
      <c r="C925" s="7" t="s">
        <v>2241</v>
      </c>
      <c r="D925" s="25" t="s">
        <v>5599</v>
      </c>
      <c r="E925" s="25" t="s">
        <v>2242</v>
      </c>
      <c r="F925" s="25" t="s">
        <v>2243</v>
      </c>
      <c r="G925" s="1" t="s">
        <v>1888</v>
      </c>
      <c r="H925" s="17">
        <v>0.5</v>
      </c>
      <c r="I925" s="18">
        <v>710000000</v>
      </c>
      <c r="J925" s="4" t="s">
        <v>1931</v>
      </c>
      <c r="K925" s="4" t="s">
        <v>5297</v>
      </c>
      <c r="L925" s="7" t="s">
        <v>1940</v>
      </c>
      <c r="M925" s="8" t="s">
        <v>3195</v>
      </c>
      <c r="N925" s="8" t="s">
        <v>1890</v>
      </c>
      <c r="O925" s="8" t="s">
        <v>1935</v>
      </c>
      <c r="P925" s="8">
        <v>796</v>
      </c>
      <c r="Q925" s="8" t="s">
        <v>3196</v>
      </c>
      <c r="R925" s="10">
        <f>2+2+48</f>
        <v>52</v>
      </c>
      <c r="S925" s="10">
        <v>1335</v>
      </c>
      <c r="T925" s="10">
        <f t="shared" si="393"/>
        <v>69420</v>
      </c>
      <c r="U925" s="10">
        <f t="shared" si="394"/>
        <v>77750.400000000009</v>
      </c>
      <c r="V925" s="8"/>
      <c r="W925" s="11">
        <v>2015</v>
      </c>
      <c r="X925" s="1"/>
    </row>
    <row r="926" spans="1:24" ht="76.5" customHeight="1" outlineLevel="1" x14ac:dyDescent="0.2">
      <c r="A926" s="1" t="s">
        <v>4831</v>
      </c>
      <c r="B926" s="24" t="s">
        <v>5277</v>
      </c>
      <c r="C926" s="7" t="s">
        <v>3115</v>
      </c>
      <c r="D926" s="7" t="s">
        <v>5594</v>
      </c>
      <c r="E926" s="18" t="s">
        <v>5595</v>
      </c>
      <c r="F926" s="25" t="s">
        <v>5596</v>
      </c>
      <c r="G926" s="1" t="s">
        <v>1888</v>
      </c>
      <c r="H926" s="17">
        <v>0.5</v>
      </c>
      <c r="I926" s="18">
        <v>710000000</v>
      </c>
      <c r="J926" s="4" t="s">
        <v>1931</v>
      </c>
      <c r="K926" s="4" t="s">
        <v>5297</v>
      </c>
      <c r="L926" s="7" t="s">
        <v>1940</v>
      </c>
      <c r="M926" s="8" t="s">
        <v>3195</v>
      </c>
      <c r="N926" s="8" t="s">
        <v>1890</v>
      </c>
      <c r="O926" s="8" t="s">
        <v>1935</v>
      </c>
      <c r="P926" s="8">
        <v>796</v>
      </c>
      <c r="Q926" s="8" t="s">
        <v>3196</v>
      </c>
      <c r="R926" s="10">
        <f>145+420+150+720</f>
        <v>1435</v>
      </c>
      <c r="S926" s="10">
        <v>155.36000000000001</v>
      </c>
      <c r="T926" s="10">
        <f t="shared" si="393"/>
        <v>222941.6</v>
      </c>
      <c r="U926" s="10">
        <f t="shared" si="394"/>
        <v>249694.59200000003</v>
      </c>
      <c r="V926" s="8"/>
      <c r="W926" s="11">
        <v>2015</v>
      </c>
      <c r="X926" s="1"/>
    </row>
    <row r="927" spans="1:24" ht="89.25" customHeight="1" outlineLevel="1" x14ac:dyDescent="0.2">
      <c r="A927" s="1" t="s">
        <v>4832</v>
      </c>
      <c r="B927" s="24" t="s">
        <v>5277</v>
      </c>
      <c r="C927" s="7" t="s">
        <v>3111</v>
      </c>
      <c r="D927" s="7" t="s">
        <v>5600</v>
      </c>
      <c r="E927" s="18" t="s">
        <v>5601</v>
      </c>
      <c r="F927" s="25" t="s">
        <v>2244</v>
      </c>
      <c r="G927" s="1" t="s">
        <v>1888</v>
      </c>
      <c r="H927" s="17">
        <v>0.5</v>
      </c>
      <c r="I927" s="18">
        <v>710000000</v>
      </c>
      <c r="J927" s="4" t="s">
        <v>1931</v>
      </c>
      <c r="K927" s="4" t="s">
        <v>5297</v>
      </c>
      <c r="L927" s="7" t="s">
        <v>1940</v>
      </c>
      <c r="M927" s="8" t="s">
        <v>3195</v>
      </c>
      <c r="N927" s="8" t="s">
        <v>1890</v>
      </c>
      <c r="O927" s="8" t="s">
        <v>1935</v>
      </c>
      <c r="P927" s="1">
        <v>5111</v>
      </c>
      <c r="Q927" s="4" t="s">
        <v>5298</v>
      </c>
      <c r="R927" s="10">
        <f>3+50+20</f>
        <v>73</v>
      </c>
      <c r="S927" s="10">
        <v>3273</v>
      </c>
      <c r="T927" s="10">
        <f t="shared" si="393"/>
        <v>238929</v>
      </c>
      <c r="U927" s="10">
        <f t="shared" si="394"/>
        <v>267600.48000000004</v>
      </c>
      <c r="V927" s="8"/>
      <c r="W927" s="11">
        <v>2015</v>
      </c>
      <c r="X927" s="1"/>
    </row>
    <row r="928" spans="1:24" ht="76.5" customHeight="1" outlineLevel="1" x14ac:dyDescent="0.2">
      <c r="A928" s="1" t="s">
        <v>4833</v>
      </c>
      <c r="B928" s="24" t="s">
        <v>5277</v>
      </c>
      <c r="C928" s="7" t="s">
        <v>3111</v>
      </c>
      <c r="D928" s="7" t="s">
        <v>5600</v>
      </c>
      <c r="E928" s="18" t="s">
        <v>5601</v>
      </c>
      <c r="F928" s="25" t="s">
        <v>5602</v>
      </c>
      <c r="G928" s="1" t="s">
        <v>1888</v>
      </c>
      <c r="H928" s="17">
        <v>0.5</v>
      </c>
      <c r="I928" s="18">
        <v>710000000</v>
      </c>
      <c r="J928" s="4" t="s">
        <v>1931</v>
      </c>
      <c r="K928" s="4" t="s">
        <v>5297</v>
      </c>
      <c r="L928" s="7" t="s">
        <v>1940</v>
      </c>
      <c r="M928" s="8" t="s">
        <v>3195</v>
      </c>
      <c r="N928" s="8" t="s">
        <v>1890</v>
      </c>
      <c r="O928" s="8" t="s">
        <v>1935</v>
      </c>
      <c r="P928" s="1">
        <v>5111</v>
      </c>
      <c r="Q928" s="4" t="s">
        <v>5298</v>
      </c>
      <c r="R928" s="10">
        <f>2234+529+10+21+22+120</f>
        <v>2936</v>
      </c>
      <c r="S928" s="10">
        <v>238.39</v>
      </c>
      <c r="T928" s="10">
        <v>0</v>
      </c>
      <c r="U928" s="10">
        <f t="shared" si="394"/>
        <v>0</v>
      </c>
      <c r="V928" s="8"/>
      <c r="W928" s="11">
        <v>2015</v>
      </c>
      <c r="X928" s="1" t="s">
        <v>6562</v>
      </c>
    </row>
    <row r="929" spans="1:24" ht="76.5" customHeight="1" outlineLevel="1" x14ac:dyDescent="0.2">
      <c r="A929" s="1" t="s">
        <v>6603</v>
      </c>
      <c r="B929" s="24" t="s">
        <v>5277</v>
      </c>
      <c r="C929" s="7" t="s">
        <v>3111</v>
      </c>
      <c r="D929" s="7" t="s">
        <v>5600</v>
      </c>
      <c r="E929" s="18" t="s">
        <v>5601</v>
      </c>
      <c r="F929" s="25" t="s">
        <v>5602</v>
      </c>
      <c r="G929" s="1" t="s">
        <v>1888</v>
      </c>
      <c r="H929" s="17">
        <v>0.5</v>
      </c>
      <c r="I929" s="18">
        <v>710000000</v>
      </c>
      <c r="J929" s="4" t="s">
        <v>1931</v>
      </c>
      <c r="K929" s="4" t="s">
        <v>5297</v>
      </c>
      <c r="L929" s="7" t="s">
        <v>1940</v>
      </c>
      <c r="M929" s="8" t="s">
        <v>3195</v>
      </c>
      <c r="N929" s="8" t="s">
        <v>1890</v>
      </c>
      <c r="O929" s="8" t="s">
        <v>1935</v>
      </c>
      <c r="P929" s="1">
        <v>5111</v>
      </c>
      <c r="Q929" s="4" t="s">
        <v>5298</v>
      </c>
      <c r="R929" s="10">
        <f>2234+529+10+21+22+120-252</f>
        <v>2684</v>
      </c>
      <c r="S929" s="10">
        <v>238.39</v>
      </c>
      <c r="T929" s="10">
        <f t="shared" ref="T929" si="397">S929*R929</f>
        <v>639838.76</v>
      </c>
      <c r="U929" s="10">
        <f t="shared" ref="U929" si="398">T929*1.12</f>
        <v>716619.41120000009</v>
      </c>
      <c r="V929" s="8"/>
      <c r="W929" s="11">
        <v>2015</v>
      </c>
      <c r="X929" s="1"/>
    </row>
    <row r="930" spans="1:24" ht="76.5" customHeight="1" outlineLevel="1" x14ac:dyDescent="0.2">
      <c r="A930" s="1" t="s">
        <v>4834</v>
      </c>
      <c r="B930" s="24" t="s">
        <v>5277</v>
      </c>
      <c r="C930" s="7" t="s">
        <v>3105</v>
      </c>
      <c r="D930" s="7" t="s">
        <v>5582</v>
      </c>
      <c r="E930" s="18" t="s">
        <v>5583</v>
      </c>
      <c r="F930" s="25" t="s">
        <v>2245</v>
      </c>
      <c r="G930" s="1" t="s">
        <v>1888</v>
      </c>
      <c r="H930" s="17">
        <v>0.5</v>
      </c>
      <c r="I930" s="18">
        <v>710000000</v>
      </c>
      <c r="J930" s="4" t="s">
        <v>1931</v>
      </c>
      <c r="K930" s="4" t="s">
        <v>5297</v>
      </c>
      <c r="L930" s="7" t="s">
        <v>1940</v>
      </c>
      <c r="M930" s="8" t="s">
        <v>3195</v>
      </c>
      <c r="N930" s="8" t="s">
        <v>1890</v>
      </c>
      <c r="O930" s="8" t="s">
        <v>1935</v>
      </c>
      <c r="P930" s="8">
        <v>796</v>
      </c>
      <c r="Q930" s="8" t="s">
        <v>3196</v>
      </c>
      <c r="R930" s="10">
        <f>11+2+8</f>
        <v>21</v>
      </c>
      <c r="S930" s="10">
        <v>1290.18</v>
      </c>
      <c r="T930" s="10">
        <f t="shared" si="393"/>
        <v>27093.780000000002</v>
      </c>
      <c r="U930" s="10">
        <f t="shared" si="394"/>
        <v>30345.033600000006</v>
      </c>
      <c r="V930" s="8"/>
      <c r="W930" s="11">
        <v>2015</v>
      </c>
      <c r="X930" s="1"/>
    </row>
    <row r="931" spans="1:24" ht="76.5" customHeight="1" outlineLevel="1" x14ac:dyDescent="0.2">
      <c r="A931" s="1" t="s">
        <v>4835</v>
      </c>
      <c r="B931" s="24" t="s">
        <v>5277</v>
      </c>
      <c r="C931" s="25" t="s">
        <v>2246</v>
      </c>
      <c r="D931" s="25" t="s">
        <v>5520</v>
      </c>
      <c r="E931" s="25" t="s">
        <v>2247</v>
      </c>
      <c r="F931" s="25" t="s">
        <v>2248</v>
      </c>
      <c r="G931" s="1" t="s">
        <v>1888</v>
      </c>
      <c r="H931" s="17">
        <v>0.5</v>
      </c>
      <c r="I931" s="18">
        <v>710000000</v>
      </c>
      <c r="J931" s="4" t="s">
        <v>1931</v>
      </c>
      <c r="K931" s="4" t="s">
        <v>5297</v>
      </c>
      <c r="L931" s="7" t="s">
        <v>1940</v>
      </c>
      <c r="M931" s="8" t="s">
        <v>3195</v>
      </c>
      <c r="N931" s="8" t="s">
        <v>1890</v>
      </c>
      <c r="O931" s="8" t="s">
        <v>1935</v>
      </c>
      <c r="P931" s="1">
        <v>112</v>
      </c>
      <c r="Q931" s="4" t="s">
        <v>3026</v>
      </c>
      <c r="R931" s="10">
        <f>149+2+1</f>
        <v>152</v>
      </c>
      <c r="S931" s="10">
        <v>334.38</v>
      </c>
      <c r="T931" s="10">
        <v>0</v>
      </c>
      <c r="U931" s="10">
        <f t="shared" si="394"/>
        <v>0</v>
      </c>
      <c r="V931" s="8"/>
      <c r="W931" s="11">
        <v>2015</v>
      </c>
      <c r="X931" s="1" t="s">
        <v>6562</v>
      </c>
    </row>
    <row r="932" spans="1:24" ht="76.5" customHeight="1" outlineLevel="1" x14ac:dyDescent="0.2">
      <c r="A932" s="1" t="s">
        <v>6590</v>
      </c>
      <c r="B932" s="24" t="s">
        <v>5277</v>
      </c>
      <c r="C932" s="25" t="s">
        <v>2246</v>
      </c>
      <c r="D932" s="25" t="s">
        <v>5520</v>
      </c>
      <c r="E932" s="25" t="s">
        <v>2247</v>
      </c>
      <c r="F932" s="25" t="s">
        <v>2248</v>
      </c>
      <c r="G932" s="1" t="s">
        <v>1888</v>
      </c>
      <c r="H932" s="17">
        <v>0.5</v>
      </c>
      <c r="I932" s="18">
        <v>710000000</v>
      </c>
      <c r="J932" s="4" t="s">
        <v>1931</v>
      </c>
      <c r="K932" s="4" t="s">
        <v>5297</v>
      </c>
      <c r="L932" s="7" t="s">
        <v>1940</v>
      </c>
      <c r="M932" s="8" t="s">
        <v>3195</v>
      </c>
      <c r="N932" s="8" t="s">
        <v>1890</v>
      </c>
      <c r="O932" s="8" t="s">
        <v>1935</v>
      </c>
      <c r="P932" s="1">
        <v>112</v>
      </c>
      <c r="Q932" s="4" t="s">
        <v>3026</v>
      </c>
      <c r="R932" s="10">
        <f>149+2+1-21</f>
        <v>131</v>
      </c>
      <c r="S932" s="10">
        <v>334.38</v>
      </c>
      <c r="T932" s="10">
        <f t="shared" ref="T932" si="399">S932*R932</f>
        <v>43803.78</v>
      </c>
      <c r="U932" s="10">
        <f t="shared" ref="U932" si="400">T932*1.12</f>
        <v>49060.233600000007</v>
      </c>
      <c r="V932" s="8"/>
      <c r="W932" s="11">
        <v>2015</v>
      </c>
      <c r="X932" s="1"/>
    </row>
    <row r="933" spans="1:24" ht="76.5" customHeight="1" outlineLevel="1" x14ac:dyDescent="0.2">
      <c r="A933" s="1" t="s">
        <v>4836</v>
      </c>
      <c r="B933" s="24" t="s">
        <v>5277</v>
      </c>
      <c r="C933" s="25" t="s">
        <v>2246</v>
      </c>
      <c r="D933" s="25" t="s">
        <v>5520</v>
      </c>
      <c r="E933" s="25" t="s">
        <v>2247</v>
      </c>
      <c r="F933" s="25" t="s">
        <v>2249</v>
      </c>
      <c r="G933" s="1" t="s">
        <v>1888</v>
      </c>
      <c r="H933" s="17">
        <v>0.5</v>
      </c>
      <c r="I933" s="18">
        <v>710000000</v>
      </c>
      <c r="J933" s="4" t="s">
        <v>1931</v>
      </c>
      <c r="K933" s="4" t="s">
        <v>5297</v>
      </c>
      <c r="L933" s="7" t="s">
        <v>1940</v>
      </c>
      <c r="M933" s="8" t="s">
        <v>3195</v>
      </c>
      <c r="N933" s="8" t="s">
        <v>1890</v>
      </c>
      <c r="O933" s="8" t="s">
        <v>1935</v>
      </c>
      <c r="P933" s="1">
        <v>112</v>
      </c>
      <c r="Q933" s="4" t="s">
        <v>3026</v>
      </c>
      <c r="R933" s="10">
        <v>17</v>
      </c>
      <c r="S933" s="10">
        <v>133.04</v>
      </c>
      <c r="T933" s="10">
        <f t="shared" si="393"/>
        <v>2261.6799999999998</v>
      </c>
      <c r="U933" s="10">
        <f t="shared" si="394"/>
        <v>2533.0816</v>
      </c>
      <c r="V933" s="8"/>
      <c r="W933" s="11">
        <v>2015</v>
      </c>
      <c r="X933" s="1"/>
    </row>
    <row r="934" spans="1:24" ht="76.5" customHeight="1" outlineLevel="1" x14ac:dyDescent="0.2">
      <c r="A934" s="1" t="s">
        <v>4837</v>
      </c>
      <c r="B934" s="24" t="s">
        <v>5277</v>
      </c>
      <c r="C934" s="18" t="s">
        <v>2250</v>
      </c>
      <c r="D934" s="18" t="s">
        <v>5758</v>
      </c>
      <c r="E934" s="18" t="s">
        <v>2251</v>
      </c>
      <c r="F934" s="25" t="s">
        <v>2252</v>
      </c>
      <c r="G934" s="1" t="s">
        <v>1888</v>
      </c>
      <c r="H934" s="17">
        <v>0.5</v>
      </c>
      <c r="I934" s="18">
        <v>710000000</v>
      </c>
      <c r="J934" s="4" t="s">
        <v>1931</v>
      </c>
      <c r="K934" s="4" t="s">
        <v>5297</v>
      </c>
      <c r="L934" s="7" t="s">
        <v>1940</v>
      </c>
      <c r="M934" s="8" t="s">
        <v>3195</v>
      </c>
      <c r="N934" s="8" t="s">
        <v>1890</v>
      </c>
      <c r="O934" s="8" t="s">
        <v>1935</v>
      </c>
      <c r="P934" s="1">
        <v>715</v>
      </c>
      <c r="Q934" s="4" t="s">
        <v>5618</v>
      </c>
      <c r="R934" s="10">
        <v>99</v>
      </c>
      <c r="S934" s="10">
        <v>205.36</v>
      </c>
      <c r="T934" s="10">
        <v>0</v>
      </c>
      <c r="U934" s="10">
        <f t="shared" si="394"/>
        <v>0</v>
      </c>
      <c r="V934" s="8"/>
      <c r="W934" s="11">
        <v>2015</v>
      </c>
      <c r="X934" s="1" t="s">
        <v>7518</v>
      </c>
    </row>
    <row r="935" spans="1:24" ht="76.5" customHeight="1" outlineLevel="1" x14ac:dyDescent="0.2">
      <c r="A935" s="1" t="s">
        <v>10188</v>
      </c>
      <c r="B935" s="24" t="s">
        <v>5277</v>
      </c>
      <c r="C935" s="18" t="s">
        <v>2250</v>
      </c>
      <c r="D935" s="18" t="s">
        <v>5758</v>
      </c>
      <c r="E935" s="18" t="s">
        <v>2251</v>
      </c>
      <c r="F935" s="25" t="s">
        <v>2252</v>
      </c>
      <c r="G935" s="1" t="s">
        <v>1888</v>
      </c>
      <c r="H935" s="17">
        <v>0.5</v>
      </c>
      <c r="I935" s="18">
        <v>710000000</v>
      </c>
      <c r="J935" s="4" t="s">
        <v>1931</v>
      </c>
      <c r="K935" s="4" t="s">
        <v>10047</v>
      </c>
      <c r="L935" s="7" t="s">
        <v>1940</v>
      </c>
      <c r="M935" s="8" t="s">
        <v>3195</v>
      </c>
      <c r="N935" s="8" t="s">
        <v>1890</v>
      </c>
      <c r="O935" s="8" t="s">
        <v>1935</v>
      </c>
      <c r="P935" s="1">
        <v>715</v>
      </c>
      <c r="Q935" s="4" t="s">
        <v>5618</v>
      </c>
      <c r="R935" s="10">
        <f>99+11</f>
        <v>110</v>
      </c>
      <c r="S935" s="10">
        <v>205.36</v>
      </c>
      <c r="T935" s="10">
        <f t="shared" ref="T935" si="401">S935*R935</f>
        <v>22589.600000000002</v>
      </c>
      <c r="U935" s="10">
        <f t="shared" ref="U935" si="402">T935*1.12</f>
        <v>25300.352000000006</v>
      </c>
      <c r="V935" s="8"/>
      <c r="W935" s="11">
        <v>2015</v>
      </c>
      <c r="X935" s="1"/>
    </row>
    <row r="936" spans="1:24" ht="76.5" customHeight="1" outlineLevel="1" x14ac:dyDescent="0.2">
      <c r="A936" s="1" t="s">
        <v>4838</v>
      </c>
      <c r="B936" s="24" t="s">
        <v>5277</v>
      </c>
      <c r="C936" s="25" t="s">
        <v>2253</v>
      </c>
      <c r="D936" s="25" t="s">
        <v>2254</v>
      </c>
      <c r="E936" s="25" t="s">
        <v>2255</v>
      </c>
      <c r="F936" s="25" t="s">
        <v>6606</v>
      </c>
      <c r="G936" s="1" t="s">
        <v>1888</v>
      </c>
      <c r="H936" s="17">
        <v>0.5</v>
      </c>
      <c r="I936" s="18">
        <v>710000000</v>
      </c>
      <c r="J936" s="4" t="s">
        <v>1931</v>
      </c>
      <c r="K936" s="4" t="s">
        <v>5297</v>
      </c>
      <c r="L936" s="7" t="s">
        <v>1940</v>
      </c>
      <c r="M936" s="8" t="s">
        <v>3195</v>
      </c>
      <c r="N936" s="8" t="s">
        <v>1890</v>
      </c>
      <c r="O936" s="8" t="s">
        <v>1935</v>
      </c>
      <c r="P936" s="1">
        <v>778</v>
      </c>
      <c r="Q936" s="4" t="s">
        <v>3327</v>
      </c>
      <c r="R936" s="10">
        <f>240+18+16+384+400</f>
        <v>1058</v>
      </c>
      <c r="S936" s="10">
        <v>396.43</v>
      </c>
      <c r="T936" s="10">
        <f t="shared" si="393"/>
        <v>419422.94</v>
      </c>
      <c r="U936" s="10">
        <f t="shared" si="394"/>
        <v>469753.69280000002</v>
      </c>
      <c r="V936" s="8"/>
      <c r="W936" s="11">
        <v>2015</v>
      </c>
      <c r="X936" s="1"/>
    </row>
    <row r="937" spans="1:24" ht="76.5" customHeight="1" outlineLevel="1" x14ac:dyDescent="0.2">
      <c r="A937" s="1" t="s">
        <v>4839</v>
      </c>
      <c r="B937" s="24" t="s">
        <v>5277</v>
      </c>
      <c r="C937" s="7" t="s">
        <v>3124</v>
      </c>
      <c r="D937" s="7" t="s">
        <v>5622</v>
      </c>
      <c r="E937" s="18" t="s">
        <v>2256</v>
      </c>
      <c r="F937" s="25" t="s">
        <v>5623</v>
      </c>
      <c r="G937" s="1" t="s">
        <v>1888</v>
      </c>
      <c r="H937" s="17">
        <v>0.5</v>
      </c>
      <c r="I937" s="18">
        <v>710000000</v>
      </c>
      <c r="J937" s="4" t="s">
        <v>1931</v>
      </c>
      <c r="K937" s="4" t="s">
        <v>5297</v>
      </c>
      <c r="L937" s="7" t="s">
        <v>1940</v>
      </c>
      <c r="M937" s="8" t="s">
        <v>3195</v>
      </c>
      <c r="N937" s="8" t="s">
        <v>1890</v>
      </c>
      <c r="O937" s="8" t="s">
        <v>1935</v>
      </c>
      <c r="P937" s="8">
        <v>796</v>
      </c>
      <c r="Q937" s="8" t="s">
        <v>3196</v>
      </c>
      <c r="R937" s="10">
        <f>80+392+596+10+4+16</f>
        <v>1098</v>
      </c>
      <c r="S937" s="10">
        <v>1067.8599999999999</v>
      </c>
      <c r="T937" s="10">
        <v>0</v>
      </c>
      <c r="U937" s="10">
        <f t="shared" si="394"/>
        <v>0</v>
      </c>
      <c r="V937" s="8"/>
      <c r="W937" s="11">
        <v>2015</v>
      </c>
      <c r="X937" s="1" t="s">
        <v>6562</v>
      </c>
    </row>
    <row r="938" spans="1:24" ht="76.5" customHeight="1" outlineLevel="1" x14ac:dyDescent="0.2">
      <c r="A938" s="1" t="s">
        <v>6591</v>
      </c>
      <c r="B938" s="24" t="s">
        <v>5277</v>
      </c>
      <c r="C938" s="7" t="s">
        <v>3124</v>
      </c>
      <c r="D938" s="7" t="s">
        <v>5622</v>
      </c>
      <c r="E938" s="18" t="s">
        <v>2256</v>
      </c>
      <c r="F938" s="25" t="s">
        <v>5623</v>
      </c>
      <c r="G938" s="1" t="s">
        <v>1888</v>
      </c>
      <c r="H938" s="17">
        <v>0.5</v>
      </c>
      <c r="I938" s="18">
        <v>710000000</v>
      </c>
      <c r="J938" s="4" t="s">
        <v>1931</v>
      </c>
      <c r="K938" s="4" t="s">
        <v>5297</v>
      </c>
      <c r="L938" s="7" t="s">
        <v>1940</v>
      </c>
      <c r="M938" s="8" t="s">
        <v>3195</v>
      </c>
      <c r="N938" s="8" t="s">
        <v>1890</v>
      </c>
      <c r="O938" s="8" t="s">
        <v>1935</v>
      </c>
      <c r="P938" s="8">
        <v>796</v>
      </c>
      <c r="Q938" s="8" t="s">
        <v>3196</v>
      </c>
      <c r="R938" s="10">
        <f>80+392+596+10+4+16-84</f>
        <v>1014</v>
      </c>
      <c r="S938" s="10">
        <v>1067.8599999999999</v>
      </c>
      <c r="T938" s="10">
        <f t="shared" ref="T938" si="403">S938*R938</f>
        <v>1082810.0399999998</v>
      </c>
      <c r="U938" s="10">
        <f t="shared" ref="U938" si="404">T938*1.12</f>
        <v>1212747.2448</v>
      </c>
      <c r="V938" s="8"/>
      <c r="W938" s="11">
        <v>2015</v>
      </c>
      <c r="X938" s="1"/>
    </row>
    <row r="939" spans="1:24" ht="76.5" customHeight="1" outlineLevel="1" x14ac:dyDescent="0.2">
      <c r="A939" s="1" t="s">
        <v>4840</v>
      </c>
      <c r="B939" s="24" t="s">
        <v>5277</v>
      </c>
      <c r="C939" s="7" t="s">
        <v>3129</v>
      </c>
      <c r="D939" s="7" t="s">
        <v>5624</v>
      </c>
      <c r="E939" s="18" t="s">
        <v>5625</v>
      </c>
      <c r="F939" s="25"/>
      <c r="G939" s="1" t="s">
        <v>1888</v>
      </c>
      <c r="H939" s="17">
        <v>0.5</v>
      </c>
      <c r="I939" s="18">
        <v>710000000</v>
      </c>
      <c r="J939" s="4" t="s">
        <v>1931</v>
      </c>
      <c r="K939" s="4" t="s">
        <v>5297</v>
      </c>
      <c r="L939" s="7" t="s">
        <v>1940</v>
      </c>
      <c r="M939" s="8" t="s">
        <v>3195</v>
      </c>
      <c r="N939" s="8" t="s">
        <v>1890</v>
      </c>
      <c r="O939" s="8" t="s">
        <v>1935</v>
      </c>
      <c r="P939" s="1" t="s">
        <v>3010</v>
      </c>
      <c r="Q939" s="4" t="s">
        <v>3009</v>
      </c>
      <c r="R939" s="10">
        <f>1800+3870+72+72+36+240</f>
        <v>6090</v>
      </c>
      <c r="S939" s="10">
        <v>216.96</v>
      </c>
      <c r="T939" s="10">
        <v>0</v>
      </c>
      <c r="U939" s="10">
        <f t="shared" si="394"/>
        <v>0</v>
      </c>
      <c r="V939" s="8"/>
      <c r="W939" s="11">
        <v>2015</v>
      </c>
      <c r="X939" s="1" t="s">
        <v>6562</v>
      </c>
    </row>
    <row r="940" spans="1:24" ht="76.5" customHeight="1" outlineLevel="1" x14ac:dyDescent="0.2">
      <c r="A940" s="1" t="s">
        <v>6604</v>
      </c>
      <c r="B940" s="24" t="s">
        <v>5277</v>
      </c>
      <c r="C940" s="7" t="s">
        <v>3129</v>
      </c>
      <c r="D940" s="7" t="s">
        <v>5624</v>
      </c>
      <c r="E940" s="18" t="s">
        <v>5625</v>
      </c>
      <c r="F940" s="25"/>
      <c r="G940" s="1" t="s">
        <v>1888</v>
      </c>
      <c r="H940" s="17">
        <v>0.5</v>
      </c>
      <c r="I940" s="18">
        <v>710000000</v>
      </c>
      <c r="J940" s="4" t="s">
        <v>1931</v>
      </c>
      <c r="K940" s="4" t="s">
        <v>5297</v>
      </c>
      <c r="L940" s="7" t="s">
        <v>1940</v>
      </c>
      <c r="M940" s="8" t="s">
        <v>3195</v>
      </c>
      <c r="N940" s="8" t="s">
        <v>1890</v>
      </c>
      <c r="O940" s="8" t="s">
        <v>1935</v>
      </c>
      <c r="P940" s="1" t="s">
        <v>3010</v>
      </c>
      <c r="Q940" s="4" t="s">
        <v>3009</v>
      </c>
      <c r="R940" s="10">
        <f>1800+3870+72+72+36+240-378</f>
        <v>5712</v>
      </c>
      <c r="S940" s="10">
        <v>216.96</v>
      </c>
      <c r="T940" s="10">
        <f t="shared" ref="T940" si="405">S940*R940</f>
        <v>1239275.52</v>
      </c>
      <c r="U940" s="10">
        <f t="shared" ref="U940" si="406">T940*1.12</f>
        <v>1387988.5824000002</v>
      </c>
      <c r="V940" s="8"/>
      <c r="W940" s="11">
        <v>2015</v>
      </c>
      <c r="X940" s="1"/>
    </row>
    <row r="941" spans="1:24" ht="76.5" customHeight="1" outlineLevel="1" x14ac:dyDescent="0.2">
      <c r="A941" s="1" t="s">
        <v>4841</v>
      </c>
      <c r="B941" s="24" t="s">
        <v>5277</v>
      </c>
      <c r="C941" s="25" t="s">
        <v>5129</v>
      </c>
      <c r="D941" s="25" t="s">
        <v>5674</v>
      </c>
      <c r="E941" s="25" t="s">
        <v>2257</v>
      </c>
      <c r="F941" s="25" t="s">
        <v>5626</v>
      </c>
      <c r="G941" s="1" t="s">
        <v>1888</v>
      </c>
      <c r="H941" s="17">
        <v>0.5</v>
      </c>
      <c r="I941" s="18">
        <v>710000000</v>
      </c>
      <c r="J941" s="4" t="s">
        <v>1931</v>
      </c>
      <c r="K941" s="4" t="s">
        <v>5297</v>
      </c>
      <c r="L941" s="7" t="s">
        <v>1940</v>
      </c>
      <c r="M941" s="8" t="s">
        <v>3195</v>
      </c>
      <c r="N941" s="8" t="s">
        <v>1890</v>
      </c>
      <c r="O941" s="8" t="s">
        <v>1935</v>
      </c>
      <c r="P941" s="1" t="s">
        <v>3443</v>
      </c>
      <c r="Q941" s="4" t="s">
        <v>5676</v>
      </c>
      <c r="R941" s="10">
        <f>1800+48+72+36+2682</f>
        <v>4638</v>
      </c>
      <c r="S941" s="10">
        <v>158.04</v>
      </c>
      <c r="T941" s="10">
        <v>0</v>
      </c>
      <c r="U941" s="10">
        <f t="shared" si="394"/>
        <v>0</v>
      </c>
      <c r="V941" s="8"/>
      <c r="W941" s="11">
        <v>2015</v>
      </c>
      <c r="X941" s="1" t="s">
        <v>6562</v>
      </c>
    </row>
    <row r="942" spans="1:24" ht="76.5" customHeight="1" outlineLevel="1" x14ac:dyDescent="0.2">
      <c r="A942" s="1" t="s">
        <v>6592</v>
      </c>
      <c r="B942" s="24" t="s">
        <v>5277</v>
      </c>
      <c r="C942" s="25" t="s">
        <v>5129</v>
      </c>
      <c r="D942" s="25" t="s">
        <v>5674</v>
      </c>
      <c r="E942" s="25" t="s">
        <v>2257</v>
      </c>
      <c r="F942" s="25" t="s">
        <v>5626</v>
      </c>
      <c r="G942" s="1" t="s">
        <v>1888</v>
      </c>
      <c r="H942" s="17">
        <v>0.5</v>
      </c>
      <c r="I942" s="18">
        <v>710000000</v>
      </c>
      <c r="J942" s="4" t="s">
        <v>1931</v>
      </c>
      <c r="K942" s="4" t="s">
        <v>5297</v>
      </c>
      <c r="L942" s="7" t="s">
        <v>1940</v>
      </c>
      <c r="M942" s="8" t="s">
        <v>3195</v>
      </c>
      <c r="N942" s="8" t="s">
        <v>1890</v>
      </c>
      <c r="O942" s="8" t="s">
        <v>1935</v>
      </c>
      <c r="P942" s="1" t="s">
        <v>3443</v>
      </c>
      <c r="Q942" s="4" t="s">
        <v>5676</v>
      </c>
      <c r="R942" s="10">
        <f>1800+48+72+36+2682-378</f>
        <v>4260</v>
      </c>
      <c r="S942" s="10">
        <v>158.04</v>
      </c>
      <c r="T942" s="10">
        <f t="shared" ref="T942" si="407">S942*R942</f>
        <v>673250.4</v>
      </c>
      <c r="U942" s="10">
        <f t="shared" ref="U942" si="408">T942*1.12</f>
        <v>754040.44800000009</v>
      </c>
      <c r="V942" s="8"/>
      <c r="W942" s="11">
        <v>2015</v>
      </c>
      <c r="X942" s="1"/>
    </row>
    <row r="943" spans="1:24" ht="76.5" customHeight="1" outlineLevel="1" x14ac:dyDescent="0.2">
      <c r="A943" s="1" t="s">
        <v>4842</v>
      </c>
      <c r="B943" s="24" t="s">
        <v>5277</v>
      </c>
      <c r="C943" s="25" t="s">
        <v>2258</v>
      </c>
      <c r="D943" s="25" t="s">
        <v>2259</v>
      </c>
      <c r="E943" s="25" t="s">
        <v>2260</v>
      </c>
      <c r="F943" s="25"/>
      <c r="G943" s="1" t="s">
        <v>1888</v>
      </c>
      <c r="H943" s="17">
        <v>0.5</v>
      </c>
      <c r="I943" s="18">
        <v>710000000</v>
      </c>
      <c r="J943" s="4" t="s">
        <v>1931</v>
      </c>
      <c r="K943" s="4" t="s">
        <v>5297</v>
      </c>
      <c r="L943" s="7" t="s">
        <v>1940</v>
      </c>
      <c r="M943" s="8" t="s">
        <v>3195</v>
      </c>
      <c r="N943" s="8" t="s">
        <v>1890</v>
      </c>
      <c r="O943" s="8" t="s">
        <v>1935</v>
      </c>
      <c r="P943" s="1" t="s">
        <v>3010</v>
      </c>
      <c r="Q943" s="4" t="s">
        <v>3009</v>
      </c>
      <c r="R943" s="10">
        <f>3276+50+192</f>
        <v>3518</v>
      </c>
      <c r="S943" s="10">
        <v>85.71</v>
      </c>
      <c r="T943" s="10">
        <v>0</v>
      </c>
      <c r="U943" s="10">
        <f t="shared" si="394"/>
        <v>0</v>
      </c>
      <c r="V943" s="8"/>
      <c r="W943" s="11">
        <v>2015</v>
      </c>
      <c r="X943" s="1" t="s">
        <v>6562</v>
      </c>
    </row>
    <row r="944" spans="1:24" ht="76.5" customHeight="1" outlineLevel="1" x14ac:dyDescent="0.2">
      <c r="A944" s="1" t="s">
        <v>6600</v>
      </c>
      <c r="B944" s="24" t="s">
        <v>5277</v>
      </c>
      <c r="C944" s="25" t="s">
        <v>2258</v>
      </c>
      <c r="D944" s="25" t="s">
        <v>2259</v>
      </c>
      <c r="E944" s="25" t="s">
        <v>2260</v>
      </c>
      <c r="F944" s="25"/>
      <c r="G944" s="1" t="s">
        <v>1888</v>
      </c>
      <c r="H944" s="17">
        <v>0.5</v>
      </c>
      <c r="I944" s="18">
        <v>710000000</v>
      </c>
      <c r="J944" s="4" t="s">
        <v>1931</v>
      </c>
      <c r="K944" s="4" t="s">
        <v>5297</v>
      </c>
      <c r="L944" s="7" t="s">
        <v>1940</v>
      </c>
      <c r="M944" s="8" t="s">
        <v>3195</v>
      </c>
      <c r="N944" s="8" t="s">
        <v>1890</v>
      </c>
      <c r="O944" s="8" t="s">
        <v>1935</v>
      </c>
      <c r="P944" s="1" t="s">
        <v>3010</v>
      </c>
      <c r="Q944" s="4" t="s">
        <v>3009</v>
      </c>
      <c r="R944" s="10">
        <f>3276+50+192-378</f>
        <v>3140</v>
      </c>
      <c r="S944" s="10">
        <v>85.71</v>
      </c>
      <c r="T944" s="10">
        <f t="shared" ref="T944" si="409">S944*R944</f>
        <v>269129.39999999997</v>
      </c>
      <c r="U944" s="10">
        <f t="shared" ref="U944" si="410">T944*1.12</f>
        <v>301424.92800000001</v>
      </c>
      <c r="V944" s="8"/>
      <c r="W944" s="11">
        <v>2015</v>
      </c>
      <c r="X944" s="1"/>
    </row>
    <row r="945" spans="1:24" ht="76.5" customHeight="1" outlineLevel="1" x14ac:dyDescent="0.2">
      <c r="A945" s="1" t="s">
        <v>4843</v>
      </c>
      <c r="B945" s="25" t="s">
        <v>5277</v>
      </c>
      <c r="C945" s="25" t="s">
        <v>2261</v>
      </c>
      <c r="D945" s="25" t="s">
        <v>2262</v>
      </c>
      <c r="E945" s="25" t="s">
        <v>2263</v>
      </c>
      <c r="F945" s="25" t="s">
        <v>5627</v>
      </c>
      <c r="G945" s="1" t="s">
        <v>1888</v>
      </c>
      <c r="H945" s="17">
        <v>0.5</v>
      </c>
      <c r="I945" s="18">
        <v>710000000</v>
      </c>
      <c r="J945" s="4" t="s">
        <v>1931</v>
      </c>
      <c r="K945" s="4" t="s">
        <v>5297</v>
      </c>
      <c r="L945" s="7" t="s">
        <v>1940</v>
      </c>
      <c r="M945" s="8" t="s">
        <v>3195</v>
      </c>
      <c r="N945" s="8" t="s">
        <v>1890</v>
      </c>
      <c r="O945" s="8" t="s">
        <v>1935</v>
      </c>
      <c r="P945" s="1" t="s">
        <v>3010</v>
      </c>
      <c r="Q945" s="4" t="s">
        <v>3009</v>
      </c>
      <c r="R945" s="10">
        <v>50</v>
      </c>
      <c r="S945" s="10">
        <v>116.07</v>
      </c>
      <c r="T945" s="10">
        <f t="shared" si="393"/>
        <v>5803.5</v>
      </c>
      <c r="U945" s="10">
        <f t="shared" si="394"/>
        <v>6499.920000000001</v>
      </c>
      <c r="V945" s="8"/>
      <c r="W945" s="11">
        <v>2015</v>
      </c>
      <c r="X945" s="1"/>
    </row>
    <row r="946" spans="1:24" ht="76.5" customHeight="1" outlineLevel="1" x14ac:dyDescent="0.2">
      <c r="A946" s="1" t="s">
        <v>4844</v>
      </c>
      <c r="B946" s="24" t="s">
        <v>5277</v>
      </c>
      <c r="C946" s="7" t="s">
        <v>3127</v>
      </c>
      <c r="D946" s="7" t="s">
        <v>5628</v>
      </c>
      <c r="E946" s="18" t="s">
        <v>5629</v>
      </c>
      <c r="F946" s="25" t="s">
        <v>5630</v>
      </c>
      <c r="G946" s="1" t="s">
        <v>1888</v>
      </c>
      <c r="H946" s="17">
        <v>0.5</v>
      </c>
      <c r="I946" s="18">
        <v>710000000</v>
      </c>
      <c r="J946" s="4" t="s">
        <v>1931</v>
      </c>
      <c r="K946" s="4" t="s">
        <v>5297</v>
      </c>
      <c r="L946" s="7" t="s">
        <v>1940</v>
      </c>
      <c r="M946" s="8" t="s">
        <v>3195</v>
      </c>
      <c r="N946" s="8" t="s">
        <v>1890</v>
      </c>
      <c r="O946" s="8" t="s">
        <v>1935</v>
      </c>
      <c r="P946" s="1">
        <v>778</v>
      </c>
      <c r="Q946" s="4" t="s">
        <v>3327</v>
      </c>
      <c r="R946" s="10">
        <f>392</f>
        <v>392</v>
      </c>
      <c r="S946" s="10">
        <v>447.32</v>
      </c>
      <c r="T946" s="10">
        <f t="shared" si="393"/>
        <v>175349.44</v>
      </c>
      <c r="U946" s="10">
        <f t="shared" si="394"/>
        <v>196391.37280000001</v>
      </c>
      <c r="V946" s="8"/>
      <c r="W946" s="11">
        <v>2015</v>
      </c>
      <c r="X946" s="1"/>
    </row>
    <row r="947" spans="1:24" ht="76.5" customHeight="1" outlineLevel="1" x14ac:dyDescent="0.2">
      <c r="A947" s="1" t="s">
        <v>4845</v>
      </c>
      <c r="B947" s="18" t="s">
        <v>5277</v>
      </c>
      <c r="C947" s="18" t="s">
        <v>2253</v>
      </c>
      <c r="D947" s="18" t="s">
        <v>2254</v>
      </c>
      <c r="E947" s="18" t="s">
        <v>2255</v>
      </c>
      <c r="F947" s="25" t="s">
        <v>2264</v>
      </c>
      <c r="G947" s="1" t="s">
        <v>1888</v>
      </c>
      <c r="H947" s="17">
        <v>0.5</v>
      </c>
      <c r="I947" s="18">
        <v>710000000</v>
      </c>
      <c r="J947" s="4" t="s">
        <v>1931</v>
      </c>
      <c r="K947" s="4" t="s">
        <v>5297</v>
      </c>
      <c r="L947" s="7" t="s">
        <v>1940</v>
      </c>
      <c r="M947" s="8" t="s">
        <v>3195</v>
      </c>
      <c r="N947" s="8" t="s">
        <v>1890</v>
      </c>
      <c r="O947" s="8" t="s">
        <v>1935</v>
      </c>
      <c r="P947" s="1">
        <v>778</v>
      </c>
      <c r="Q947" s="4" t="s">
        <v>3327</v>
      </c>
      <c r="R947" s="10">
        <v>384</v>
      </c>
      <c r="S947" s="10">
        <v>343.75</v>
      </c>
      <c r="T947" s="10">
        <f t="shared" si="393"/>
        <v>132000</v>
      </c>
      <c r="U947" s="10">
        <f t="shared" si="394"/>
        <v>147840</v>
      </c>
      <c r="V947" s="8"/>
      <c r="W947" s="11">
        <v>2015</v>
      </c>
      <c r="X947" s="1"/>
    </row>
    <row r="948" spans="1:24" ht="76.5" customHeight="1" outlineLevel="1" x14ac:dyDescent="0.2">
      <c r="A948" s="1" t="s">
        <v>4846</v>
      </c>
      <c r="B948" s="18" t="s">
        <v>5277</v>
      </c>
      <c r="C948" s="25" t="s">
        <v>2265</v>
      </c>
      <c r="D948" s="25" t="s">
        <v>5661</v>
      </c>
      <c r="E948" s="25" t="s">
        <v>2266</v>
      </c>
      <c r="F948" s="25" t="s">
        <v>2267</v>
      </c>
      <c r="G948" s="1" t="s">
        <v>1888</v>
      </c>
      <c r="H948" s="17">
        <v>0.5</v>
      </c>
      <c r="I948" s="18">
        <v>710000000</v>
      </c>
      <c r="J948" s="4" t="s">
        <v>1931</v>
      </c>
      <c r="K948" s="4" t="s">
        <v>5297</v>
      </c>
      <c r="L948" s="7" t="s">
        <v>1940</v>
      </c>
      <c r="M948" s="8" t="s">
        <v>3195</v>
      </c>
      <c r="N948" s="8" t="s">
        <v>1890</v>
      </c>
      <c r="O948" s="8" t="s">
        <v>1935</v>
      </c>
      <c r="P948" s="8">
        <v>796</v>
      </c>
      <c r="Q948" s="8" t="s">
        <v>3196</v>
      </c>
      <c r="R948" s="10">
        <f>384+1788+40</f>
        <v>2212</v>
      </c>
      <c r="S948" s="10">
        <v>81.25</v>
      </c>
      <c r="T948" s="10">
        <v>0</v>
      </c>
      <c r="U948" s="10">
        <f t="shared" si="394"/>
        <v>0</v>
      </c>
      <c r="V948" s="8"/>
      <c r="W948" s="11">
        <v>2015</v>
      </c>
      <c r="X948" s="1" t="s">
        <v>6562</v>
      </c>
    </row>
    <row r="949" spans="1:24" ht="76.5" customHeight="1" outlineLevel="1" x14ac:dyDescent="0.2">
      <c r="A949" s="1" t="s">
        <v>6605</v>
      </c>
      <c r="B949" s="18" t="s">
        <v>5277</v>
      </c>
      <c r="C949" s="25" t="s">
        <v>2265</v>
      </c>
      <c r="D949" s="25" t="s">
        <v>5661</v>
      </c>
      <c r="E949" s="25" t="s">
        <v>2266</v>
      </c>
      <c r="F949" s="25" t="s">
        <v>2267</v>
      </c>
      <c r="G949" s="1" t="s">
        <v>1888</v>
      </c>
      <c r="H949" s="17">
        <v>0.5</v>
      </c>
      <c r="I949" s="18">
        <v>710000000</v>
      </c>
      <c r="J949" s="4" t="s">
        <v>1931</v>
      </c>
      <c r="K949" s="4" t="s">
        <v>5297</v>
      </c>
      <c r="L949" s="7" t="s">
        <v>1940</v>
      </c>
      <c r="M949" s="8" t="s">
        <v>3195</v>
      </c>
      <c r="N949" s="8" t="s">
        <v>1890</v>
      </c>
      <c r="O949" s="8" t="s">
        <v>1935</v>
      </c>
      <c r="P949" s="8">
        <v>796</v>
      </c>
      <c r="Q949" s="8" t="s">
        <v>3196</v>
      </c>
      <c r="R949" s="10">
        <f>384+1788+40-252</f>
        <v>1960</v>
      </c>
      <c r="S949" s="10">
        <v>81.25</v>
      </c>
      <c r="T949" s="10">
        <f t="shared" ref="T949" si="411">S949*R949</f>
        <v>159250</v>
      </c>
      <c r="U949" s="10">
        <f t="shared" ref="U949" si="412">T949*1.12</f>
        <v>178360.00000000003</v>
      </c>
      <c r="V949" s="8"/>
      <c r="W949" s="11">
        <v>2015</v>
      </c>
      <c r="X949" s="1"/>
    </row>
    <row r="950" spans="1:24" ht="76.5" customHeight="1" outlineLevel="1" x14ac:dyDescent="0.2">
      <c r="A950" s="1" t="s">
        <v>4847</v>
      </c>
      <c r="B950" s="24" t="s">
        <v>5277</v>
      </c>
      <c r="C950" s="7" t="s">
        <v>1822</v>
      </c>
      <c r="D950" s="7" t="s">
        <v>5529</v>
      </c>
      <c r="E950" s="18" t="s">
        <v>5530</v>
      </c>
      <c r="F950" s="25"/>
      <c r="G950" s="1" t="s">
        <v>1888</v>
      </c>
      <c r="H950" s="17">
        <v>0.5</v>
      </c>
      <c r="I950" s="18">
        <v>710000000</v>
      </c>
      <c r="J950" s="4" t="s">
        <v>1931</v>
      </c>
      <c r="K950" s="4" t="s">
        <v>5297</v>
      </c>
      <c r="L950" s="7" t="s">
        <v>1940</v>
      </c>
      <c r="M950" s="8" t="s">
        <v>3195</v>
      </c>
      <c r="N950" s="8" t="s">
        <v>1890</v>
      </c>
      <c r="O950" s="8" t="s">
        <v>1935</v>
      </c>
      <c r="P950" s="8">
        <v>796</v>
      </c>
      <c r="Q950" s="8" t="s">
        <v>3196</v>
      </c>
      <c r="R950" s="10">
        <f>30+5+20+149</f>
        <v>204</v>
      </c>
      <c r="S950" s="10">
        <v>239.29</v>
      </c>
      <c r="T950" s="10">
        <v>0</v>
      </c>
      <c r="U950" s="10">
        <f t="shared" si="394"/>
        <v>0</v>
      </c>
      <c r="V950" s="8"/>
      <c r="W950" s="11">
        <v>2015</v>
      </c>
      <c r="X950" s="1" t="s">
        <v>6562</v>
      </c>
    </row>
    <row r="951" spans="1:24" ht="76.5" customHeight="1" outlineLevel="1" x14ac:dyDescent="0.2">
      <c r="A951" s="1" t="s">
        <v>6598</v>
      </c>
      <c r="B951" s="24" t="s">
        <v>5277</v>
      </c>
      <c r="C951" s="7" t="s">
        <v>1822</v>
      </c>
      <c r="D951" s="7" t="s">
        <v>5529</v>
      </c>
      <c r="E951" s="18" t="s">
        <v>5530</v>
      </c>
      <c r="F951" s="25"/>
      <c r="G951" s="1" t="s">
        <v>1888</v>
      </c>
      <c r="H951" s="17">
        <v>0.5</v>
      </c>
      <c r="I951" s="18">
        <v>710000000</v>
      </c>
      <c r="J951" s="4" t="s">
        <v>1931</v>
      </c>
      <c r="K951" s="4" t="s">
        <v>5297</v>
      </c>
      <c r="L951" s="7" t="s">
        <v>1940</v>
      </c>
      <c r="M951" s="8" t="s">
        <v>3195</v>
      </c>
      <c r="N951" s="8" t="s">
        <v>1890</v>
      </c>
      <c r="O951" s="8" t="s">
        <v>1935</v>
      </c>
      <c r="P951" s="8">
        <v>796</v>
      </c>
      <c r="Q951" s="8" t="s">
        <v>3196</v>
      </c>
      <c r="R951" s="10">
        <f>30+5+20+149-21</f>
        <v>183</v>
      </c>
      <c r="S951" s="10">
        <v>239.29</v>
      </c>
      <c r="T951" s="10">
        <f t="shared" ref="T951" si="413">S951*R951</f>
        <v>43790.07</v>
      </c>
      <c r="U951" s="10">
        <f t="shared" ref="U951" si="414">T951*1.12</f>
        <v>49044.878400000001</v>
      </c>
      <c r="V951" s="8"/>
      <c r="W951" s="11">
        <v>2015</v>
      </c>
      <c r="X951" s="1"/>
    </row>
    <row r="952" spans="1:24" ht="76.5" customHeight="1" outlineLevel="1" x14ac:dyDescent="0.2">
      <c r="A952" s="1" t="s">
        <v>4848</v>
      </c>
      <c r="B952" s="24" t="s">
        <v>5277</v>
      </c>
      <c r="C952" s="25" t="s">
        <v>2268</v>
      </c>
      <c r="D952" s="25" t="s">
        <v>5529</v>
      </c>
      <c r="E952" s="25" t="s">
        <v>5561</v>
      </c>
      <c r="F952" s="25" t="s">
        <v>2269</v>
      </c>
      <c r="G952" s="1" t="s">
        <v>1888</v>
      </c>
      <c r="H952" s="17">
        <v>0.5</v>
      </c>
      <c r="I952" s="18">
        <v>710000000</v>
      </c>
      <c r="J952" s="4" t="s">
        <v>1931</v>
      </c>
      <c r="K952" s="4" t="s">
        <v>5297</v>
      </c>
      <c r="L952" s="7" t="s">
        <v>1940</v>
      </c>
      <c r="M952" s="8" t="s">
        <v>3195</v>
      </c>
      <c r="N952" s="8" t="s">
        <v>1890</v>
      </c>
      <c r="O952" s="8" t="s">
        <v>1935</v>
      </c>
      <c r="P952" s="8">
        <v>796</v>
      </c>
      <c r="Q952" s="8" t="s">
        <v>3196</v>
      </c>
      <c r="R952" s="10">
        <f>96+149+1+2+4+20</f>
        <v>272</v>
      </c>
      <c r="S952" s="10">
        <v>477.68</v>
      </c>
      <c r="T952" s="10">
        <v>0</v>
      </c>
      <c r="U952" s="10">
        <f t="shared" si="394"/>
        <v>0</v>
      </c>
      <c r="V952" s="8"/>
      <c r="W952" s="11">
        <v>2015</v>
      </c>
      <c r="X952" s="1" t="s">
        <v>6562</v>
      </c>
    </row>
    <row r="953" spans="1:24" ht="76.5" customHeight="1" outlineLevel="1" x14ac:dyDescent="0.2">
      <c r="A953" s="1" t="s">
        <v>6587</v>
      </c>
      <c r="B953" s="24" t="s">
        <v>5277</v>
      </c>
      <c r="C953" s="25" t="s">
        <v>2268</v>
      </c>
      <c r="D953" s="25" t="s">
        <v>5529</v>
      </c>
      <c r="E953" s="25" t="s">
        <v>5561</v>
      </c>
      <c r="F953" s="25" t="s">
        <v>2269</v>
      </c>
      <c r="G953" s="1" t="s">
        <v>1888</v>
      </c>
      <c r="H953" s="17">
        <v>0.5</v>
      </c>
      <c r="I953" s="18">
        <v>710000000</v>
      </c>
      <c r="J953" s="4" t="s">
        <v>1931</v>
      </c>
      <c r="K953" s="4" t="s">
        <v>5297</v>
      </c>
      <c r="L953" s="7" t="s">
        <v>1940</v>
      </c>
      <c r="M953" s="8" t="s">
        <v>3195</v>
      </c>
      <c r="N953" s="8" t="s">
        <v>1890</v>
      </c>
      <c r="O953" s="8" t="s">
        <v>1935</v>
      </c>
      <c r="P953" s="8">
        <v>796</v>
      </c>
      <c r="Q953" s="8" t="s">
        <v>3196</v>
      </c>
      <c r="R953" s="10">
        <f>96+149+1+2+4+20-21</f>
        <v>251</v>
      </c>
      <c r="S953" s="10">
        <v>477.68</v>
      </c>
      <c r="T953" s="10">
        <f t="shared" ref="T953" si="415">S953*R953</f>
        <v>119897.68000000001</v>
      </c>
      <c r="U953" s="10">
        <f t="shared" ref="U953" si="416">T953*1.12</f>
        <v>134285.40160000001</v>
      </c>
      <c r="V953" s="8"/>
      <c r="W953" s="11">
        <v>2015</v>
      </c>
      <c r="X953" s="1"/>
    </row>
    <row r="954" spans="1:24" ht="76.5" customHeight="1" outlineLevel="1" x14ac:dyDescent="0.2">
      <c r="A954" s="1" t="s">
        <v>4849</v>
      </c>
      <c r="B954" s="24" t="s">
        <v>5277</v>
      </c>
      <c r="C954" s="25" t="s">
        <v>5131</v>
      </c>
      <c r="D954" s="25" t="s">
        <v>5529</v>
      </c>
      <c r="E954" s="25" t="s">
        <v>5682</v>
      </c>
      <c r="F954" s="25" t="s">
        <v>6609</v>
      </c>
      <c r="G954" s="1" t="s">
        <v>1888</v>
      </c>
      <c r="H954" s="17">
        <v>0.5</v>
      </c>
      <c r="I954" s="18">
        <v>710000000</v>
      </c>
      <c r="J954" s="4" t="s">
        <v>1931</v>
      </c>
      <c r="K954" s="4" t="s">
        <v>5297</v>
      </c>
      <c r="L954" s="7" t="s">
        <v>1940</v>
      </c>
      <c r="M954" s="8" t="s">
        <v>3195</v>
      </c>
      <c r="N954" s="8" t="s">
        <v>1890</v>
      </c>
      <c r="O954" s="8" t="s">
        <v>1935</v>
      </c>
      <c r="P954" s="8">
        <v>796</v>
      </c>
      <c r="Q954" s="8" t="s">
        <v>3196</v>
      </c>
      <c r="R954" s="10">
        <v>1788</v>
      </c>
      <c r="S954" s="10">
        <v>191.07</v>
      </c>
      <c r="T954" s="10">
        <v>0</v>
      </c>
      <c r="U954" s="10">
        <f t="shared" si="394"/>
        <v>0</v>
      </c>
      <c r="V954" s="8"/>
      <c r="W954" s="11">
        <v>2015</v>
      </c>
      <c r="X954" s="1" t="s">
        <v>6562</v>
      </c>
    </row>
    <row r="955" spans="1:24" ht="76.5" customHeight="1" outlineLevel="1" x14ac:dyDescent="0.2">
      <c r="A955" s="1" t="s">
        <v>6610</v>
      </c>
      <c r="B955" s="24" t="s">
        <v>5277</v>
      </c>
      <c r="C955" s="25" t="s">
        <v>5131</v>
      </c>
      <c r="D955" s="25" t="s">
        <v>5529</v>
      </c>
      <c r="E955" s="25" t="s">
        <v>5682</v>
      </c>
      <c r="F955" s="25" t="s">
        <v>6609</v>
      </c>
      <c r="G955" s="1" t="s">
        <v>1888</v>
      </c>
      <c r="H955" s="17">
        <v>0.5</v>
      </c>
      <c r="I955" s="18">
        <v>710000000</v>
      </c>
      <c r="J955" s="4" t="s">
        <v>1931</v>
      </c>
      <c r="K955" s="4" t="s">
        <v>5297</v>
      </c>
      <c r="L955" s="7" t="s">
        <v>1940</v>
      </c>
      <c r="M955" s="8" t="s">
        <v>3195</v>
      </c>
      <c r="N955" s="8" t="s">
        <v>1890</v>
      </c>
      <c r="O955" s="8" t="s">
        <v>1935</v>
      </c>
      <c r="P955" s="8">
        <v>796</v>
      </c>
      <c r="Q955" s="8" t="s">
        <v>3196</v>
      </c>
      <c r="R955" s="10">
        <f>1788-252</f>
        <v>1536</v>
      </c>
      <c r="S955" s="10">
        <v>191.07</v>
      </c>
      <c r="T955" s="10">
        <f t="shared" ref="T955" si="417">S955*R955</f>
        <v>293483.52000000002</v>
      </c>
      <c r="U955" s="10">
        <f t="shared" ref="U955" si="418">T955*1.12</f>
        <v>328701.54240000003</v>
      </c>
      <c r="V955" s="8"/>
      <c r="W955" s="11">
        <v>2015</v>
      </c>
      <c r="X955" s="1"/>
    </row>
    <row r="956" spans="1:24" ht="76.5" customHeight="1" outlineLevel="1" x14ac:dyDescent="0.2">
      <c r="A956" s="1" t="s">
        <v>4850</v>
      </c>
      <c r="B956" s="24" t="s">
        <v>5277</v>
      </c>
      <c r="C956" s="7" t="s">
        <v>1828</v>
      </c>
      <c r="D956" s="7" t="s">
        <v>3133</v>
      </c>
      <c r="E956" s="18" t="s">
        <v>5634</v>
      </c>
      <c r="F956" s="25"/>
      <c r="G956" s="1" t="s">
        <v>1888</v>
      </c>
      <c r="H956" s="17">
        <v>0.5</v>
      </c>
      <c r="I956" s="18">
        <v>710000000</v>
      </c>
      <c r="J956" s="4" t="s">
        <v>1931</v>
      </c>
      <c r="K956" s="4" t="s">
        <v>5297</v>
      </c>
      <c r="L956" s="7" t="s">
        <v>1940</v>
      </c>
      <c r="M956" s="8" t="s">
        <v>3195</v>
      </c>
      <c r="N956" s="8" t="s">
        <v>1890</v>
      </c>
      <c r="O956" s="8" t="s">
        <v>1935</v>
      </c>
      <c r="P956" s="8">
        <v>796</v>
      </c>
      <c r="Q956" s="8" t="s">
        <v>3196</v>
      </c>
      <c r="R956" s="10">
        <f>149+4+10+2+2</f>
        <v>167</v>
      </c>
      <c r="S956" s="10">
        <v>2436</v>
      </c>
      <c r="T956" s="10">
        <v>0</v>
      </c>
      <c r="U956" s="10">
        <f t="shared" si="394"/>
        <v>0</v>
      </c>
      <c r="V956" s="8"/>
      <c r="W956" s="11">
        <v>2015</v>
      </c>
      <c r="X956" s="1" t="s">
        <v>6562</v>
      </c>
    </row>
    <row r="957" spans="1:24" ht="76.5" customHeight="1" outlineLevel="1" x14ac:dyDescent="0.2">
      <c r="A957" s="1" t="s">
        <v>6607</v>
      </c>
      <c r="B957" s="24" t="s">
        <v>5277</v>
      </c>
      <c r="C957" s="7" t="s">
        <v>1828</v>
      </c>
      <c r="D957" s="7" t="s">
        <v>3133</v>
      </c>
      <c r="E957" s="18" t="s">
        <v>5634</v>
      </c>
      <c r="F957" s="25"/>
      <c r="G957" s="1" t="s">
        <v>1888</v>
      </c>
      <c r="H957" s="17">
        <v>0.5</v>
      </c>
      <c r="I957" s="18">
        <v>710000000</v>
      </c>
      <c r="J957" s="4" t="s">
        <v>1931</v>
      </c>
      <c r="K957" s="4" t="s">
        <v>5297</v>
      </c>
      <c r="L957" s="7" t="s">
        <v>1940</v>
      </c>
      <c r="M957" s="8" t="s">
        <v>3195</v>
      </c>
      <c r="N957" s="8" t="s">
        <v>1890</v>
      </c>
      <c r="O957" s="8" t="s">
        <v>1935</v>
      </c>
      <c r="P957" s="8">
        <v>796</v>
      </c>
      <c r="Q957" s="8" t="s">
        <v>3196</v>
      </c>
      <c r="R957" s="10">
        <f>149+4+10+2+2-21</f>
        <v>146</v>
      </c>
      <c r="S957" s="10">
        <v>2436</v>
      </c>
      <c r="T957" s="10">
        <f t="shared" ref="T957" si="419">S957*R957</f>
        <v>355656</v>
      </c>
      <c r="U957" s="10">
        <f t="shared" ref="U957" si="420">T957*1.12</f>
        <v>398334.72000000003</v>
      </c>
      <c r="V957" s="8"/>
      <c r="W957" s="11">
        <v>2015</v>
      </c>
      <c r="X957" s="1"/>
    </row>
    <row r="958" spans="1:24" ht="76.5" customHeight="1" outlineLevel="1" x14ac:dyDescent="0.2">
      <c r="A958" s="1" t="s">
        <v>4851</v>
      </c>
      <c r="B958" s="24" t="s">
        <v>5277</v>
      </c>
      <c r="C958" s="7" t="s">
        <v>3132</v>
      </c>
      <c r="D958" s="7" t="s">
        <v>3133</v>
      </c>
      <c r="E958" s="18" t="s">
        <v>5632</v>
      </c>
      <c r="F958" s="25" t="s">
        <v>2270</v>
      </c>
      <c r="G958" s="1" t="s">
        <v>1888</v>
      </c>
      <c r="H958" s="17">
        <v>0.5</v>
      </c>
      <c r="I958" s="18">
        <v>710000000</v>
      </c>
      <c r="J958" s="4" t="s">
        <v>1931</v>
      </c>
      <c r="K958" s="4" t="s">
        <v>5297</v>
      </c>
      <c r="L958" s="7" t="s">
        <v>1940</v>
      </c>
      <c r="M958" s="8" t="s">
        <v>3195</v>
      </c>
      <c r="N958" s="8" t="s">
        <v>1890</v>
      </c>
      <c r="O958" s="8" t="s">
        <v>1935</v>
      </c>
      <c r="P958" s="8">
        <v>796</v>
      </c>
      <c r="Q958" s="8" t="s">
        <v>3196</v>
      </c>
      <c r="R958" s="10">
        <f>298+4+98+4+2+20+20</f>
        <v>446</v>
      </c>
      <c r="S958" s="10">
        <v>2371.4299999999998</v>
      </c>
      <c r="T958" s="10">
        <v>0</v>
      </c>
      <c r="U958" s="10">
        <f t="shared" si="394"/>
        <v>0</v>
      </c>
      <c r="V958" s="8"/>
      <c r="W958" s="11">
        <v>2015</v>
      </c>
      <c r="X958" s="1" t="s">
        <v>6562</v>
      </c>
    </row>
    <row r="959" spans="1:24" ht="76.5" customHeight="1" outlineLevel="1" x14ac:dyDescent="0.2">
      <c r="A959" s="1" t="s">
        <v>6588</v>
      </c>
      <c r="B959" s="24" t="s">
        <v>5277</v>
      </c>
      <c r="C959" s="7" t="s">
        <v>3132</v>
      </c>
      <c r="D959" s="7" t="s">
        <v>3133</v>
      </c>
      <c r="E959" s="18" t="s">
        <v>5632</v>
      </c>
      <c r="F959" s="25" t="s">
        <v>2270</v>
      </c>
      <c r="G959" s="1" t="s">
        <v>1888</v>
      </c>
      <c r="H959" s="17">
        <v>0.5</v>
      </c>
      <c r="I959" s="18">
        <v>710000000</v>
      </c>
      <c r="J959" s="4" t="s">
        <v>1931</v>
      </c>
      <c r="K959" s="4" t="s">
        <v>5297</v>
      </c>
      <c r="L959" s="7" t="s">
        <v>1940</v>
      </c>
      <c r="M959" s="8" t="s">
        <v>3195</v>
      </c>
      <c r="N959" s="8" t="s">
        <v>1890</v>
      </c>
      <c r="O959" s="8" t="s">
        <v>1935</v>
      </c>
      <c r="P959" s="8">
        <v>796</v>
      </c>
      <c r="Q959" s="8" t="s">
        <v>3196</v>
      </c>
      <c r="R959" s="10">
        <f>298+4+98+4+2+20+20-42</f>
        <v>404</v>
      </c>
      <c r="S959" s="10">
        <v>2371.4299999999998</v>
      </c>
      <c r="T959" s="10">
        <f t="shared" ref="T959" si="421">S959*R959</f>
        <v>958057.72</v>
      </c>
      <c r="U959" s="10">
        <f t="shared" ref="U959" si="422">T959*1.12</f>
        <v>1073024.6464</v>
      </c>
      <c r="V959" s="8"/>
      <c r="W959" s="11">
        <v>2015</v>
      </c>
      <c r="X959" s="1"/>
    </row>
    <row r="960" spans="1:24" ht="76.5" customHeight="1" outlineLevel="1" x14ac:dyDescent="0.2">
      <c r="A960" s="1" t="s">
        <v>4852</v>
      </c>
      <c r="B960" s="24" t="s">
        <v>5277</v>
      </c>
      <c r="C960" s="7" t="s">
        <v>1827</v>
      </c>
      <c r="D960" s="7" t="s">
        <v>3133</v>
      </c>
      <c r="E960" s="18" t="s">
        <v>5633</v>
      </c>
      <c r="F960" s="25"/>
      <c r="G960" s="1" t="s">
        <v>1888</v>
      </c>
      <c r="H960" s="17">
        <v>0.5</v>
      </c>
      <c r="I960" s="18">
        <v>710000000</v>
      </c>
      <c r="J960" s="4" t="s">
        <v>1931</v>
      </c>
      <c r="K960" s="4" t="s">
        <v>5297</v>
      </c>
      <c r="L960" s="7" t="s">
        <v>1940</v>
      </c>
      <c r="M960" s="8" t="s">
        <v>3195</v>
      </c>
      <c r="N960" s="8" t="s">
        <v>1890</v>
      </c>
      <c r="O960" s="8" t="s">
        <v>1935</v>
      </c>
      <c r="P960" s="8">
        <v>796</v>
      </c>
      <c r="Q960" s="8" t="s">
        <v>3196</v>
      </c>
      <c r="R960" s="10">
        <f>215+15+16+10+4+4+4</f>
        <v>268</v>
      </c>
      <c r="S960" s="10">
        <v>565.17999999999995</v>
      </c>
      <c r="T960" s="10">
        <v>0</v>
      </c>
      <c r="U960" s="10">
        <f t="shared" si="394"/>
        <v>0</v>
      </c>
      <c r="V960" s="8"/>
      <c r="W960" s="11">
        <v>2015</v>
      </c>
      <c r="X960" s="1" t="s">
        <v>6562</v>
      </c>
    </row>
    <row r="961" spans="1:24" ht="76.5" customHeight="1" outlineLevel="1" x14ac:dyDescent="0.2">
      <c r="A961" s="1" t="s">
        <v>6589</v>
      </c>
      <c r="B961" s="24" t="s">
        <v>5277</v>
      </c>
      <c r="C961" s="7" t="s">
        <v>1827</v>
      </c>
      <c r="D961" s="7" t="s">
        <v>3133</v>
      </c>
      <c r="E961" s="18" t="s">
        <v>5633</v>
      </c>
      <c r="F961" s="25"/>
      <c r="G961" s="1" t="s">
        <v>1888</v>
      </c>
      <c r="H961" s="17">
        <v>0.5</v>
      </c>
      <c r="I961" s="18">
        <v>710000000</v>
      </c>
      <c r="J961" s="4" t="s">
        <v>1931</v>
      </c>
      <c r="K961" s="4" t="s">
        <v>5297</v>
      </c>
      <c r="L961" s="7" t="s">
        <v>1940</v>
      </c>
      <c r="M961" s="8" t="s">
        <v>3195</v>
      </c>
      <c r="N961" s="8" t="s">
        <v>1890</v>
      </c>
      <c r="O961" s="8" t="s">
        <v>1935</v>
      </c>
      <c r="P961" s="8">
        <v>796</v>
      </c>
      <c r="Q961" s="8" t="s">
        <v>3196</v>
      </c>
      <c r="R961" s="10">
        <f>215+15+16+10+4+4+4-21</f>
        <v>247</v>
      </c>
      <c r="S961" s="10">
        <v>565.17999999999995</v>
      </c>
      <c r="T961" s="10">
        <f t="shared" ref="T961" si="423">S961*R961</f>
        <v>139599.46</v>
      </c>
      <c r="U961" s="10">
        <f t="shared" ref="U961" si="424">T961*1.12</f>
        <v>156351.3952</v>
      </c>
      <c r="V961" s="8"/>
      <c r="W961" s="11">
        <v>2015</v>
      </c>
      <c r="X961" s="1"/>
    </row>
    <row r="962" spans="1:24" ht="76.5" customHeight="1" outlineLevel="1" x14ac:dyDescent="0.2">
      <c r="A962" s="1" t="s">
        <v>4853</v>
      </c>
      <c r="B962" s="24" t="s">
        <v>5277</v>
      </c>
      <c r="C962" s="7" t="s">
        <v>5133</v>
      </c>
      <c r="D962" s="7" t="s">
        <v>5684</v>
      </c>
      <c r="E962" s="7" t="s">
        <v>5685</v>
      </c>
      <c r="F962" s="25"/>
      <c r="G962" s="1" t="s">
        <v>1888</v>
      </c>
      <c r="H962" s="17">
        <v>0.5</v>
      </c>
      <c r="I962" s="18">
        <v>710000000</v>
      </c>
      <c r="J962" s="4" t="s">
        <v>1931</v>
      </c>
      <c r="K962" s="4" t="s">
        <v>5297</v>
      </c>
      <c r="L962" s="7" t="s">
        <v>1940</v>
      </c>
      <c r="M962" s="8" t="s">
        <v>3195</v>
      </c>
      <c r="N962" s="8" t="s">
        <v>1890</v>
      </c>
      <c r="O962" s="8" t="s">
        <v>1935</v>
      </c>
      <c r="P962" s="8">
        <v>796</v>
      </c>
      <c r="Q962" s="8" t="s">
        <v>3196</v>
      </c>
      <c r="R962" s="10">
        <v>149</v>
      </c>
      <c r="S962" s="10">
        <v>17016.96</v>
      </c>
      <c r="T962" s="10">
        <v>0</v>
      </c>
      <c r="U962" s="10">
        <f t="shared" si="394"/>
        <v>0</v>
      </c>
      <c r="V962" s="8"/>
      <c r="W962" s="11">
        <v>2015</v>
      </c>
      <c r="X962" s="1" t="s">
        <v>6562</v>
      </c>
    </row>
    <row r="963" spans="1:24" ht="76.5" customHeight="1" outlineLevel="1" x14ac:dyDescent="0.2">
      <c r="A963" s="1" t="s">
        <v>6599</v>
      </c>
      <c r="B963" s="24" t="s">
        <v>5277</v>
      </c>
      <c r="C963" s="7" t="s">
        <v>5133</v>
      </c>
      <c r="D963" s="7" t="s">
        <v>5684</v>
      </c>
      <c r="E963" s="7" t="s">
        <v>5685</v>
      </c>
      <c r="F963" s="25"/>
      <c r="G963" s="1" t="s">
        <v>1888</v>
      </c>
      <c r="H963" s="17">
        <v>0.5</v>
      </c>
      <c r="I963" s="18">
        <v>710000000</v>
      </c>
      <c r="J963" s="4" t="s">
        <v>1931</v>
      </c>
      <c r="K963" s="4" t="s">
        <v>5297</v>
      </c>
      <c r="L963" s="7" t="s">
        <v>1940</v>
      </c>
      <c r="M963" s="8" t="s">
        <v>3195</v>
      </c>
      <c r="N963" s="8" t="s">
        <v>1890</v>
      </c>
      <c r="O963" s="8" t="s">
        <v>1935</v>
      </c>
      <c r="P963" s="8">
        <v>796</v>
      </c>
      <c r="Q963" s="8" t="s">
        <v>3196</v>
      </c>
      <c r="R963" s="10">
        <f>149-21</f>
        <v>128</v>
      </c>
      <c r="S963" s="10">
        <v>17016.96</v>
      </c>
      <c r="T963" s="10">
        <f t="shared" ref="T963" si="425">S963*R963</f>
        <v>2178170.8799999999</v>
      </c>
      <c r="U963" s="10">
        <f t="shared" ref="U963" si="426">T963*1.12</f>
        <v>2439551.3856000002</v>
      </c>
      <c r="V963" s="8"/>
      <c r="W963" s="11">
        <v>2015</v>
      </c>
      <c r="X963" s="1"/>
    </row>
    <row r="964" spans="1:24" ht="76.5" customHeight="1" outlineLevel="1" x14ac:dyDescent="0.2">
      <c r="A964" s="1" t="s">
        <v>4854</v>
      </c>
      <c r="B964" s="24" t="s">
        <v>5277</v>
      </c>
      <c r="C964" s="7" t="s">
        <v>1829</v>
      </c>
      <c r="D964" s="7" t="s">
        <v>5526</v>
      </c>
      <c r="E964" s="18" t="s">
        <v>5527</v>
      </c>
      <c r="F964" s="25" t="s">
        <v>5528</v>
      </c>
      <c r="G964" s="1" t="s">
        <v>1888</v>
      </c>
      <c r="H964" s="17">
        <v>0.5</v>
      </c>
      <c r="I964" s="18">
        <v>710000000</v>
      </c>
      <c r="J964" s="4" t="s">
        <v>1931</v>
      </c>
      <c r="K964" s="4" t="s">
        <v>5297</v>
      </c>
      <c r="L964" s="7" t="s">
        <v>1940</v>
      </c>
      <c r="M964" s="8" t="s">
        <v>3195</v>
      </c>
      <c r="N964" s="8" t="s">
        <v>1890</v>
      </c>
      <c r="O964" s="8" t="s">
        <v>1935</v>
      </c>
      <c r="P964" s="8">
        <v>796</v>
      </c>
      <c r="Q964" s="8" t="s">
        <v>3196</v>
      </c>
      <c r="R964" s="10">
        <f>20+450</f>
        <v>470</v>
      </c>
      <c r="S964" s="10">
        <v>487</v>
      </c>
      <c r="T964" s="10">
        <f t="shared" si="393"/>
        <v>228890</v>
      </c>
      <c r="U964" s="10">
        <f t="shared" si="394"/>
        <v>256356.80000000002</v>
      </c>
      <c r="V964" s="8"/>
      <c r="W964" s="11">
        <v>2015</v>
      </c>
      <c r="X964" s="1"/>
    </row>
    <row r="965" spans="1:24" ht="76.5" customHeight="1" outlineLevel="1" x14ac:dyDescent="0.2">
      <c r="A965" s="1" t="s">
        <v>4855</v>
      </c>
      <c r="B965" s="24" t="s">
        <v>5277</v>
      </c>
      <c r="C965" s="7" t="s">
        <v>1830</v>
      </c>
      <c r="D965" s="7" t="s">
        <v>5554</v>
      </c>
      <c r="E965" s="18" t="s">
        <v>5527</v>
      </c>
      <c r="F965" s="25" t="s">
        <v>5555</v>
      </c>
      <c r="G965" s="1" t="s">
        <v>1888</v>
      </c>
      <c r="H965" s="17">
        <v>0.5</v>
      </c>
      <c r="I965" s="18">
        <v>710000000</v>
      </c>
      <c r="J965" s="4" t="s">
        <v>1931</v>
      </c>
      <c r="K965" s="4" t="s">
        <v>5297</v>
      </c>
      <c r="L965" s="7" t="s">
        <v>1940</v>
      </c>
      <c r="M965" s="8" t="s">
        <v>3195</v>
      </c>
      <c r="N965" s="8" t="s">
        <v>1890</v>
      </c>
      <c r="O965" s="8" t="s">
        <v>1935</v>
      </c>
      <c r="P965" s="8">
        <v>796</v>
      </c>
      <c r="Q965" s="8" t="s">
        <v>3196</v>
      </c>
      <c r="R965" s="10">
        <v>10</v>
      </c>
      <c r="S965" s="10">
        <v>316</v>
      </c>
      <c r="T965" s="10">
        <f t="shared" si="393"/>
        <v>3160</v>
      </c>
      <c r="U965" s="10">
        <f t="shared" si="394"/>
        <v>3539.2000000000003</v>
      </c>
      <c r="V965" s="8"/>
      <c r="W965" s="11">
        <v>2015</v>
      </c>
      <c r="X965" s="1"/>
    </row>
    <row r="966" spans="1:24" ht="76.5" customHeight="1" outlineLevel="1" x14ac:dyDescent="0.2">
      <c r="A966" s="1" t="s">
        <v>4856</v>
      </c>
      <c r="B966" s="24" t="s">
        <v>5277</v>
      </c>
      <c r="C966" s="25" t="s">
        <v>2271</v>
      </c>
      <c r="D966" s="25" t="s">
        <v>2272</v>
      </c>
      <c r="E966" s="25" t="s">
        <v>2273</v>
      </c>
      <c r="F966" s="25"/>
      <c r="G966" s="1" t="s">
        <v>1888</v>
      </c>
      <c r="H966" s="17">
        <v>0.5</v>
      </c>
      <c r="I966" s="18">
        <v>710000000</v>
      </c>
      <c r="J966" s="4" t="s">
        <v>1931</v>
      </c>
      <c r="K966" s="4" t="s">
        <v>5297</v>
      </c>
      <c r="L966" s="7" t="s">
        <v>1940</v>
      </c>
      <c r="M966" s="8" t="s">
        <v>3195</v>
      </c>
      <c r="N966" s="8" t="s">
        <v>1890</v>
      </c>
      <c r="O966" s="8" t="s">
        <v>1935</v>
      </c>
      <c r="P966" s="1">
        <v>839</v>
      </c>
      <c r="Q966" s="4" t="s">
        <v>5196</v>
      </c>
      <c r="R966" s="10">
        <f>182+4+4+4+5+98</f>
        <v>297</v>
      </c>
      <c r="S966" s="10">
        <v>1495.54</v>
      </c>
      <c r="T966" s="10">
        <v>0</v>
      </c>
      <c r="U966" s="10">
        <f t="shared" si="394"/>
        <v>0</v>
      </c>
      <c r="V966" s="8"/>
      <c r="W966" s="11">
        <v>2015</v>
      </c>
      <c r="X966" s="1" t="s">
        <v>6585</v>
      </c>
    </row>
    <row r="967" spans="1:24" ht="76.5" customHeight="1" outlineLevel="1" x14ac:dyDescent="0.2">
      <c r="A967" s="1" t="s">
        <v>6583</v>
      </c>
      <c r="B967" s="24" t="s">
        <v>5277</v>
      </c>
      <c r="C967" s="25" t="s">
        <v>2271</v>
      </c>
      <c r="D967" s="25" t="s">
        <v>2272</v>
      </c>
      <c r="E967" s="25" t="s">
        <v>2273</v>
      </c>
      <c r="F967" s="25" t="s">
        <v>6584</v>
      </c>
      <c r="G967" s="1" t="s">
        <v>1888</v>
      </c>
      <c r="H967" s="17">
        <v>0.5</v>
      </c>
      <c r="I967" s="18">
        <v>710000000</v>
      </c>
      <c r="J967" s="4" t="s">
        <v>1931</v>
      </c>
      <c r="K967" s="4" t="s">
        <v>5297</v>
      </c>
      <c r="L967" s="7" t="s">
        <v>1940</v>
      </c>
      <c r="M967" s="8" t="s">
        <v>3195</v>
      </c>
      <c r="N967" s="8" t="s">
        <v>1890</v>
      </c>
      <c r="O967" s="8" t="s">
        <v>1935</v>
      </c>
      <c r="P967" s="1">
        <v>839</v>
      </c>
      <c r="Q967" s="4" t="s">
        <v>5196</v>
      </c>
      <c r="R967" s="10">
        <f>182+4+4+4+5+98-21</f>
        <v>276</v>
      </c>
      <c r="S967" s="10">
        <v>1495.54</v>
      </c>
      <c r="T967" s="10">
        <f t="shared" ref="T967" si="427">S967*R967</f>
        <v>412769.04</v>
      </c>
      <c r="U967" s="10">
        <f t="shared" ref="U967" si="428">T967*1.12</f>
        <v>462301.3248</v>
      </c>
      <c r="V967" s="8"/>
      <c r="W967" s="11">
        <v>2015</v>
      </c>
      <c r="X967" s="1"/>
    </row>
    <row r="968" spans="1:24" ht="76.5" customHeight="1" outlineLevel="1" x14ac:dyDescent="0.2">
      <c r="A968" s="1" t="s">
        <v>4857</v>
      </c>
      <c r="B968" s="24" t="s">
        <v>5277</v>
      </c>
      <c r="C968" s="25" t="s">
        <v>3413</v>
      </c>
      <c r="D968" s="25" t="s">
        <v>5541</v>
      </c>
      <c r="E968" s="25" t="s">
        <v>5700</v>
      </c>
      <c r="F968" s="25" t="s">
        <v>2274</v>
      </c>
      <c r="G968" s="1" t="s">
        <v>1888</v>
      </c>
      <c r="H968" s="17">
        <v>0.5</v>
      </c>
      <c r="I968" s="18">
        <v>710000000</v>
      </c>
      <c r="J968" s="4" t="s">
        <v>1931</v>
      </c>
      <c r="K968" s="4" t="s">
        <v>5297</v>
      </c>
      <c r="L968" s="7" t="s">
        <v>1940</v>
      </c>
      <c r="M968" s="8" t="s">
        <v>3195</v>
      </c>
      <c r="N968" s="8" t="s">
        <v>1890</v>
      </c>
      <c r="O968" s="8" t="s">
        <v>1935</v>
      </c>
      <c r="P968" s="8">
        <v>796</v>
      </c>
      <c r="Q968" s="8" t="s">
        <v>3196</v>
      </c>
      <c r="R968" s="10">
        <f>4+4+4+20+196+364</f>
        <v>592</v>
      </c>
      <c r="S968" s="10">
        <v>623.21</v>
      </c>
      <c r="T968" s="10">
        <v>0</v>
      </c>
      <c r="U968" s="10">
        <f t="shared" si="394"/>
        <v>0</v>
      </c>
      <c r="V968" s="8"/>
      <c r="W968" s="11">
        <v>2015</v>
      </c>
      <c r="X968" s="1" t="s">
        <v>6562</v>
      </c>
    </row>
    <row r="969" spans="1:24" ht="76.5" customHeight="1" outlineLevel="1" x14ac:dyDescent="0.2">
      <c r="A969" s="1" t="s">
        <v>6988</v>
      </c>
      <c r="B969" s="24" t="s">
        <v>5277</v>
      </c>
      <c r="C969" s="25" t="s">
        <v>3413</v>
      </c>
      <c r="D969" s="25" t="s">
        <v>5541</v>
      </c>
      <c r="E969" s="25" t="s">
        <v>5700</v>
      </c>
      <c r="F969" s="25" t="s">
        <v>2274</v>
      </c>
      <c r="G969" s="1" t="s">
        <v>1888</v>
      </c>
      <c r="H969" s="17">
        <v>0.5</v>
      </c>
      <c r="I969" s="18">
        <v>710000000</v>
      </c>
      <c r="J969" s="4" t="s">
        <v>1931</v>
      </c>
      <c r="K969" s="4" t="s">
        <v>5297</v>
      </c>
      <c r="L969" s="7" t="s">
        <v>1940</v>
      </c>
      <c r="M969" s="8" t="s">
        <v>3195</v>
      </c>
      <c r="N969" s="8" t="s">
        <v>1890</v>
      </c>
      <c r="O969" s="8" t="s">
        <v>1935</v>
      </c>
      <c r="P969" s="8">
        <v>796</v>
      </c>
      <c r="Q969" s="8" t="s">
        <v>3196</v>
      </c>
      <c r="R969" s="10">
        <f>4+4+4+20+196+364-42</f>
        <v>550</v>
      </c>
      <c r="S969" s="10">
        <v>623.21</v>
      </c>
      <c r="T969" s="10">
        <f t="shared" ref="T969" si="429">S969*R969</f>
        <v>342765.5</v>
      </c>
      <c r="U969" s="10">
        <f t="shared" ref="U969" si="430">T969*1.12</f>
        <v>383897.36000000004</v>
      </c>
      <c r="V969" s="8"/>
      <c r="W969" s="11">
        <v>2015</v>
      </c>
      <c r="X969" s="1"/>
    </row>
    <row r="970" spans="1:24" ht="76.5" customHeight="1" outlineLevel="1" x14ac:dyDescent="0.2">
      <c r="A970" s="1" t="s">
        <v>4858</v>
      </c>
      <c r="B970" s="24" t="s">
        <v>5277</v>
      </c>
      <c r="C970" s="25" t="s">
        <v>3413</v>
      </c>
      <c r="D970" s="25" t="s">
        <v>5541</v>
      </c>
      <c r="E970" s="25" t="s">
        <v>5700</v>
      </c>
      <c r="F970" s="25" t="s">
        <v>2275</v>
      </c>
      <c r="G970" s="1" t="s">
        <v>1888</v>
      </c>
      <c r="H970" s="17">
        <v>0.5</v>
      </c>
      <c r="I970" s="18">
        <v>710000000</v>
      </c>
      <c r="J970" s="4" t="s">
        <v>1931</v>
      </c>
      <c r="K970" s="4" t="s">
        <v>5297</v>
      </c>
      <c r="L970" s="7" t="s">
        <v>1940</v>
      </c>
      <c r="M970" s="8" t="s">
        <v>3195</v>
      </c>
      <c r="N970" s="8" t="s">
        <v>1890</v>
      </c>
      <c r="O970" s="8" t="s">
        <v>1935</v>
      </c>
      <c r="P970" s="8">
        <v>796</v>
      </c>
      <c r="Q970" s="8" t="s">
        <v>3196</v>
      </c>
      <c r="R970" s="10">
        <f>331+80+20+4+4+4</f>
        <v>443</v>
      </c>
      <c r="S970" s="10">
        <v>450.89</v>
      </c>
      <c r="T970" s="10">
        <v>0</v>
      </c>
      <c r="U970" s="10">
        <f t="shared" si="394"/>
        <v>0</v>
      </c>
      <c r="V970" s="8"/>
      <c r="W970" s="11">
        <v>2015</v>
      </c>
      <c r="X970" s="1" t="s">
        <v>6562</v>
      </c>
    </row>
    <row r="971" spans="1:24" ht="76.5" customHeight="1" outlineLevel="1" x14ac:dyDescent="0.2">
      <c r="A971" s="1" t="s">
        <v>6586</v>
      </c>
      <c r="B971" s="24" t="s">
        <v>5277</v>
      </c>
      <c r="C971" s="25" t="s">
        <v>3413</v>
      </c>
      <c r="D971" s="25" t="s">
        <v>5541</v>
      </c>
      <c r="E971" s="25" t="s">
        <v>5700</v>
      </c>
      <c r="F971" s="25" t="s">
        <v>2275</v>
      </c>
      <c r="G971" s="1" t="s">
        <v>1888</v>
      </c>
      <c r="H971" s="17">
        <v>0.5</v>
      </c>
      <c r="I971" s="18">
        <v>710000000</v>
      </c>
      <c r="J971" s="4" t="s">
        <v>1931</v>
      </c>
      <c r="K971" s="4" t="s">
        <v>5297</v>
      </c>
      <c r="L971" s="7" t="s">
        <v>1940</v>
      </c>
      <c r="M971" s="8" t="s">
        <v>3195</v>
      </c>
      <c r="N971" s="8" t="s">
        <v>1890</v>
      </c>
      <c r="O971" s="8" t="s">
        <v>1935</v>
      </c>
      <c r="P971" s="8">
        <v>796</v>
      </c>
      <c r="Q971" s="8" t="s">
        <v>3196</v>
      </c>
      <c r="R971" s="10">
        <f>331+80+20+4+4+4-33</f>
        <v>410</v>
      </c>
      <c r="S971" s="10">
        <v>450.89</v>
      </c>
      <c r="T971" s="10">
        <f t="shared" ref="T971" si="431">S971*R971</f>
        <v>184864.9</v>
      </c>
      <c r="U971" s="10">
        <f t="shared" ref="U971" si="432">T971*1.12</f>
        <v>207048.68800000002</v>
      </c>
      <c r="V971" s="8"/>
      <c r="W971" s="11">
        <v>2015</v>
      </c>
      <c r="X971" s="1"/>
    </row>
    <row r="972" spans="1:24" ht="76.5" customHeight="1" outlineLevel="1" x14ac:dyDescent="0.2">
      <c r="A972" s="1" t="s">
        <v>4859</v>
      </c>
      <c r="B972" s="24" t="s">
        <v>5277</v>
      </c>
      <c r="C972" s="7" t="s">
        <v>3128</v>
      </c>
      <c r="D972" s="7" t="s">
        <v>5637</v>
      </c>
      <c r="E972" s="18" t="s">
        <v>5638</v>
      </c>
      <c r="F972" s="25" t="s">
        <v>6608</v>
      </c>
      <c r="G972" s="1" t="s">
        <v>1888</v>
      </c>
      <c r="H972" s="17">
        <v>0.5</v>
      </c>
      <c r="I972" s="18">
        <v>710000000</v>
      </c>
      <c r="J972" s="4" t="s">
        <v>1931</v>
      </c>
      <c r="K972" s="4" t="s">
        <v>5297</v>
      </c>
      <c r="L972" s="7" t="s">
        <v>1940</v>
      </c>
      <c r="M972" s="8" t="s">
        <v>3195</v>
      </c>
      <c r="N972" s="8" t="s">
        <v>1890</v>
      </c>
      <c r="O972" s="8" t="s">
        <v>1935</v>
      </c>
      <c r="P972" s="8">
        <v>796</v>
      </c>
      <c r="Q972" s="8" t="s">
        <v>3196</v>
      </c>
      <c r="R972" s="10">
        <f>200+2000+10+96</f>
        <v>2306</v>
      </c>
      <c r="S972" s="10">
        <v>522.32000000000005</v>
      </c>
      <c r="T972" s="10">
        <f t="shared" ref="T972:T1035" si="433">S972*R972</f>
        <v>1204469.9200000002</v>
      </c>
      <c r="U972" s="10">
        <f t="shared" si="394"/>
        <v>1349006.3104000003</v>
      </c>
      <c r="V972" s="8"/>
      <c r="W972" s="11">
        <v>2015</v>
      </c>
      <c r="X972" s="1"/>
    </row>
    <row r="973" spans="1:24" ht="76.5" customHeight="1" outlineLevel="1" x14ac:dyDescent="0.2">
      <c r="A973" s="1" t="s">
        <v>4860</v>
      </c>
      <c r="B973" s="24" t="s">
        <v>5277</v>
      </c>
      <c r="C973" s="7" t="s">
        <v>3122</v>
      </c>
      <c r="D973" s="7" t="s">
        <v>2276</v>
      </c>
      <c r="E973" s="18" t="s">
        <v>2276</v>
      </c>
      <c r="F973" s="25" t="s">
        <v>2277</v>
      </c>
      <c r="G973" s="1" t="s">
        <v>1888</v>
      </c>
      <c r="H973" s="17">
        <v>0.5</v>
      </c>
      <c r="I973" s="18">
        <v>710000000</v>
      </c>
      <c r="J973" s="4" t="s">
        <v>1931</v>
      </c>
      <c r="K973" s="4" t="s">
        <v>5297</v>
      </c>
      <c r="L973" s="7" t="s">
        <v>1940</v>
      </c>
      <c r="M973" s="8" t="s">
        <v>3195</v>
      </c>
      <c r="N973" s="8" t="s">
        <v>1890</v>
      </c>
      <c r="O973" s="8" t="s">
        <v>1935</v>
      </c>
      <c r="P973" s="8">
        <v>796</v>
      </c>
      <c r="Q973" s="8" t="s">
        <v>3196</v>
      </c>
      <c r="R973" s="10">
        <f>80+15+10+5+1</f>
        <v>111</v>
      </c>
      <c r="S973" s="10">
        <v>1339.29</v>
      </c>
      <c r="T973" s="10">
        <f t="shared" si="433"/>
        <v>148661.19</v>
      </c>
      <c r="U973" s="10">
        <f t="shared" si="394"/>
        <v>166500.53280000002</v>
      </c>
      <c r="V973" s="8"/>
      <c r="W973" s="11">
        <v>2015</v>
      </c>
      <c r="X973" s="1"/>
    </row>
    <row r="974" spans="1:24" ht="127.5" customHeight="1" outlineLevel="1" x14ac:dyDescent="0.2">
      <c r="A974" s="1" t="s">
        <v>4861</v>
      </c>
      <c r="B974" s="24" t="s">
        <v>5277</v>
      </c>
      <c r="C974" s="7" t="s">
        <v>2278</v>
      </c>
      <c r="D974" s="7" t="s">
        <v>2279</v>
      </c>
      <c r="E974" s="18" t="s">
        <v>2280</v>
      </c>
      <c r="F974" s="25" t="s">
        <v>5639</v>
      </c>
      <c r="G974" s="1" t="s">
        <v>1888</v>
      </c>
      <c r="H974" s="17">
        <v>0.5</v>
      </c>
      <c r="I974" s="18">
        <v>710000000</v>
      </c>
      <c r="J974" s="4" t="s">
        <v>1931</v>
      </c>
      <c r="K974" s="4" t="s">
        <v>5297</v>
      </c>
      <c r="L974" s="7" t="s">
        <v>1940</v>
      </c>
      <c r="M974" s="8" t="s">
        <v>3195</v>
      </c>
      <c r="N974" s="8" t="s">
        <v>1890</v>
      </c>
      <c r="O974" s="8" t="s">
        <v>1935</v>
      </c>
      <c r="P974" s="8">
        <v>796</v>
      </c>
      <c r="Q974" s="8" t="s">
        <v>3196</v>
      </c>
      <c r="R974" s="10">
        <v>10</v>
      </c>
      <c r="S974" s="10">
        <v>13392.86</v>
      </c>
      <c r="T974" s="10">
        <f t="shared" si="433"/>
        <v>133928.6</v>
      </c>
      <c r="U974" s="10">
        <f t="shared" si="394"/>
        <v>150000.03200000001</v>
      </c>
      <c r="V974" s="8"/>
      <c r="W974" s="11">
        <v>2015</v>
      </c>
      <c r="X974" s="1"/>
    </row>
    <row r="975" spans="1:24" ht="76.5" customHeight="1" outlineLevel="1" x14ac:dyDescent="0.2">
      <c r="A975" s="1" t="s">
        <v>4862</v>
      </c>
      <c r="B975" s="24" t="s">
        <v>5277</v>
      </c>
      <c r="C975" s="7" t="s">
        <v>2278</v>
      </c>
      <c r="D975" s="7" t="s">
        <v>2279</v>
      </c>
      <c r="E975" s="18" t="s">
        <v>2280</v>
      </c>
      <c r="F975" s="25" t="s">
        <v>2281</v>
      </c>
      <c r="G975" s="1" t="s">
        <v>1888</v>
      </c>
      <c r="H975" s="17">
        <v>0.5</v>
      </c>
      <c r="I975" s="18">
        <v>710000000</v>
      </c>
      <c r="J975" s="4" t="s">
        <v>1931</v>
      </c>
      <c r="K975" s="4" t="s">
        <v>5297</v>
      </c>
      <c r="L975" s="7" t="s">
        <v>1940</v>
      </c>
      <c r="M975" s="8" t="s">
        <v>3195</v>
      </c>
      <c r="N975" s="8" t="s">
        <v>1890</v>
      </c>
      <c r="O975" s="8" t="s">
        <v>1935</v>
      </c>
      <c r="P975" s="8">
        <v>796</v>
      </c>
      <c r="Q975" s="8" t="s">
        <v>3196</v>
      </c>
      <c r="R975" s="10">
        <v>4</v>
      </c>
      <c r="S975" s="10">
        <v>2412.5</v>
      </c>
      <c r="T975" s="10">
        <f t="shared" si="433"/>
        <v>9650</v>
      </c>
      <c r="U975" s="10">
        <f t="shared" si="394"/>
        <v>10808.000000000002</v>
      </c>
      <c r="V975" s="8"/>
      <c r="W975" s="11">
        <v>2015</v>
      </c>
      <c r="X975" s="1"/>
    </row>
    <row r="976" spans="1:24" ht="76.5" customHeight="1" outlineLevel="1" x14ac:dyDescent="0.2">
      <c r="A976" s="1" t="s">
        <v>4863</v>
      </c>
      <c r="B976" s="24" t="s">
        <v>5277</v>
      </c>
      <c r="C976" s="25" t="s">
        <v>2282</v>
      </c>
      <c r="D976" s="25" t="s">
        <v>2283</v>
      </c>
      <c r="E976" s="25" t="s">
        <v>2283</v>
      </c>
      <c r="F976" s="25" t="s">
        <v>2284</v>
      </c>
      <c r="G976" s="1" t="s">
        <v>1888</v>
      </c>
      <c r="H976" s="17">
        <v>0.5</v>
      </c>
      <c r="I976" s="18">
        <v>710000000</v>
      </c>
      <c r="J976" s="4" t="s">
        <v>1931</v>
      </c>
      <c r="K976" s="4" t="s">
        <v>5297</v>
      </c>
      <c r="L976" s="7" t="s">
        <v>1940</v>
      </c>
      <c r="M976" s="8" t="s">
        <v>3195</v>
      </c>
      <c r="N976" s="8" t="s">
        <v>1890</v>
      </c>
      <c r="O976" s="8" t="s">
        <v>1935</v>
      </c>
      <c r="P976" s="8">
        <v>796</v>
      </c>
      <c r="Q976" s="8" t="s">
        <v>3196</v>
      </c>
      <c r="R976" s="10">
        <f>5+50+1+10</f>
        <v>66</v>
      </c>
      <c r="S976" s="10">
        <v>803.57</v>
      </c>
      <c r="T976" s="10">
        <f t="shared" si="433"/>
        <v>53035.62</v>
      </c>
      <c r="U976" s="10">
        <f t="shared" ref="U976:U1040" si="434">T976*1.12</f>
        <v>59399.894400000012</v>
      </c>
      <c r="V976" s="8"/>
      <c r="W976" s="11">
        <v>2015</v>
      </c>
      <c r="X976" s="1"/>
    </row>
    <row r="977" spans="1:24" ht="76.5" customHeight="1" outlineLevel="1" x14ac:dyDescent="0.2">
      <c r="A977" s="1" t="s">
        <v>4864</v>
      </c>
      <c r="B977" s="24" t="s">
        <v>5277</v>
      </c>
      <c r="C977" s="25" t="s">
        <v>3585</v>
      </c>
      <c r="D977" s="25" t="s">
        <v>5648</v>
      </c>
      <c r="E977" s="25" t="s">
        <v>5649</v>
      </c>
      <c r="F977" s="25" t="s">
        <v>2285</v>
      </c>
      <c r="G977" s="1" t="s">
        <v>1888</v>
      </c>
      <c r="H977" s="17">
        <v>0.5</v>
      </c>
      <c r="I977" s="18">
        <v>710000000</v>
      </c>
      <c r="J977" s="4" t="s">
        <v>1931</v>
      </c>
      <c r="K977" s="4" t="s">
        <v>5297</v>
      </c>
      <c r="L977" s="7" t="s">
        <v>1940</v>
      </c>
      <c r="M977" s="8" t="s">
        <v>3195</v>
      </c>
      <c r="N977" s="8" t="s">
        <v>1890</v>
      </c>
      <c r="O977" s="8" t="s">
        <v>1935</v>
      </c>
      <c r="P977" s="1">
        <v>778</v>
      </c>
      <c r="Q977" s="4" t="s">
        <v>3327</v>
      </c>
      <c r="R977" s="10">
        <v>250</v>
      </c>
      <c r="S977" s="10">
        <v>651.97</v>
      </c>
      <c r="T977" s="10">
        <f t="shared" si="433"/>
        <v>162992.5</v>
      </c>
      <c r="U977" s="10">
        <f t="shared" si="434"/>
        <v>182551.6</v>
      </c>
      <c r="V977" s="8"/>
      <c r="W977" s="11">
        <v>2015</v>
      </c>
      <c r="X977" s="1"/>
    </row>
    <row r="978" spans="1:24" ht="76.5" customHeight="1" outlineLevel="1" x14ac:dyDescent="0.2">
      <c r="A978" s="1" t="s">
        <v>4865</v>
      </c>
      <c r="B978" s="24" t="s">
        <v>5277</v>
      </c>
      <c r="C978" s="25" t="s">
        <v>2286</v>
      </c>
      <c r="D978" s="25" t="s">
        <v>5644</v>
      </c>
      <c r="E978" s="25" t="s">
        <v>5646</v>
      </c>
      <c r="F978" s="25" t="s">
        <v>2287</v>
      </c>
      <c r="G978" s="1" t="s">
        <v>1888</v>
      </c>
      <c r="H978" s="17">
        <v>0.5</v>
      </c>
      <c r="I978" s="18">
        <v>710000000</v>
      </c>
      <c r="J978" s="4" t="s">
        <v>1931</v>
      </c>
      <c r="K978" s="4" t="s">
        <v>5297</v>
      </c>
      <c r="L978" s="7" t="s">
        <v>1940</v>
      </c>
      <c r="M978" s="8" t="s">
        <v>3195</v>
      </c>
      <c r="N978" s="8" t="s">
        <v>1890</v>
      </c>
      <c r="O978" s="8" t="s">
        <v>1935</v>
      </c>
      <c r="P978" s="8">
        <v>796</v>
      </c>
      <c r="Q978" s="8" t="s">
        <v>3196</v>
      </c>
      <c r="R978" s="10">
        <v>332</v>
      </c>
      <c r="S978" s="10">
        <v>326.79000000000002</v>
      </c>
      <c r="T978" s="10">
        <f t="shared" si="433"/>
        <v>108494.28000000001</v>
      </c>
      <c r="U978" s="10">
        <f t="shared" si="434"/>
        <v>121513.59360000002</v>
      </c>
      <c r="V978" s="8"/>
      <c r="W978" s="11">
        <v>2015</v>
      </c>
      <c r="X978" s="1"/>
    </row>
    <row r="979" spans="1:24" ht="76.5" customHeight="1" outlineLevel="1" x14ac:dyDescent="0.2">
      <c r="A979" s="1" t="s">
        <v>4866</v>
      </c>
      <c r="B979" s="202" t="s">
        <v>5277</v>
      </c>
      <c r="C979" s="203" t="s">
        <v>2288</v>
      </c>
      <c r="D979" s="203" t="s">
        <v>2289</v>
      </c>
      <c r="E979" s="203" t="s">
        <v>2290</v>
      </c>
      <c r="F979" s="203" t="s">
        <v>2291</v>
      </c>
      <c r="G979" s="204" t="s">
        <v>1888</v>
      </c>
      <c r="H979" s="205">
        <v>0.5</v>
      </c>
      <c r="I979" s="206">
        <v>710000000</v>
      </c>
      <c r="J979" s="207" t="s">
        <v>1931</v>
      </c>
      <c r="K979" s="207" t="s">
        <v>5297</v>
      </c>
      <c r="L979" s="208" t="s">
        <v>1940</v>
      </c>
      <c r="M979" s="8" t="s">
        <v>3195</v>
      </c>
      <c r="N979" s="8" t="s">
        <v>1890</v>
      </c>
      <c r="O979" s="209" t="s">
        <v>1935</v>
      </c>
      <c r="P979" s="8">
        <v>796</v>
      </c>
      <c r="Q979" s="8" t="s">
        <v>3196</v>
      </c>
      <c r="R979" s="210">
        <v>90</v>
      </c>
      <c r="S979" s="210">
        <v>142.86000000000001</v>
      </c>
      <c r="T979" s="10">
        <f t="shared" si="433"/>
        <v>12857.400000000001</v>
      </c>
      <c r="U979" s="10">
        <f t="shared" si="434"/>
        <v>14400.288000000002</v>
      </c>
      <c r="V979" s="209"/>
      <c r="W979" s="211">
        <v>2015</v>
      </c>
      <c r="X979" s="204"/>
    </row>
    <row r="980" spans="1:24" s="85" customFormat="1" ht="76.5" customHeight="1" outlineLevel="1" x14ac:dyDescent="0.2">
      <c r="A980" s="1" t="s">
        <v>4867</v>
      </c>
      <c r="B980" s="25" t="s">
        <v>5277</v>
      </c>
      <c r="C980" s="25" t="s">
        <v>2292</v>
      </c>
      <c r="D980" s="25" t="s">
        <v>2293</v>
      </c>
      <c r="E980" s="25" t="s">
        <v>2294</v>
      </c>
      <c r="F980" s="25" t="s">
        <v>2295</v>
      </c>
      <c r="G980" s="25" t="s">
        <v>1888</v>
      </c>
      <c r="H980" s="63">
        <v>0</v>
      </c>
      <c r="I980" s="25">
        <v>710000000</v>
      </c>
      <c r="J980" s="25" t="s">
        <v>1931</v>
      </c>
      <c r="K980" s="4" t="s">
        <v>5297</v>
      </c>
      <c r="L980" s="25" t="s">
        <v>1940</v>
      </c>
      <c r="M980" s="8" t="s">
        <v>3195</v>
      </c>
      <c r="N980" s="8" t="s">
        <v>1890</v>
      </c>
      <c r="O980" s="25" t="s">
        <v>1935</v>
      </c>
      <c r="P980" s="8">
        <v>796</v>
      </c>
      <c r="Q980" s="8" t="s">
        <v>3196</v>
      </c>
      <c r="R980" s="10">
        <f>30+90+180</f>
        <v>300</v>
      </c>
      <c r="S980" s="10">
        <v>694</v>
      </c>
      <c r="T980" s="10">
        <f t="shared" si="433"/>
        <v>208200</v>
      </c>
      <c r="U980" s="10">
        <f t="shared" si="434"/>
        <v>233184.00000000003</v>
      </c>
      <c r="V980" s="25"/>
      <c r="W980" s="25">
        <v>2015</v>
      </c>
      <c r="X980" s="25"/>
    </row>
    <row r="981" spans="1:24" ht="76.5" customHeight="1" outlineLevel="1" x14ac:dyDescent="0.2">
      <c r="A981" s="1" t="s">
        <v>4868</v>
      </c>
      <c r="B981" s="201" t="s">
        <v>5277</v>
      </c>
      <c r="C981" s="196" t="s">
        <v>1829</v>
      </c>
      <c r="D981" s="197" t="s">
        <v>5526</v>
      </c>
      <c r="E981" s="196" t="s">
        <v>5527</v>
      </c>
      <c r="F981" s="148" t="s">
        <v>2296</v>
      </c>
      <c r="G981" s="212" t="s">
        <v>1888</v>
      </c>
      <c r="H981" s="195">
        <v>0</v>
      </c>
      <c r="I981" s="196">
        <v>710000000</v>
      </c>
      <c r="J981" s="83" t="s">
        <v>1931</v>
      </c>
      <c r="K981" s="83" t="s">
        <v>5297</v>
      </c>
      <c r="L981" s="197" t="s">
        <v>1889</v>
      </c>
      <c r="M981" s="8" t="s">
        <v>3195</v>
      </c>
      <c r="N981" s="8" t="s">
        <v>1890</v>
      </c>
      <c r="O981" s="198" t="s">
        <v>1935</v>
      </c>
      <c r="P981" s="8">
        <v>796</v>
      </c>
      <c r="Q981" s="8" t="s">
        <v>3196</v>
      </c>
      <c r="R981" s="199">
        <v>30</v>
      </c>
      <c r="S981" s="199">
        <v>714.3</v>
      </c>
      <c r="T981" s="10">
        <f t="shared" si="433"/>
        <v>21429</v>
      </c>
      <c r="U981" s="10">
        <f t="shared" si="434"/>
        <v>24000.480000000003</v>
      </c>
      <c r="V981" s="198"/>
      <c r="W981" s="213">
        <v>2015</v>
      </c>
      <c r="X981" s="212"/>
    </row>
    <row r="982" spans="1:24" ht="76.5" customHeight="1" outlineLevel="1" x14ac:dyDescent="0.2">
      <c r="A982" s="1" t="s">
        <v>4869</v>
      </c>
      <c r="B982" s="24" t="s">
        <v>5277</v>
      </c>
      <c r="C982" s="18" t="s">
        <v>1829</v>
      </c>
      <c r="D982" s="7" t="s">
        <v>5526</v>
      </c>
      <c r="E982" s="18" t="s">
        <v>5527</v>
      </c>
      <c r="F982" s="25" t="s">
        <v>2297</v>
      </c>
      <c r="G982" s="1" t="s">
        <v>1888</v>
      </c>
      <c r="H982" s="17">
        <v>0</v>
      </c>
      <c r="I982" s="18">
        <v>710000000</v>
      </c>
      <c r="J982" s="4" t="s">
        <v>1931</v>
      </c>
      <c r="K982" s="4" t="s">
        <v>5297</v>
      </c>
      <c r="L982" s="7" t="s">
        <v>1889</v>
      </c>
      <c r="M982" s="8" t="s">
        <v>3195</v>
      </c>
      <c r="N982" s="8" t="s">
        <v>1890</v>
      </c>
      <c r="O982" s="8" t="s">
        <v>1935</v>
      </c>
      <c r="P982" s="8">
        <v>796</v>
      </c>
      <c r="Q982" s="8" t="s">
        <v>3196</v>
      </c>
      <c r="R982" s="10">
        <v>30</v>
      </c>
      <c r="S982" s="10">
        <v>714.3</v>
      </c>
      <c r="T982" s="10">
        <f t="shared" si="433"/>
        <v>21429</v>
      </c>
      <c r="U982" s="10">
        <f t="shared" si="434"/>
        <v>24000.480000000003</v>
      </c>
      <c r="V982" s="8"/>
      <c r="W982" s="11">
        <v>2015</v>
      </c>
      <c r="X982" s="1"/>
    </row>
    <row r="983" spans="1:24" ht="76.5" customHeight="1" outlineLevel="1" x14ac:dyDescent="0.2">
      <c r="A983" s="1" t="s">
        <v>4870</v>
      </c>
      <c r="B983" s="24" t="s">
        <v>5277</v>
      </c>
      <c r="C983" s="18" t="s">
        <v>2298</v>
      </c>
      <c r="D983" s="25" t="s">
        <v>5814</v>
      </c>
      <c r="E983" s="25" t="s">
        <v>2299</v>
      </c>
      <c r="F983" s="25"/>
      <c r="G983" s="1" t="s">
        <v>1888</v>
      </c>
      <c r="H983" s="17">
        <v>0</v>
      </c>
      <c r="I983" s="18">
        <v>710000000</v>
      </c>
      <c r="J983" s="4" t="s">
        <v>1931</v>
      </c>
      <c r="K983" s="4" t="s">
        <v>5297</v>
      </c>
      <c r="L983" s="7" t="s">
        <v>1889</v>
      </c>
      <c r="M983" s="8" t="s">
        <v>3195</v>
      </c>
      <c r="N983" s="8" t="s">
        <v>1890</v>
      </c>
      <c r="O983" s="8" t="s">
        <v>1935</v>
      </c>
      <c r="P983" s="1">
        <v>872</v>
      </c>
      <c r="Q983" s="4" t="s">
        <v>3139</v>
      </c>
      <c r="R983" s="10">
        <v>9</v>
      </c>
      <c r="S983" s="10">
        <v>506.11</v>
      </c>
      <c r="T983" s="10">
        <f t="shared" si="433"/>
        <v>4554.99</v>
      </c>
      <c r="U983" s="10">
        <f t="shared" si="434"/>
        <v>5101.5888000000004</v>
      </c>
      <c r="V983" s="8"/>
      <c r="W983" s="11">
        <v>2015</v>
      </c>
      <c r="X983" s="1"/>
    </row>
    <row r="984" spans="1:24" ht="76.5" customHeight="1" outlineLevel="1" x14ac:dyDescent="0.2">
      <c r="A984" s="1" t="s">
        <v>4871</v>
      </c>
      <c r="B984" s="24" t="s">
        <v>5277</v>
      </c>
      <c r="C984" s="18" t="s">
        <v>2300</v>
      </c>
      <c r="D984" s="18" t="s">
        <v>2301</v>
      </c>
      <c r="E984" s="25" t="s">
        <v>2302</v>
      </c>
      <c r="F984" s="25" t="s">
        <v>2303</v>
      </c>
      <c r="G984" s="1" t="s">
        <v>1888</v>
      </c>
      <c r="H984" s="17">
        <v>0</v>
      </c>
      <c r="I984" s="18">
        <v>710000000</v>
      </c>
      <c r="J984" s="4" t="s">
        <v>1931</v>
      </c>
      <c r="K984" s="4" t="s">
        <v>5297</v>
      </c>
      <c r="L984" s="7" t="s">
        <v>1889</v>
      </c>
      <c r="M984" s="8" t="s">
        <v>3195</v>
      </c>
      <c r="N984" s="8" t="s">
        <v>1890</v>
      </c>
      <c r="O984" s="8" t="s">
        <v>1935</v>
      </c>
      <c r="P984" s="8">
        <v>796</v>
      </c>
      <c r="Q984" s="8" t="s">
        <v>3196</v>
      </c>
      <c r="R984" s="10">
        <v>12</v>
      </c>
      <c r="S984" s="10">
        <v>1380</v>
      </c>
      <c r="T984" s="10">
        <f t="shared" si="433"/>
        <v>16560</v>
      </c>
      <c r="U984" s="10">
        <f t="shared" si="434"/>
        <v>18547.2</v>
      </c>
      <c r="V984" s="8"/>
      <c r="W984" s="11">
        <v>2015</v>
      </c>
      <c r="X984" s="1"/>
    </row>
    <row r="985" spans="1:24" ht="76.5" customHeight="1" outlineLevel="1" x14ac:dyDescent="0.2">
      <c r="A985" s="1" t="s">
        <v>4872</v>
      </c>
      <c r="B985" s="24" t="s">
        <v>5277</v>
      </c>
      <c r="C985" s="18" t="s">
        <v>2304</v>
      </c>
      <c r="D985" s="22" t="s">
        <v>2305</v>
      </c>
      <c r="E985" s="22" t="s">
        <v>2306</v>
      </c>
      <c r="F985" s="22" t="s">
        <v>2307</v>
      </c>
      <c r="G985" s="1" t="s">
        <v>1888</v>
      </c>
      <c r="H985" s="17">
        <v>0</v>
      </c>
      <c r="I985" s="18">
        <v>710000000</v>
      </c>
      <c r="J985" s="4" t="s">
        <v>1931</v>
      </c>
      <c r="K985" s="4" t="s">
        <v>5297</v>
      </c>
      <c r="L985" s="18" t="s">
        <v>1889</v>
      </c>
      <c r="M985" s="8" t="s">
        <v>3195</v>
      </c>
      <c r="N985" s="8" t="s">
        <v>1890</v>
      </c>
      <c r="O985" s="8" t="s">
        <v>1935</v>
      </c>
      <c r="P985" s="8">
        <v>796</v>
      </c>
      <c r="Q985" s="8" t="s">
        <v>3196</v>
      </c>
      <c r="R985" s="10">
        <v>1</v>
      </c>
      <c r="S985" s="10">
        <v>3571.5</v>
      </c>
      <c r="T985" s="10">
        <f t="shared" si="433"/>
        <v>3571.5</v>
      </c>
      <c r="U985" s="10">
        <f t="shared" si="434"/>
        <v>4000.0800000000004</v>
      </c>
      <c r="V985" s="8"/>
      <c r="W985" s="11">
        <v>2015</v>
      </c>
      <c r="X985" s="8"/>
    </row>
    <row r="986" spans="1:24" ht="76.5" customHeight="1" outlineLevel="1" x14ac:dyDescent="0.2">
      <c r="A986" s="1" t="s">
        <v>4873</v>
      </c>
      <c r="B986" s="24" t="s">
        <v>5277</v>
      </c>
      <c r="C986" s="18" t="s">
        <v>2308</v>
      </c>
      <c r="D986" s="22" t="s">
        <v>2309</v>
      </c>
      <c r="E986" s="22" t="s">
        <v>2310</v>
      </c>
      <c r="F986" s="22" t="s">
        <v>2311</v>
      </c>
      <c r="G986" s="1" t="s">
        <v>1888</v>
      </c>
      <c r="H986" s="17">
        <v>0</v>
      </c>
      <c r="I986" s="18">
        <v>710000000</v>
      </c>
      <c r="J986" s="4" t="s">
        <v>1931</v>
      </c>
      <c r="K986" s="4" t="s">
        <v>5297</v>
      </c>
      <c r="L986" s="18" t="s">
        <v>1889</v>
      </c>
      <c r="M986" s="8" t="s">
        <v>3195</v>
      </c>
      <c r="N986" s="8" t="s">
        <v>1890</v>
      </c>
      <c r="O986" s="8" t="s">
        <v>1935</v>
      </c>
      <c r="P986" s="8">
        <v>796</v>
      </c>
      <c r="Q986" s="8" t="s">
        <v>3196</v>
      </c>
      <c r="R986" s="10">
        <v>1</v>
      </c>
      <c r="S986" s="10">
        <v>5000</v>
      </c>
      <c r="T986" s="10">
        <f t="shared" si="433"/>
        <v>5000</v>
      </c>
      <c r="U986" s="10">
        <f t="shared" si="434"/>
        <v>5600.0000000000009</v>
      </c>
      <c r="V986" s="8"/>
      <c r="W986" s="11">
        <v>2015</v>
      </c>
      <c r="X986" s="8"/>
    </row>
    <row r="987" spans="1:24" ht="76.5" customHeight="1" outlineLevel="1" x14ac:dyDescent="0.2">
      <c r="A987" s="1" t="s">
        <v>4874</v>
      </c>
      <c r="B987" s="24" t="s">
        <v>5277</v>
      </c>
      <c r="C987" s="7" t="s">
        <v>3586</v>
      </c>
      <c r="D987" s="7" t="s">
        <v>5604</v>
      </c>
      <c r="E987" s="18" t="s">
        <v>5640</v>
      </c>
      <c r="F987" s="25" t="s">
        <v>5641</v>
      </c>
      <c r="G987" s="1" t="s">
        <v>1888</v>
      </c>
      <c r="H987" s="17">
        <v>0.5</v>
      </c>
      <c r="I987" s="18">
        <v>710000000</v>
      </c>
      <c r="J987" s="4" t="s">
        <v>1931</v>
      </c>
      <c r="K987" s="4" t="s">
        <v>5297</v>
      </c>
      <c r="L987" s="7" t="s">
        <v>1889</v>
      </c>
      <c r="M987" s="8" t="s">
        <v>3195</v>
      </c>
      <c r="N987" s="8" t="s">
        <v>1890</v>
      </c>
      <c r="O987" s="8" t="s">
        <v>1935</v>
      </c>
      <c r="P987" s="1">
        <v>778</v>
      </c>
      <c r="Q987" s="4" t="s">
        <v>3327</v>
      </c>
      <c r="R987" s="10">
        <v>1</v>
      </c>
      <c r="S987" s="10">
        <v>1166</v>
      </c>
      <c r="T987" s="10">
        <f t="shared" si="433"/>
        <v>1166</v>
      </c>
      <c r="U987" s="10">
        <f t="shared" si="434"/>
        <v>1305.92</v>
      </c>
      <c r="V987" s="11"/>
      <c r="W987" s="11">
        <v>2015</v>
      </c>
      <c r="X987" s="1"/>
    </row>
    <row r="988" spans="1:24" ht="76.5" customHeight="1" outlineLevel="1" x14ac:dyDescent="0.2">
      <c r="A988" s="1" t="s">
        <v>4875</v>
      </c>
      <c r="B988" s="24" t="s">
        <v>5277</v>
      </c>
      <c r="C988" s="24" t="s">
        <v>2312</v>
      </c>
      <c r="D988" s="24" t="s">
        <v>5594</v>
      </c>
      <c r="E988" s="24" t="s">
        <v>2313</v>
      </c>
      <c r="F988" s="25" t="s">
        <v>5642</v>
      </c>
      <c r="G988" s="1" t="s">
        <v>1888</v>
      </c>
      <c r="H988" s="17">
        <v>0.5</v>
      </c>
      <c r="I988" s="18">
        <v>710000000</v>
      </c>
      <c r="J988" s="4" t="s">
        <v>1931</v>
      </c>
      <c r="K988" s="4" t="s">
        <v>5297</v>
      </c>
      <c r="L988" s="7" t="s">
        <v>1889</v>
      </c>
      <c r="M988" s="8" t="s">
        <v>3195</v>
      </c>
      <c r="N988" s="8" t="s">
        <v>1890</v>
      </c>
      <c r="O988" s="8" t="s">
        <v>1935</v>
      </c>
      <c r="P988" s="8">
        <v>796</v>
      </c>
      <c r="Q988" s="8" t="s">
        <v>3196</v>
      </c>
      <c r="R988" s="10">
        <v>15912</v>
      </c>
      <c r="S988" s="10">
        <v>20.54</v>
      </c>
      <c r="T988" s="10">
        <f t="shared" si="433"/>
        <v>326832.48</v>
      </c>
      <c r="U988" s="10">
        <f t="shared" si="434"/>
        <v>366052.37760000001</v>
      </c>
      <c r="V988" s="11"/>
      <c r="W988" s="11">
        <v>2015</v>
      </c>
      <c r="X988" s="1"/>
    </row>
    <row r="989" spans="1:24" ht="76.5" customHeight="1" outlineLevel="1" x14ac:dyDescent="0.2">
      <c r="A989" s="1" t="s">
        <v>4876</v>
      </c>
      <c r="B989" s="24" t="s">
        <v>5277</v>
      </c>
      <c r="C989" s="7" t="s">
        <v>1814</v>
      </c>
      <c r="D989" s="7" t="s">
        <v>5594</v>
      </c>
      <c r="E989" s="18" t="s">
        <v>5643</v>
      </c>
      <c r="F989" s="25" t="s">
        <v>5596</v>
      </c>
      <c r="G989" s="1" t="s">
        <v>1888</v>
      </c>
      <c r="H989" s="17">
        <v>0.5</v>
      </c>
      <c r="I989" s="18">
        <v>710000000</v>
      </c>
      <c r="J989" s="4" t="s">
        <v>1931</v>
      </c>
      <c r="K989" s="4" t="s">
        <v>5297</v>
      </c>
      <c r="L989" s="7" t="s">
        <v>1889</v>
      </c>
      <c r="M989" s="8" t="s">
        <v>3195</v>
      </c>
      <c r="N989" s="8" t="s">
        <v>1890</v>
      </c>
      <c r="O989" s="8" t="s">
        <v>1935</v>
      </c>
      <c r="P989" s="8">
        <v>796</v>
      </c>
      <c r="Q989" s="8" t="s">
        <v>3196</v>
      </c>
      <c r="R989" s="10">
        <v>60</v>
      </c>
      <c r="S989" s="10">
        <v>107</v>
      </c>
      <c r="T989" s="10">
        <f t="shared" si="433"/>
        <v>6420</v>
      </c>
      <c r="U989" s="10">
        <f t="shared" si="434"/>
        <v>7190.4000000000005</v>
      </c>
      <c r="V989" s="11"/>
      <c r="W989" s="11">
        <v>2015</v>
      </c>
      <c r="X989" s="1"/>
    </row>
    <row r="990" spans="1:24" ht="76.5" customHeight="1" outlineLevel="1" x14ac:dyDescent="0.2">
      <c r="A990" s="1" t="s">
        <v>4877</v>
      </c>
      <c r="B990" s="24" t="s">
        <v>5277</v>
      </c>
      <c r="C990" s="7" t="s">
        <v>3115</v>
      </c>
      <c r="D990" s="7" t="s">
        <v>5594</v>
      </c>
      <c r="E990" s="18" t="s">
        <v>5595</v>
      </c>
      <c r="F990" s="25" t="s">
        <v>5596</v>
      </c>
      <c r="G990" s="1" t="s">
        <v>1888</v>
      </c>
      <c r="H990" s="17">
        <v>0.5</v>
      </c>
      <c r="I990" s="18">
        <v>710000000</v>
      </c>
      <c r="J990" s="4" t="s">
        <v>1931</v>
      </c>
      <c r="K990" s="4" t="s">
        <v>5297</v>
      </c>
      <c r="L990" s="7" t="s">
        <v>1889</v>
      </c>
      <c r="M990" s="8" t="s">
        <v>3195</v>
      </c>
      <c r="N990" s="8" t="s">
        <v>1890</v>
      </c>
      <c r="O990" s="8" t="s">
        <v>1935</v>
      </c>
      <c r="P990" s="8">
        <v>796</v>
      </c>
      <c r="Q990" s="8" t="s">
        <v>3196</v>
      </c>
      <c r="R990" s="10">
        <v>430</v>
      </c>
      <c r="S990" s="10">
        <v>132.46</v>
      </c>
      <c r="T990" s="10">
        <f t="shared" si="433"/>
        <v>56957.8</v>
      </c>
      <c r="U990" s="10">
        <f t="shared" si="434"/>
        <v>63792.736000000012</v>
      </c>
      <c r="V990" s="11"/>
      <c r="W990" s="11">
        <v>2015</v>
      </c>
      <c r="X990" s="1"/>
    </row>
    <row r="991" spans="1:24" ht="89.25" customHeight="1" outlineLevel="1" x14ac:dyDescent="0.2">
      <c r="A991" s="1" t="s">
        <v>4878</v>
      </c>
      <c r="B991" s="24" t="s">
        <v>5277</v>
      </c>
      <c r="C991" s="7" t="s">
        <v>3108</v>
      </c>
      <c r="D991" s="7" t="s">
        <v>5592</v>
      </c>
      <c r="E991" s="18" t="s">
        <v>5593</v>
      </c>
      <c r="F991" s="25" t="s">
        <v>2314</v>
      </c>
      <c r="G991" s="1" t="s">
        <v>1888</v>
      </c>
      <c r="H991" s="17">
        <v>0.5</v>
      </c>
      <c r="I991" s="18">
        <v>710000000</v>
      </c>
      <c r="J991" s="4" t="s">
        <v>1931</v>
      </c>
      <c r="K991" s="4" t="s">
        <v>5297</v>
      </c>
      <c r="L991" s="7" t="s">
        <v>1889</v>
      </c>
      <c r="M991" s="8" t="s">
        <v>3195</v>
      </c>
      <c r="N991" s="8" t="s">
        <v>1890</v>
      </c>
      <c r="O991" s="8" t="s">
        <v>1935</v>
      </c>
      <c r="P991" s="1">
        <v>868</v>
      </c>
      <c r="Q991" s="4" t="s">
        <v>5521</v>
      </c>
      <c r="R991" s="10">
        <v>144</v>
      </c>
      <c r="S991" s="10">
        <v>841</v>
      </c>
      <c r="T991" s="10">
        <f t="shared" si="433"/>
        <v>121104</v>
      </c>
      <c r="U991" s="10">
        <f t="shared" si="434"/>
        <v>135636.48000000001</v>
      </c>
      <c r="V991" s="11"/>
      <c r="W991" s="11">
        <v>2015</v>
      </c>
      <c r="X991" s="1"/>
    </row>
    <row r="992" spans="1:24" ht="76.5" customHeight="1" outlineLevel="1" x14ac:dyDescent="0.2">
      <c r="A992" s="1" t="s">
        <v>4879</v>
      </c>
      <c r="B992" s="24" t="s">
        <v>5277</v>
      </c>
      <c r="C992" s="7" t="s">
        <v>3108</v>
      </c>
      <c r="D992" s="7" t="s">
        <v>5592</v>
      </c>
      <c r="E992" s="18" t="s">
        <v>5593</v>
      </c>
      <c r="F992" s="25" t="s">
        <v>2240</v>
      </c>
      <c r="G992" s="1" t="s">
        <v>1888</v>
      </c>
      <c r="H992" s="17">
        <v>0.5</v>
      </c>
      <c r="I992" s="18">
        <v>710000000</v>
      </c>
      <c r="J992" s="4" t="s">
        <v>1931</v>
      </c>
      <c r="K992" s="4" t="s">
        <v>5297</v>
      </c>
      <c r="L992" s="7" t="s">
        <v>1889</v>
      </c>
      <c r="M992" s="8" t="s">
        <v>3195</v>
      </c>
      <c r="N992" s="8" t="s">
        <v>1890</v>
      </c>
      <c r="O992" s="8" t="s">
        <v>1935</v>
      </c>
      <c r="P992" s="1">
        <v>868</v>
      </c>
      <c r="Q992" s="4" t="s">
        <v>5521</v>
      </c>
      <c r="R992" s="10">
        <v>179</v>
      </c>
      <c r="S992" s="10">
        <v>1183.18</v>
      </c>
      <c r="T992" s="10">
        <f t="shared" si="433"/>
        <v>211789.22</v>
      </c>
      <c r="U992" s="10">
        <f t="shared" si="434"/>
        <v>237203.92640000003</v>
      </c>
      <c r="V992" s="11"/>
      <c r="W992" s="11">
        <v>2015</v>
      </c>
      <c r="X992" s="1"/>
    </row>
    <row r="993" spans="1:24" ht="76.5" customHeight="1" outlineLevel="1" x14ac:dyDescent="0.2">
      <c r="A993" s="1" t="s">
        <v>4880</v>
      </c>
      <c r="B993" s="24" t="s">
        <v>5277</v>
      </c>
      <c r="C993" s="7" t="s">
        <v>3105</v>
      </c>
      <c r="D993" s="7" t="s">
        <v>5582</v>
      </c>
      <c r="E993" s="18" t="s">
        <v>5583</v>
      </c>
      <c r="F993" s="25" t="s">
        <v>5584</v>
      </c>
      <c r="G993" s="1" t="s">
        <v>1888</v>
      </c>
      <c r="H993" s="17">
        <v>0.5</v>
      </c>
      <c r="I993" s="18">
        <v>710000000</v>
      </c>
      <c r="J993" s="4" t="s">
        <v>1931</v>
      </c>
      <c r="K993" s="4" t="s">
        <v>5297</v>
      </c>
      <c r="L993" s="7" t="s">
        <v>1889</v>
      </c>
      <c r="M993" s="8" t="s">
        <v>3195</v>
      </c>
      <c r="N993" s="8" t="s">
        <v>1890</v>
      </c>
      <c r="O993" s="8" t="s">
        <v>1935</v>
      </c>
      <c r="P993" s="8">
        <v>796</v>
      </c>
      <c r="Q993" s="8" t="s">
        <v>3196</v>
      </c>
      <c r="R993" s="10">
        <v>559</v>
      </c>
      <c r="S993" s="10">
        <v>218.76</v>
      </c>
      <c r="T993" s="10">
        <f t="shared" si="433"/>
        <v>122286.84</v>
      </c>
      <c r="U993" s="10">
        <f t="shared" si="434"/>
        <v>136961.26080000002</v>
      </c>
      <c r="V993" s="11"/>
      <c r="W993" s="11">
        <v>2015</v>
      </c>
      <c r="X993" s="1"/>
    </row>
    <row r="994" spans="1:24" ht="89.25" customHeight="1" outlineLevel="1" x14ac:dyDescent="0.2">
      <c r="A994" s="1" t="s">
        <v>4881</v>
      </c>
      <c r="B994" s="24" t="s">
        <v>5277</v>
      </c>
      <c r="C994" s="25" t="s">
        <v>3118</v>
      </c>
      <c r="D994" s="25" t="s">
        <v>3119</v>
      </c>
      <c r="E994" s="25" t="s">
        <v>5603</v>
      </c>
      <c r="F994" s="25" t="s">
        <v>2239</v>
      </c>
      <c r="G994" s="1" t="s">
        <v>1888</v>
      </c>
      <c r="H994" s="17">
        <v>0.5</v>
      </c>
      <c r="I994" s="18">
        <v>710000000</v>
      </c>
      <c r="J994" s="4" t="s">
        <v>1931</v>
      </c>
      <c r="K994" s="4" t="s">
        <v>5297</v>
      </c>
      <c r="L994" s="7" t="s">
        <v>1889</v>
      </c>
      <c r="M994" s="8" t="s">
        <v>3195</v>
      </c>
      <c r="N994" s="8" t="s">
        <v>1890</v>
      </c>
      <c r="O994" s="8" t="s">
        <v>1935</v>
      </c>
      <c r="P994" s="1">
        <v>868</v>
      </c>
      <c r="Q994" s="4" t="s">
        <v>5521</v>
      </c>
      <c r="R994" s="10">
        <v>223</v>
      </c>
      <c r="S994" s="10">
        <v>779.33</v>
      </c>
      <c r="T994" s="10">
        <f t="shared" si="433"/>
        <v>173790.59</v>
      </c>
      <c r="U994" s="10">
        <f t="shared" si="434"/>
        <v>194645.4608</v>
      </c>
      <c r="V994" s="11"/>
      <c r="W994" s="11">
        <v>2015</v>
      </c>
      <c r="X994" s="1"/>
    </row>
    <row r="995" spans="1:24" ht="76.5" customHeight="1" outlineLevel="1" x14ac:dyDescent="0.2">
      <c r="A995" s="1" t="s">
        <v>4882</v>
      </c>
      <c r="B995" s="24" t="s">
        <v>5277</v>
      </c>
      <c r="C995" s="7" t="s">
        <v>3501</v>
      </c>
      <c r="D995" s="7" t="s">
        <v>5644</v>
      </c>
      <c r="E995" s="18" t="s">
        <v>5645</v>
      </c>
      <c r="F995" s="25"/>
      <c r="G995" s="1" t="s">
        <v>1888</v>
      </c>
      <c r="H995" s="17">
        <v>0.5</v>
      </c>
      <c r="I995" s="18">
        <v>710000000</v>
      </c>
      <c r="J995" s="4" t="s">
        <v>1931</v>
      </c>
      <c r="K995" s="4" t="s">
        <v>5297</v>
      </c>
      <c r="L995" s="7" t="s">
        <v>1889</v>
      </c>
      <c r="M995" s="8" t="s">
        <v>3195</v>
      </c>
      <c r="N995" s="8" t="s">
        <v>1890</v>
      </c>
      <c r="O995" s="8" t="s">
        <v>1935</v>
      </c>
      <c r="P995" s="8">
        <v>796</v>
      </c>
      <c r="Q995" s="8" t="s">
        <v>3196</v>
      </c>
      <c r="R995" s="10">
        <v>23038</v>
      </c>
      <c r="S995" s="10">
        <v>22.04</v>
      </c>
      <c r="T995" s="10">
        <f t="shared" si="433"/>
        <v>507757.51999999996</v>
      </c>
      <c r="U995" s="10">
        <f t="shared" si="434"/>
        <v>568688.42240000004</v>
      </c>
      <c r="V995" s="11"/>
      <c r="W995" s="11">
        <v>2015</v>
      </c>
      <c r="X995" s="1"/>
    </row>
    <row r="996" spans="1:24" ht="76.5" customHeight="1" outlineLevel="1" x14ac:dyDescent="0.2">
      <c r="A996" s="1" t="s">
        <v>4883</v>
      </c>
      <c r="B996" s="24" t="s">
        <v>5277</v>
      </c>
      <c r="C996" s="25" t="s">
        <v>2286</v>
      </c>
      <c r="D996" s="25" t="s">
        <v>5644</v>
      </c>
      <c r="E996" s="25" t="s">
        <v>5646</v>
      </c>
      <c r="F996" s="25" t="s">
        <v>5647</v>
      </c>
      <c r="G996" s="1" t="s">
        <v>1888</v>
      </c>
      <c r="H996" s="17">
        <v>0.5</v>
      </c>
      <c r="I996" s="18">
        <v>710000000</v>
      </c>
      <c r="J996" s="4" t="s">
        <v>1931</v>
      </c>
      <c r="K996" s="4" t="s">
        <v>5297</v>
      </c>
      <c r="L996" s="7" t="s">
        <v>1889</v>
      </c>
      <c r="M996" s="8" t="s">
        <v>3195</v>
      </c>
      <c r="N996" s="8" t="s">
        <v>1890</v>
      </c>
      <c r="O996" s="8" t="s">
        <v>1935</v>
      </c>
      <c r="P996" s="8">
        <v>796</v>
      </c>
      <c r="Q996" s="8" t="s">
        <v>3196</v>
      </c>
      <c r="R996" s="10">
        <v>100</v>
      </c>
      <c r="S996" s="10">
        <v>417.11</v>
      </c>
      <c r="T996" s="10">
        <f t="shared" si="433"/>
        <v>41711</v>
      </c>
      <c r="U996" s="10">
        <f t="shared" si="434"/>
        <v>46716.320000000007</v>
      </c>
      <c r="V996" s="11"/>
      <c r="W996" s="11">
        <v>2015</v>
      </c>
      <c r="X996" s="1"/>
    </row>
    <row r="997" spans="1:24" ht="76.5" customHeight="1" outlineLevel="1" x14ac:dyDescent="0.2">
      <c r="A997" s="1" t="s">
        <v>4884</v>
      </c>
      <c r="B997" s="24" t="s">
        <v>5277</v>
      </c>
      <c r="C997" s="7" t="s">
        <v>3585</v>
      </c>
      <c r="D997" s="7" t="s">
        <v>5648</v>
      </c>
      <c r="E997" s="18" t="s">
        <v>5649</v>
      </c>
      <c r="F997" s="25" t="s">
        <v>5650</v>
      </c>
      <c r="G997" s="1" t="s">
        <v>1888</v>
      </c>
      <c r="H997" s="17">
        <v>0.5</v>
      </c>
      <c r="I997" s="18">
        <v>710000000</v>
      </c>
      <c r="J997" s="4" t="s">
        <v>1931</v>
      </c>
      <c r="K997" s="4" t="s">
        <v>5297</v>
      </c>
      <c r="L997" s="7" t="s">
        <v>1889</v>
      </c>
      <c r="M997" s="8" t="s">
        <v>3195</v>
      </c>
      <c r="N997" s="8" t="s">
        <v>1890</v>
      </c>
      <c r="O997" s="8" t="s">
        <v>1935</v>
      </c>
      <c r="P997" s="1">
        <v>778</v>
      </c>
      <c r="Q997" s="4" t="s">
        <v>3327</v>
      </c>
      <c r="R997" s="10">
        <v>120</v>
      </c>
      <c r="S997" s="10">
        <v>634.33000000000004</v>
      </c>
      <c r="T997" s="10">
        <f t="shared" si="433"/>
        <v>76119.600000000006</v>
      </c>
      <c r="U997" s="10">
        <f t="shared" si="434"/>
        <v>85253.952000000019</v>
      </c>
      <c r="V997" s="11"/>
      <c r="W997" s="11">
        <v>2015</v>
      </c>
      <c r="X997" s="1"/>
    </row>
    <row r="998" spans="1:24" ht="76.5" customHeight="1" outlineLevel="1" x14ac:dyDescent="0.2">
      <c r="A998" s="1" t="s">
        <v>4885</v>
      </c>
      <c r="B998" s="24" t="s">
        <v>5277</v>
      </c>
      <c r="C998" s="7" t="s">
        <v>3111</v>
      </c>
      <c r="D998" s="7" t="s">
        <v>5600</v>
      </c>
      <c r="E998" s="18" t="s">
        <v>5601</v>
      </c>
      <c r="F998" s="25" t="s">
        <v>2315</v>
      </c>
      <c r="G998" s="1" t="s">
        <v>1888</v>
      </c>
      <c r="H998" s="17">
        <v>0.5</v>
      </c>
      <c r="I998" s="18">
        <v>710000000</v>
      </c>
      <c r="J998" s="4" t="s">
        <v>1931</v>
      </c>
      <c r="K998" s="4" t="s">
        <v>5297</v>
      </c>
      <c r="L998" s="7" t="s">
        <v>1889</v>
      </c>
      <c r="M998" s="8" t="s">
        <v>3195</v>
      </c>
      <c r="N998" s="8" t="s">
        <v>1890</v>
      </c>
      <c r="O998" s="8" t="s">
        <v>1935</v>
      </c>
      <c r="P998" s="1">
        <v>5111</v>
      </c>
      <c r="Q998" s="4" t="s">
        <v>5298</v>
      </c>
      <c r="R998" s="10">
        <v>63</v>
      </c>
      <c r="S998" s="10">
        <v>7428.57</v>
      </c>
      <c r="T998" s="10">
        <f t="shared" si="433"/>
        <v>467999.91</v>
      </c>
      <c r="U998" s="10">
        <f t="shared" si="434"/>
        <v>524159.89920000004</v>
      </c>
      <c r="V998" s="11"/>
      <c r="W998" s="11">
        <v>2015</v>
      </c>
      <c r="X998" s="1"/>
    </row>
    <row r="999" spans="1:24" ht="76.5" customHeight="1" outlineLevel="1" x14ac:dyDescent="0.2">
      <c r="A999" s="1" t="s">
        <v>4886</v>
      </c>
      <c r="B999" s="24" t="s">
        <v>5277</v>
      </c>
      <c r="C999" s="25" t="s">
        <v>2316</v>
      </c>
      <c r="D999" s="25" t="s">
        <v>2317</v>
      </c>
      <c r="E999" s="25" t="s">
        <v>2317</v>
      </c>
      <c r="F999" s="25" t="s">
        <v>2318</v>
      </c>
      <c r="G999" s="1" t="s">
        <v>1888</v>
      </c>
      <c r="H999" s="17">
        <v>0.5</v>
      </c>
      <c r="I999" s="18">
        <v>710000000</v>
      </c>
      <c r="J999" s="4" t="s">
        <v>1931</v>
      </c>
      <c r="K999" s="4" t="s">
        <v>5297</v>
      </c>
      <c r="L999" s="7" t="s">
        <v>1889</v>
      </c>
      <c r="M999" s="8" t="s">
        <v>3195</v>
      </c>
      <c r="N999" s="8" t="s">
        <v>1890</v>
      </c>
      <c r="O999" s="8" t="s">
        <v>1935</v>
      </c>
      <c r="P999" s="8">
        <v>796</v>
      </c>
      <c r="Q999" s="8" t="s">
        <v>3196</v>
      </c>
      <c r="R999" s="10">
        <v>40</v>
      </c>
      <c r="S999" s="10">
        <v>306</v>
      </c>
      <c r="T999" s="10">
        <f t="shared" si="433"/>
        <v>12240</v>
      </c>
      <c r="U999" s="10">
        <f t="shared" si="434"/>
        <v>13708.800000000001</v>
      </c>
      <c r="V999" s="11"/>
      <c r="W999" s="11">
        <v>2015</v>
      </c>
      <c r="X999" s="1"/>
    </row>
    <row r="1000" spans="1:24" ht="76.5" customHeight="1" outlineLevel="1" x14ac:dyDescent="0.2">
      <c r="A1000" s="1" t="s">
        <v>4887</v>
      </c>
      <c r="B1000" s="24" t="s">
        <v>5277</v>
      </c>
      <c r="C1000" s="25" t="s">
        <v>2319</v>
      </c>
      <c r="D1000" s="25" t="s">
        <v>2320</v>
      </c>
      <c r="E1000" s="25" t="s">
        <v>2321</v>
      </c>
      <c r="F1000" s="25" t="s">
        <v>2322</v>
      </c>
      <c r="G1000" s="1" t="s">
        <v>1888</v>
      </c>
      <c r="H1000" s="17">
        <v>0.5</v>
      </c>
      <c r="I1000" s="18">
        <v>710000000</v>
      </c>
      <c r="J1000" s="4" t="s">
        <v>1931</v>
      </c>
      <c r="K1000" s="4" t="s">
        <v>5297</v>
      </c>
      <c r="L1000" s="7" t="s">
        <v>1889</v>
      </c>
      <c r="M1000" s="8" t="s">
        <v>3195</v>
      </c>
      <c r="N1000" s="8" t="s">
        <v>1890</v>
      </c>
      <c r="O1000" s="8" t="s">
        <v>1935</v>
      </c>
      <c r="P1000" s="8">
        <v>796</v>
      </c>
      <c r="Q1000" s="8" t="s">
        <v>3196</v>
      </c>
      <c r="R1000" s="10">
        <v>310</v>
      </c>
      <c r="S1000" s="10">
        <v>492.16</v>
      </c>
      <c r="T1000" s="10">
        <f t="shared" si="433"/>
        <v>152569.60000000001</v>
      </c>
      <c r="U1000" s="10">
        <f t="shared" si="434"/>
        <v>170877.95200000002</v>
      </c>
      <c r="V1000" s="11"/>
      <c r="W1000" s="11">
        <v>2015</v>
      </c>
      <c r="X1000" s="1"/>
    </row>
    <row r="1001" spans="1:24" ht="76.5" customHeight="1" outlineLevel="1" x14ac:dyDescent="0.2">
      <c r="A1001" s="1" t="s">
        <v>4888</v>
      </c>
      <c r="B1001" s="24" t="s">
        <v>5277</v>
      </c>
      <c r="C1001" s="7" t="s">
        <v>1815</v>
      </c>
      <c r="D1001" s="7" t="s">
        <v>5651</v>
      </c>
      <c r="E1001" s="18" t="s">
        <v>5652</v>
      </c>
      <c r="F1001" s="25" t="s">
        <v>5653</v>
      </c>
      <c r="G1001" s="1" t="s">
        <v>1888</v>
      </c>
      <c r="H1001" s="17">
        <v>0.5</v>
      </c>
      <c r="I1001" s="18">
        <v>710000000</v>
      </c>
      <c r="J1001" s="4" t="s">
        <v>1931</v>
      </c>
      <c r="K1001" s="4" t="s">
        <v>5297</v>
      </c>
      <c r="L1001" s="7" t="s">
        <v>1889</v>
      </c>
      <c r="M1001" s="8" t="s">
        <v>3195</v>
      </c>
      <c r="N1001" s="8" t="s">
        <v>1890</v>
      </c>
      <c r="O1001" s="8" t="s">
        <v>1935</v>
      </c>
      <c r="P1001" s="1">
        <v>778</v>
      </c>
      <c r="Q1001" s="4" t="s">
        <v>3327</v>
      </c>
      <c r="R1001" s="10">
        <v>55</v>
      </c>
      <c r="S1001" s="10">
        <v>709.2</v>
      </c>
      <c r="T1001" s="10">
        <f t="shared" si="433"/>
        <v>39006</v>
      </c>
      <c r="U1001" s="10">
        <f t="shared" si="434"/>
        <v>43686.720000000001</v>
      </c>
      <c r="V1001" s="11"/>
      <c r="W1001" s="11">
        <v>2015</v>
      </c>
      <c r="X1001" s="1"/>
    </row>
    <row r="1002" spans="1:24" ht="76.5" customHeight="1" outlineLevel="1" x14ac:dyDescent="0.2">
      <c r="A1002" s="1" t="s">
        <v>4889</v>
      </c>
      <c r="B1002" s="24" t="s">
        <v>5277</v>
      </c>
      <c r="C1002" s="18" t="s">
        <v>1816</v>
      </c>
      <c r="D1002" s="18" t="s">
        <v>5654</v>
      </c>
      <c r="E1002" s="24" t="s">
        <v>2323</v>
      </c>
      <c r="F1002" s="25"/>
      <c r="G1002" s="1" t="s">
        <v>1888</v>
      </c>
      <c r="H1002" s="17">
        <v>0.5</v>
      </c>
      <c r="I1002" s="18">
        <v>710000000</v>
      </c>
      <c r="J1002" s="4" t="s">
        <v>1931</v>
      </c>
      <c r="K1002" s="4" t="s">
        <v>5297</v>
      </c>
      <c r="L1002" s="7" t="s">
        <v>1889</v>
      </c>
      <c r="M1002" s="8" t="s">
        <v>3195</v>
      </c>
      <c r="N1002" s="8" t="s">
        <v>1890</v>
      </c>
      <c r="O1002" s="8" t="s">
        <v>1935</v>
      </c>
      <c r="P1002" s="1">
        <v>778</v>
      </c>
      <c r="Q1002" s="4" t="s">
        <v>3327</v>
      </c>
      <c r="R1002" s="10">
        <v>55</v>
      </c>
      <c r="S1002" s="10">
        <v>1492.33</v>
      </c>
      <c r="T1002" s="10">
        <f t="shared" si="433"/>
        <v>82078.149999999994</v>
      </c>
      <c r="U1002" s="10">
        <f t="shared" si="434"/>
        <v>91927.528000000006</v>
      </c>
      <c r="V1002" s="11"/>
      <c r="W1002" s="11">
        <v>2015</v>
      </c>
      <c r="X1002" s="1"/>
    </row>
    <row r="1003" spans="1:24" ht="76.5" customHeight="1" outlineLevel="1" x14ac:dyDescent="0.2">
      <c r="A1003" s="1" t="s">
        <v>4890</v>
      </c>
      <c r="B1003" s="24" t="s">
        <v>5277</v>
      </c>
      <c r="C1003" s="7" t="s">
        <v>1817</v>
      </c>
      <c r="D1003" s="7" t="s">
        <v>5655</v>
      </c>
      <c r="E1003" s="18" t="s">
        <v>2324</v>
      </c>
      <c r="F1003" s="25" t="s">
        <v>5656</v>
      </c>
      <c r="G1003" s="1" t="s">
        <v>1888</v>
      </c>
      <c r="H1003" s="17">
        <v>0.5</v>
      </c>
      <c r="I1003" s="18">
        <v>710000000</v>
      </c>
      <c r="J1003" s="4" t="s">
        <v>1931</v>
      </c>
      <c r="K1003" s="4" t="s">
        <v>5297</v>
      </c>
      <c r="L1003" s="7" t="s">
        <v>1889</v>
      </c>
      <c r="M1003" s="8" t="s">
        <v>3195</v>
      </c>
      <c r="N1003" s="8" t="s">
        <v>1890</v>
      </c>
      <c r="O1003" s="8" t="s">
        <v>1935</v>
      </c>
      <c r="P1003" s="8">
        <v>796</v>
      </c>
      <c r="Q1003" s="8" t="s">
        <v>3196</v>
      </c>
      <c r="R1003" s="10">
        <v>60</v>
      </c>
      <c r="S1003" s="10">
        <v>297.92</v>
      </c>
      <c r="T1003" s="10">
        <f t="shared" si="433"/>
        <v>17875.2</v>
      </c>
      <c r="U1003" s="10">
        <f t="shared" si="434"/>
        <v>20020.224000000002</v>
      </c>
      <c r="V1003" s="11"/>
      <c r="W1003" s="11">
        <v>2015</v>
      </c>
      <c r="X1003" s="1"/>
    </row>
    <row r="1004" spans="1:24" ht="76.5" customHeight="1" outlineLevel="1" x14ac:dyDescent="0.2">
      <c r="A1004" s="1" t="s">
        <v>4891</v>
      </c>
      <c r="B1004" s="24" t="s">
        <v>5277</v>
      </c>
      <c r="C1004" s="18" t="s">
        <v>1818</v>
      </c>
      <c r="D1004" s="18" t="s">
        <v>5657</v>
      </c>
      <c r="E1004" s="18" t="s">
        <v>7602</v>
      </c>
      <c r="F1004" s="25"/>
      <c r="G1004" s="1" t="s">
        <v>1888</v>
      </c>
      <c r="H1004" s="17">
        <v>0.5</v>
      </c>
      <c r="I1004" s="18">
        <v>710000000</v>
      </c>
      <c r="J1004" s="4" t="s">
        <v>1931</v>
      </c>
      <c r="K1004" s="4" t="s">
        <v>5297</v>
      </c>
      <c r="L1004" s="7" t="s">
        <v>1889</v>
      </c>
      <c r="M1004" s="8" t="s">
        <v>3195</v>
      </c>
      <c r="N1004" s="8" t="s">
        <v>1890</v>
      </c>
      <c r="O1004" s="8" t="s">
        <v>1935</v>
      </c>
      <c r="P1004" s="8">
        <v>796</v>
      </c>
      <c r="Q1004" s="8" t="s">
        <v>3196</v>
      </c>
      <c r="R1004" s="10">
        <v>192</v>
      </c>
      <c r="S1004" s="10">
        <v>108.49</v>
      </c>
      <c r="T1004" s="10">
        <f t="shared" si="433"/>
        <v>20830.079999999998</v>
      </c>
      <c r="U1004" s="10">
        <f t="shared" si="434"/>
        <v>23329.689600000002</v>
      </c>
      <c r="V1004" s="11"/>
      <c r="W1004" s="11">
        <v>2015</v>
      </c>
      <c r="X1004" s="1"/>
    </row>
    <row r="1005" spans="1:24" ht="76.5" customHeight="1" outlineLevel="1" x14ac:dyDescent="0.2">
      <c r="A1005" s="1" t="s">
        <v>4892</v>
      </c>
      <c r="B1005" s="24" t="s">
        <v>5277</v>
      </c>
      <c r="C1005" s="22" t="s">
        <v>2325</v>
      </c>
      <c r="D1005" s="17" t="s">
        <v>2326</v>
      </c>
      <c r="E1005" s="25" t="s">
        <v>2327</v>
      </c>
      <c r="F1005" s="25"/>
      <c r="G1005" s="1" t="s">
        <v>1888</v>
      </c>
      <c r="H1005" s="17">
        <v>0.5</v>
      </c>
      <c r="I1005" s="18">
        <v>710000000</v>
      </c>
      <c r="J1005" s="4" t="s">
        <v>1931</v>
      </c>
      <c r="K1005" s="4" t="s">
        <v>5297</v>
      </c>
      <c r="L1005" s="7" t="s">
        <v>1889</v>
      </c>
      <c r="M1005" s="8" t="s">
        <v>3195</v>
      </c>
      <c r="N1005" s="8" t="s">
        <v>1890</v>
      </c>
      <c r="O1005" s="8" t="s">
        <v>1935</v>
      </c>
      <c r="P1005" s="1">
        <v>778</v>
      </c>
      <c r="Q1005" s="4" t="s">
        <v>3327</v>
      </c>
      <c r="R1005" s="10">
        <v>130</v>
      </c>
      <c r="S1005" s="10">
        <v>190</v>
      </c>
      <c r="T1005" s="10">
        <f t="shared" si="433"/>
        <v>24700</v>
      </c>
      <c r="U1005" s="10">
        <f t="shared" si="434"/>
        <v>27664.000000000004</v>
      </c>
      <c r="V1005" s="11"/>
      <c r="W1005" s="11">
        <v>2015</v>
      </c>
      <c r="X1005" s="1"/>
    </row>
    <row r="1006" spans="1:24" ht="76.5" customHeight="1" outlineLevel="1" x14ac:dyDescent="0.2">
      <c r="A1006" s="1" t="s">
        <v>4893</v>
      </c>
      <c r="B1006" s="24" t="s">
        <v>5277</v>
      </c>
      <c r="C1006" s="7" t="s">
        <v>1819</v>
      </c>
      <c r="D1006" s="7" t="s">
        <v>5658</v>
      </c>
      <c r="E1006" s="18" t="s">
        <v>5659</v>
      </c>
      <c r="F1006" s="25" t="s">
        <v>5660</v>
      </c>
      <c r="G1006" s="1" t="s">
        <v>1888</v>
      </c>
      <c r="H1006" s="17">
        <v>0.5</v>
      </c>
      <c r="I1006" s="18">
        <v>710000000</v>
      </c>
      <c r="J1006" s="4" t="s">
        <v>1931</v>
      </c>
      <c r="K1006" s="4" t="s">
        <v>5297</v>
      </c>
      <c r="L1006" s="7" t="s">
        <v>1889</v>
      </c>
      <c r="M1006" s="8" t="s">
        <v>3195</v>
      </c>
      <c r="N1006" s="8" t="s">
        <v>1890</v>
      </c>
      <c r="O1006" s="8" t="s">
        <v>1935</v>
      </c>
      <c r="P1006" s="8">
        <v>796</v>
      </c>
      <c r="Q1006" s="8" t="s">
        <v>3196</v>
      </c>
      <c r="R1006" s="10">
        <v>25</v>
      </c>
      <c r="S1006" s="10">
        <v>950.88</v>
      </c>
      <c r="T1006" s="10">
        <f t="shared" si="433"/>
        <v>23772</v>
      </c>
      <c r="U1006" s="10">
        <f t="shared" si="434"/>
        <v>26624.640000000003</v>
      </c>
      <c r="V1006" s="11"/>
      <c r="W1006" s="11">
        <v>2015</v>
      </c>
      <c r="X1006" s="1"/>
    </row>
    <row r="1007" spans="1:24" ht="76.5" customHeight="1" outlineLevel="1" x14ac:dyDescent="0.2">
      <c r="A1007" s="1" t="s">
        <v>4894</v>
      </c>
      <c r="B1007" s="24" t="s">
        <v>5277</v>
      </c>
      <c r="C1007" s="7" t="s">
        <v>1819</v>
      </c>
      <c r="D1007" s="7" t="s">
        <v>5658</v>
      </c>
      <c r="E1007" s="18" t="s">
        <v>5659</v>
      </c>
      <c r="F1007" s="25" t="s">
        <v>2328</v>
      </c>
      <c r="G1007" s="1" t="s">
        <v>1888</v>
      </c>
      <c r="H1007" s="17">
        <v>0.5</v>
      </c>
      <c r="I1007" s="18">
        <v>710000000</v>
      </c>
      <c r="J1007" s="4" t="s">
        <v>1931</v>
      </c>
      <c r="K1007" s="4" t="s">
        <v>5297</v>
      </c>
      <c r="L1007" s="7" t="s">
        <v>1889</v>
      </c>
      <c r="M1007" s="8" t="s">
        <v>3195</v>
      </c>
      <c r="N1007" s="8" t="s">
        <v>1890</v>
      </c>
      <c r="O1007" s="8" t="s">
        <v>1935</v>
      </c>
      <c r="P1007" s="8">
        <v>796</v>
      </c>
      <c r="Q1007" s="8" t="s">
        <v>3196</v>
      </c>
      <c r="R1007" s="10">
        <v>325</v>
      </c>
      <c r="S1007" s="10">
        <v>49.7</v>
      </c>
      <c r="T1007" s="10">
        <f t="shared" si="433"/>
        <v>16152.500000000002</v>
      </c>
      <c r="U1007" s="10">
        <f t="shared" si="434"/>
        <v>18090.800000000003</v>
      </c>
      <c r="V1007" s="11"/>
      <c r="W1007" s="11">
        <v>2015</v>
      </c>
      <c r="X1007" s="1"/>
    </row>
    <row r="1008" spans="1:24" ht="76.5" customHeight="1" outlineLevel="1" x14ac:dyDescent="0.2">
      <c r="A1008" s="1" t="s">
        <v>4895</v>
      </c>
      <c r="B1008" s="24" t="s">
        <v>5277</v>
      </c>
      <c r="C1008" s="7" t="s">
        <v>1821</v>
      </c>
      <c r="D1008" s="7" t="s">
        <v>5661</v>
      </c>
      <c r="E1008" s="18" t="s">
        <v>5662</v>
      </c>
      <c r="F1008" s="25" t="s">
        <v>5663</v>
      </c>
      <c r="G1008" s="1" t="s">
        <v>1888</v>
      </c>
      <c r="H1008" s="17">
        <v>0.5</v>
      </c>
      <c r="I1008" s="18">
        <v>710000000</v>
      </c>
      <c r="J1008" s="4" t="s">
        <v>1931</v>
      </c>
      <c r="K1008" s="4" t="s">
        <v>5297</v>
      </c>
      <c r="L1008" s="7" t="s">
        <v>1889</v>
      </c>
      <c r="M1008" s="8" t="s">
        <v>3195</v>
      </c>
      <c r="N1008" s="8" t="s">
        <v>1890</v>
      </c>
      <c r="O1008" s="8" t="s">
        <v>1935</v>
      </c>
      <c r="P1008" s="1">
        <v>5111</v>
      </c>
      <c r="Q1008" s="4" t="s">
        <v>5298</v>
      </c>
      <c r="R1008" s="10">
        <v>5</v>
      </c>
      <c r="S1008" s="10">
        <v>333</v>
      </c>
      <c r="T1008" s="10">
        <f t="shared" si="433"/>
        <v>1665</v>
      </c>
      <c r="U1008" s="10">
        <f t="shared" si="434"/>
        <v>1864.8000000000002</v>
      </c>
      <c r="V1008" s="11"/>
      <c r="W1008" s="11">
        <v>2015</v>
      </c>
      <c r="X1008" s="1"/>
    </row>
    <row r="1009" spans="1:24" ht="76.5" customHeight="1" outlineLevel="1" x14ac:dyDescent="0.2">
      <c r="A1009" s="1" t="s">
        <v>4896</v>
      </c>
      <c r="B1009" s="24" t="s">
        <v>5277</v>
      </c>
      <c r="C1009" s="25" t="s">
        <v>2253</v>
      </c>
      <c r="D1009" s="25" t="s">
        <v>2254</v>
      </c>
      <c r="E1009" s="25" t="s">
        <v>2255</v>
      </c>
      <c r="F1009" s="25" t="s">
        <v>5621</v>
      </c>
      <c r="G1009" s="1" t="s">
        <v>1888</v>
      </c>
      <c r="H1009" s="17">
        <v>0.5</v>
      </c>
      <c r="I1009" s="18">
        <v>710000000</v>
      </c>
      <c r="J1009" s="4" t="s">
        <v>1931</v>
      </c>
      <c r="K1009" s="4" t="s">
        <v>5297</v>
      </c>
      <c r="L1009" s="7" t="s">
        <v>1889</v>
      </c>
      <c r="M1009" s="8" t="s">
        <v>3195</v>
      </c>
      <c r="N1009" s="8" t="s">
        <v>1890</v>
      </c>
      <c r="O1009" s="8" t="s">
        <v>1935</v>
      </c>
      <c r="P1009" s="1">
        <v>778</v>
      </c>
      <c r="Q1009" s="4" t="s">
        <v>3327</v>
      </c>
      <c r="R1009" s="10">
        <v>55</v>
      </c>
      <c r="S1009" s="10">
        <v>377.5</v>
      </c>
      <c r="T1009" s="10">
        <f t="shared" si="433"/>
        <v>20762.5</v>
      </c>
      <c r="U1009" s="10">
        <f t="shared" si="434"/>
        <v>23254.000000000004</v>
      </c>
      <c r="V1009" s="11"/>
      <c r="W1009" s="11">
        <v>2015</v>
      </c>
      <c r="X1009" s="1"/>
    </row>
    <row r="1010" spans="1:24" ht="76.5" customHeight="1" outlineLevel="1" x14ac:dyDescent="0.2">
      <c r="A1010" s="1" t="s">
        <v>4897</v>
      </c>
      <c r="B1010" s="25" t="s">
        <v>5277</v>
      </c>
      <c r="C1010" s="25" t="s">
        <v>2329</v>
      </c>
      <c r="D1010" s="25" t="s">
        <v>5619</v>
      </c>
      <c r="E1010" s="25" t="s">
        <v>2330</v>
      </c>
      <c r="F1010" s="25" t="s">
        <v>2331</v>
      </c>
      <c r="G1010" s="1" t="s">
        <v>1888</v>
      </c>
      <c r="H1010" s="17">
        <v>0.5</v>
      </c>
      <c r="I1010" s="18">
        <v>710000000</v>
      </c>
      <c r="J1010" s="4" t="s">
        <v>1931</v>
      </c>
      <c r="K1010" s="4" t="s">
        <v>5297</v>
      </c>
      <c r="L1010" s="7" t="s">
        <v>1889</v>
      </c>
      <c r="M1010" s="8" t="s">
        <v>3195</v>
      </c>
      <c r="N1010" s="8" t="s">
        <v>1890</v>
      </c>
      <c r="O1010" s="8" t="s">
        <v>1935</v>
      </c>
      <c r="P1010" s="8">
        <v>796</v>
      </c>
      <c r="Q1010" s="8" t="s">
        <v>3196</v>
      </c>
      <c r="R1010" s="10">
        <v>779</v>
      </c>
      <c r="S1010" s="10">
        <v>98</v>
      </c>
      <c r="T1010" s="10">
        <f t="shared" si="433"/>
        <v>76342</v>
      </c>
      <c r="U1010" s="10">
        <f t="shared" si="434"/>
        <v>85503.040000000008</v>
      </c>
      <c r="V1010" s="11"/>
      <c r="W1010" s="11">
        <v>2015</v>
      </c>
      <c r="X1010" s="1"/>
    </row>
    <row r="1011" spans="1:24" ht="76.5" customHeight="1" outlineLevel="1" x14ac:dyDescent="0.2">
      <c r="A1011" s="1" t="s">
        <v>4898</v>
      </c>
      <c r="B1011" s="24" t="s">
        <v>5277</v>
      </c>
      <c r="C1011" s="25" t="s">
        <v>5129</v>
      </c>
      <c r="D1011" s="25" t="s">
        <v>5674</v>
      </c>
      <c r="E1011" s="25" t="s">
        <v>2257</v>
      </c>
      <c r="F1011" s="25" t="s">
        <v>5626</v>
      </c>
      <c r="G1011" s="1" t="s">
        <v>1888</v>
      </c>
      <c r="H1011" s="17">
        <v>0.5</v>
      </c>
      <c r="I1011" s="18">
        <v>710000000</v>
      </c>
      <c r="J1011" s="4" t="s">
        <v>1931</v>
      </c>
      <c r="K1011" s="4" t="s">
        <v>5297</v>
      </c>
      <c r="L1011" s="7" t="s">
        <v>1889</v>
      </c>
      <c r="M1011" s="8" t="s">
        <v>3195</v>
      </c>
      <c r="N1011" s="8" t="s">
        <v>1890</v>
      </c>
      <c r="O1011" s="8" t="s">
        <v>1935</v>
      </c>
      <c r="P1011" s="1" t="s">
        <v>3443</v>
      </c>
      <c r="Q1011" s="4" t="s">
        <v>5676</v>
      </c>
      <c r="R1011" s="10">
        <v>190</v>
      </c>
      <c r="S1011" s="10">
        <v>121.82</v>
      </c>
      <c r="T1011" s="10">
        <f t="shared" si="433"/>
        <v>23145.8</v>
      </c>
      <c r="U1011" s="10">
        <f t="shared" si="434"/>
        <v>25923.296000000002</v>
      </c>
      <c r="V1011" s="11"/>
      <c r="W1011" s="11">
        <v>2015</v>
      </c>
      <c r="X1011" s="1"/>
    </row>
    <row r="1012" spans="1:24" ht="76.5" customHeight="1" outlineLevel="1" x14ac:dyDescent="0.2">
      <c r="A1012" s="1" t="s">
        <v>4899</v>
      </c>
      <c r="B1012" s="24" t="s">
        <v>5277</v>
      </c>
      <c r="C1012" s="25" t="s">
        <v>2261</v>
      </c>
      <c r="D1012" s="25" t="s">
        <v>2262</v>
      </c>
      <c r="E1012" s="25" t="s">
        <v>2263</v>
      </c>
      <c r="F1012" s="25"/>
      <c r="G1012" s="1" t="s">
        <v>1888</v>
      </c>
      <c r="H1012" s="17">
        <v>0.5</v>
      </c>
      <c r="I1012" s="18">
        <v>710000000</v>
      </c>
      <c r="J1012" s="4" t="s">
        <v>1931</v>
      </c>
      <c r="K1012" s="4" t="s">
        <v>5297</v>
      </c>
      <c r="L1012" s="7" t="s">
        <v>1889</v>
      </c>
      <c r="M1012" s="8" t="s">
        <v>3195</v>
      </c>
      <c r="N1012" s="8" t="s">
        <v>1890</v>
      </c>
      <c r="O1012" s="8" t="s">
        <v>1935</v>
      </c>
      <c r="P1012" s="1" t="s">
        <v>3010</v>
      </c>
      <c r="Q1012" s="4" t="s">
        <v>3009</v>
      </c>
      <c r="R1012" s="10">
        <v>36</v>
      </c>
      <c r="S1012" s="10">
        <v>186.61</v>
      </c>
      <c r="T1012" s="10">
        <f t="shared" si="433"/>
        <v>6717.9600000000009</v>
      </c>
      <c r="U1012" s="10">
        <f t="shared" si="434"/>
        <v>7524.115200000002</v>
      </c>
      <c r="V1012" s="11"/>
      <c r="W1012" s="11">
        <v>2015</v>
      </c>
      <c r="X1012" s="1"/>
    </row>
    <row r="1013" spans="1:24" ht="76.5" customHeight="1" outlineLevel="1" x14ac:dyDescent="0.2">
      <c r="A1013" s="1" t="s">
        <v>4900</v>
      </c>
      <c r="B1013" s="24" t="s">
        <v>5277</v>
      </c>
      <c r="C1013" s="7" t="s">
        <v>3129</v>
      </c>
      <c r="D1013" s="7" t="s">
        <v>5624</v>
      </c>
      <c r="E1013" s="18" t="s">
        <v>5625</v>
      </c>
      <c r="F1013" s="25"/>
      <c r="G1013" s="1" t="s">
        <v>1888</v>
      </c>
      <c r="H1013" s="17">
        <v>0.5</v>
      </c>
      <c r="I1013" s="18">
        <v>710000000</v>
      </c>
      <c r="J1013" s="4" t="s">
        <v>1931</v>
      </c>
      <c r="K1013" s="4" t="s">
        <v>5297</v>
      </c>
      <c r="L1013" s="7" t="s">
        <v>1889</v>
      </c>
      <c r="M1013" s="8" t="s">
        <v>3195</v>
      </c>
      <c r="N1013" s="8" t="s">
        <v>1890</v>
      </c>
      <c r="O1013" s="8" t="s">
        <v>1935</v>
      </c>
      <c r="P1013" s="1" t="s">
        <v>3010</v>
      </c>
      <c r="Q1013" s="4" t="s">
        <v>3009</v>
      </c>
      <c r="R1013" s="10">
        <v>854</v>
      </c>
      <c r="S1013" s="10">
        <v>172.2</v>
      </c>
      <c r="T1013" s="10">
        <f t="shared" si="433"/>
        <v>147058.79999999999</v>
      </c>
      <c r="U1013" s="10">
        <f t="shared" si="434"/>
        <v>164705.856</v>
      </c>
      <c r="V1013" s="11"/>
      <c r="W1013" s="11">
        <v>2015</v>
      </c>
      <c r="X1013" s="1"/>
    </row>
    <row r="1014" spans="1:24" ht="76.5" customHeight="1" outlineLevel="1" x14ac:dyDescent="0.2">
      <c r="A1014" s="1" t="s">
        <v>4901</v>
      </c>
      <c r="B1014" s="24" t="s">
        <v>5277</v>
      </c>
      <c r="C1014" s="18" t="s">
        <v>2332</v>
      </c>
      <c r="D1014" s="18" t="s">
        <v>5529</v>
      </c>
      <c r="E1014" s="18" t="s">
        <v>2333</v>
      </c>
      <c r="F1014" s="25"/>
      <c r="G1014" s="1" t="s">
        <v>1888</v>
      </c>
      <c r="H1014" s="17">
        <v>0.5</v>
      </c>
      <c r="I1014" s="18">
        <v>710000000</v>
      </c>
      <c r="J1014" s="4" t="s">
        <v>1931</v>
      </c>
      <c r="K1014" s="4" t="s">
        <v>5297</v>
      </c>
      <c r="L1014" s="7" t="s">
        <v>1889</v>
      </c>
      <c r="M1014" s="8" t="s">
        <v>3195</v>
      </c>
      <c r="N1014" s="8" t="s">
        <v>1890</v>
      </c>
      <c r="O1014" s="8" t="s">
        <v>1935</v>
      </c>
      <c r="P1014" s="8">
        <v>796</v>
      </c>
      <c r="Q1014" s="8" t="s">
        <v>3196</v>
      </c>
      <c r="R1014" s="10">
        <v>18</v>
      </c>
      <c r="S1014" s="10">
        <v>380.5</v>
      </c>
      <c r="T1014" s="10">
        <f t="shared" si="433"/>
        <v>6849</v>
      </c>
      <c r="U1014" s="10">
        <f t="shared" si="434"/>
        <v>7670.880000000001</v>
      </c>
      <c r="V1014" s="11"/>
      <c r="W1014" s="11">
        <v>2015</v>
      </c>
      <c r="X1014" s="1"/>
    </row>
    <row r="1015" spans="1:24" ht="76.5" customHeight="1" outlineLevel="1" x14ac:dyDescent="0.2">
      <c r="A1015" s="1" t="s">
        <v>4902</v>
      </c>
      <c r="B1015" s="24" t="s">
        <v>5277</v>
      </c>
      <c r="C1015" s="25" t="s">
        <v>2334</v>
      </c>
      <c r="D1015" s="25" t="s">
        <v>5529</v>
      </c>
      <c r="E1015" s="25" t="s">
        <v>2335</v>
      </c>
      <c r="F1015" s="25"/>
      <c r="G1015" s="1" t="s">
        <v>1888</v>
      </c>
      <c r="H1015" s="17">
        <v>0.5</v>
      </c>
      <c r="I1015" s="18">
        <v>710000000</v>
      </c>
      <c r="J1015" s="4" t="s">
        <v>1931</v>
      </c>
      <c r="K1015" s="4" t="s">
        <v>5297</v>
      </c>
      <c r="L1015" s="7" t="s">
        <v>1889</v>
      </c>
      <c r="M1015" s="8" t="s">
        <v>3195</v>
      </c>
      <c r="N1015" s="8" t="s">
        <v>1890</v>
      </c>
      <c r="O1015" s="8" t="s">
        <v>1935</v>
      </c>
      <c r="P1015" s="8">
        <v>796</v>
      </c>
      <c r="Q1015" s="8" t="s">
        <v>3196</v>
      </c>
      <c r="R1015" s="10">
        <v>18</v>
      </c>
      <c r="S1015" s="10">
        <v>301.17</v>
      </c>
      <c r="T1015" s="10">
        <f t="shared" si="433"/>
        <v>5421.06</v>
      </c>
      <c r="U1015" s="10">
        <f t="shared" si="434"/>
        <v>6071.5872000000008</v>
      </c>
      <c r="V1015" s="11"/>
      <c r="W1015" s="11">
        <v>2015</v>
      </c>
      <c r="X1015" s="1"/>
    </row>
    <row r="1016" spans="1:24" ht="76.5" customHeight="1" outlineLevel="1" x14ac:dyDescent="0.2">
      <c r="A1016" s="1" t="s">
        <v>4903</v>
      </c>
      <c r="B1016" s="24" t="s">
        <v>5277</v>
      </c>
      <c r="C1016" s="25" t="s">
        <v>2336</v>
      </c>
      <c r="D1016" s="25" t="s">
        <v>5529</v>
      </c>
      <c r="E1016" s="25" t="s">
        <v>2337</v>
      </c>
      <c r="F1016" s="25" t="s">
        <v>2338</v>
      </c>
      <c r="G1016" s="1" t="s">
        <v>1888</v>
      </c>
      <c r="H1016" s="17">
        <v>0.5</v>
      </c>
      <c r="I1016" s="18">
        <v>710000000</v>
      </c>
      <c r="J1016" s="4" t="s">
        <v>1931</v>
      </c>
      <c r="K1016" s="4" t="s">
        <v>5297</v>
      </c>
      <c r="L1016" s="7" t="s">
        <v>1889</v>
      </c>
      <c r="M1016" s="8" t="s">
        <v>3195</v>
      </c>
      <c r="N1016" s="8" t="s">
        <v>1890</v>
      </c>
      <c r="O1016" s="8" t="s">
        <v>1935</v>
      </c>
      <c r="P1016" s="8">
        <v>796</v>
      </c>
      <c r="Q1016" s="8" t="s">
        <v>3196</v>
      </c>
      <c r="R1016" s="10">
        <v>2</v>
      </c>
      <c r="S1016" s="10">
        <v>190</v>
      </c>
      <c r="T1016" s="10">
        <f t="shared" si="433"/>
        <v>380</v>
      </c>
      <c r="U1016" s="10">
        <f t="shared" si="434"/>
        <v>425.6</v>
      </c>
      <c r="V1016" s="11"/>
      <c r="W1016" s="11">
        <v>2015</v>
      </c>
      <c r="X1016" s="1"/>
    </row>
    <row r="1017" spans="1:24" ht="76.5" customHeight="1" outlineLevel="1" x14ac:dyDescent="0.2">
      <c r="A1017" s="1" t="s">
        <v>4904</v>
      </c>
      <c r="B1017" s="24" t="s">
        <v>5277</v>
      </c>
      <c r="C1017" s="25" t="s">
        <v>3799</v>
      </c>
      <c r="D1017" s="25" t="s">
        <v>3800</v>
      </c>
      <c r="E1017" s="25" t="s">
        <v>5546</v>
      </c>
      <c r="F1017" s="25" t="s">
        <v>2339</v>
      </c>
      <c r="G1017" s="1" t="s">
        <v>1888</v>
      </c>
      <c r="H1017" s="17">
        <v>0.5</v>
      </c>
      <c r="I1017" s="18">
        <v>710000000</v>
      </c>
      <c r="J1017" s="4" t="s">
        <v>1931</v>
      </c>
      <c r="K1017" s="4" t="s">
        <v>5297</v>
      </c>
      <c r="L1017" s="7" t="s">
        <v>1889</v>
      </c>
      <c r="M1017" s="8" t="s">
        <v>3195</v>
      </c>
      <c r="N1017" s="8" t="s">
        <v>1890</v>
      </c>
      <c r="O1017" s="8" t="s">
        <v>1935</v>
      </c>
      <c r="P1017" s="1">
        <v>778</v>
      </c>
      <c r="Q1017" s="4" t="s">
        <v>3327</v>
      </c>
      <c r="R1017" s="10">
        <v>221</v>
      </c>
      <c r="S1017" s="10">
        <v>113.51</v>
      </c>
      <c r="T1017" s="10">
        <f t="shared" si="433"/>
        <v>25085.710000000003</v>
      </c>
      <c r="U1017" s="10">
        <f t="shared" si="434"/>
        <v>28095.995200000005</v>
      </c>
      <c r="V1017" s="11"/>
      <c r="W1017" s="11">
        <v>2015</v>
      </c>
      <c r="X1017" s="1"/>
    </row>
    <row r="1018" spans="1:24" ht="76.5" customHeight="1" outlineLevel="1" x14ac:dyDescent="0.2">
      <c r="A1018" s="1" t="s">
        <v>4905</v>
      </c>
      <c r="B1018" s="24" t="s">
        <v>5277</v>
      </c>
      <c r="C1018" s="7" t="s">
        <v>2340</v>
      </c>
      <c r="D1018" s="7" t="s">
        <v>2341</v>
      </c>
      <c r="E1018" s="18" t="s">
        <v>2342</v>
      </c>
      <c r="F1018" s="25" t="s">
        <v>2343</v>
      </c>
      <c r="G1018" s="1" t="s">
        <v>1888</v>
      </c>
      <c r="H1018" s="17">
        <v>0.5</v>
      </c>
      <c r="I1018" s="18">
        <v>710000000</v>
      </c>
      <c r="J1018" s="4" t="s">
        <v>1931</v>
      </c>
      <c r="K1018" s="4" t="s">
        <v>5297</v>
      </c>
      <c r="L1018" s="7" t="s">
        <v>1889</v>
      </c>
      <c r="M1018" s="8" t="s">
        <v>3195</v>
      </c>
      <c r="N1018" s="8" t="s">
        <v>1890</v>
      </c>
      <c r="O1018" s="8" t="s">
        <v>1935</v>
      </c>
      <c r="P1018" s="1">
        <v>736</v>
      </c>
      <c r="Q1018" s="4" t="s">
        <v>5475</v>
      </c>
      <c r="R1018" s="10">
        <v>565</v>
      </c>
      <c r="S1018" s="10">
        <v>214.81</v>
      </c>
      <c r="T1018" s="10">
        <f t="shared" si="433"/>
        <v>121367.65</v>
      </c>
      <c r="U1018" s="10">
        <f t="shared" si="434"/>
        <v>135931.76800000001</v>
      </c>
      <c r="V1018" s="11"/>
      <c r="W1018" s="11">
        <v>2015</v>
      </c>
      <c r="X1018" s="1"/>
    </row>
    <row r="1019" spans="1:24" ht="76.5" customHeight="1" outlineLevel="1" x14ac:dyDescent="0.2">
      <c r="A1019" s="1" t="s">
        <v>4906</v>
      </c>
      <c r="B1019" s="24" t="s">
        <v>5277</v>
      </c>
      <c r="C1019" s="7" t="s">
        <v>2340</v>
      </c>
      <c r="D1019" s="7" t="s">
        <v>2341</v>
      </c>
      <c r="E1019" s="18" t="s">
        <v>2342</v>
      </c>
      <c r="F1019" s="25" t="s">
        <v>2344</v>
      </c>
      <c r="G1019" s="1" t="s">
        <v>1888</v>
      </c>
      <c r="H1019" s="17">
        <v>0.5</v>
      </c>
      <c r="I1019" s="18">
        <v>710000000</v>
      </c>
      <c r="J1019" s="4" t="s">
        <v>1931</v>
      </c>
      <c r="K1019" s="4" t="s">
        <v>5297</v>
      </c>
      <c r="L1019" s="7" t="s">
        <v>1889</v>
      </c>
      <c r="M1019" s="8" t="s">
        <v>3195</v>
      </c>
      <c r="N1019" s="8" t="s">
        <v>1890</v>
      </c>
      <c r="O1019" s="8" t="s">
        <v>1935</v>
      </c>
      <c r="P1019" s="1">
        <v>736</v>
      </c>
      <c r="Q1019" s="4" t="s">
        <v>5475</v>
      </c>
      <c r="R1019" s="10">
        <v>505</v>
      </c>
      <c r="S1019" s="10">
        <v>143.26</v>
      </c>
      <c r="T1019" s="10">
        <f t="shared" si="433"/>
        <v>72346.299999999988</v>
      </c>
      <c r="U1019" s="10">
        <f t="shared" si="434"/>
        <v>81027.856</v>
      </c>
      <c r="V1019" s="11"/>
      <c r="W1019" s="11">
        <v>2015</v>
      </c>
      <c r="X1019" s="1"/>
    </row>
    <row r="1020" spans="1:24" ht="76.5" customHeight="1" outlineLevel="1" x14ac:dyDescent="0.2">
      <c r="A1020" s="1" t="s">
        <v>4907</v>
      </c>
      <c r="B1020" s="24" t="s">
        <v>5277</v>
      </c>
      <c r="C1020" s="7" t="s">
        <v>1823</v>
      </c>
      <c r="D1020" s="7" t="s">
        <v>1824</v>
      </c>
      <c r="E1020" s="18" t="s">
        <v>5664</v>
      </c>
      <c r="F1020" s="25" t="s">
        <v>5665</v>
      </c>
      <c r="G1020" s="1" t="s">
        <v>1888</v>
      </c>
      <c r="H1020" s="17">
        <v>0.5</v>
      </c>
      <c r="I1020" s="18">
        <v>710000000</v>
      </c>
      <c r="J1020" s="4" t="s">
        <v>1931</v>
      </c>
      <c r="K1020" s="4" t="s">
        <v>5297</v>
      </c>
      <c r="L1020" s="7" t="s">
        <v>1889</v>
      </c>
      <c r="M1020" s="8" t="s">
        <v>3195</v>
      </c>
      <c r="N1020" s="8" t="s">
        <v>1890</v>
      </c>
      <c r="O1020" s="8" t="s">
        <v>1935</v>
      </c>
      <c r="P1020" s="1">
        <v>736</v>
      </c>
      <c r="Q1020" s="4" t="s">
        <v>5475</v>
      </c>
      <c r="R1020" s="10">
        <v>45</v>
      </c>
      <c r="S1020" s="10">
        <v>557.51</v>
      </c>
      <c r="T1020" s="10">
        <f t="shared" si="433"/>
        <v>25087.95</v>
      </c>
      <c r="U1020" s="10">
        <f t="shared" si="434"/>
        <v>28098.504000000004</v>
      </c>
      <c r="V1020" s="11"/>
      <c r="W1020" s="11">
        <v>2015</v>
      </c>
      <c r="X1020" s="1"/>
    </row>
    <row r="1021" spans="1:24" ht="76.5" customHeight="1" outlineLevel="1" x14ac:dyDescent="0.2">
      <c r="A1021" s="1" t="s">
        <v>4908</v>
      </c>
      <c r="B1021" s="24" t="s">
        <v>5277</v>
      </c>
      <c r="C1021" s="7" t="s">
        <v>1825</v>
      </c>
      <c r="D1021" s="7" t="s">
        <v>3891</v>
      </c>
      <c r="E1021" s="18" t="s">
        <v>5666</v>
      </c>
      <c r="F1021" s="25" t="s">
        <v>5667</v>
      </c>
      <c r="G1021" s="1" t="s">
        <v>1888</v>
      </c>
      <c r="H1021" s="17">
        <v>0.5</v>
      </c>
      <c r="I1021" s="18">
        <v>710000000</v>
      </c>
      <c r="J1021" s="4" t="s">
        <v>1931</v>
      </c>
      <c r="K1021" s="4" t="s">
        <v>5297</v>
      </c>
      <c r="L1021" s="7" t="s">
        <v>1889</v>
      </c>
      <c r="M1021" s="8" t="s">
        <v>3195</v>
      </c>
      <c r="N1021" s="8" t="s">
        <v>1890</v>
      </c>
      <c r="O1021" s="8" t="s">
        <v>1935</v>
      </c>
      <c r="P1021" s="1">
        <v>736</v>
      </c>
      <c r="Q1021" s="4" t="s">
        <v>5475</v>
      </c>
      <c r="R1021" s="10">
        <v>216</v>
      </c>
      <c r="S1021" s="10">
        <v>255.58</v>
      </c>
      <c r="T1021" s="10">
        <f t="shared" si="433"/>
        <v>55205.280000000006</v>
      </c>
      <c r="U1021" s="10">
        <f t="shared" si="434"/>
        <v>61829.913600000014</v>
      </c>
      <c r="V1021" s="11"/>
      <c r="W1021" s="11">
        <v>2015</v>
      </c>
      <c r="X1021" s="1"/>
    </row>
    <row r="1022" spans="1:24" ht="76.5" customHeight="1" outlineLevel="1" x14ac:dyDescent="0.2">
      <c r="A1022" s="1" t="s">
        <v>4909</v>
      </c>
      <c r="B1022" s="24" t="s">
        <v>5277</v>
      </c>
      <c r="C1022" s="25" t="s">
        <v>2345</v>
      </c>
      <c r="D1022" s="25" t="s">
        <v>2346</v>
      </c>
      <c r="E1022" s="25" t="s">
        <v>2347</v>
      </c>
      <c r="F1022" s="25"/>
      <c r="G1022" s="1" t="s">
        <v>1888</v>
      </c>
      <c r="H1022" s="17">
        <v>0.5</v>
      </c>
      <c r="I1022" s="18">
        <v>710000000</v>
      </c>
      <c r="J1022" s="4" t="s">
        <v>1931</v>
      </c>
      <c r="K1022" s="4" t="s">
        <v>5297</v>
      </c>
      <c r="L1022" s="7" t="s">
        <v>1889</v>
      </c>
      <c r="M1022" s="8" t="s">
        <v>3195</v>
      </c>
      <c r="N1022" s="8" t="s">
        <v>1890</v>
      </c>
      <c r="O1022" s="8" t="s">
        <v>1935</v>
      </c>
      <c r="P1022" s="8">
        <v>796</v>
      </c>
      <c r="Q1022" s="8" t="s">
        <v>3196</v>
      </c>
      <c r="R1022" s="10">
        <v>399</v>
      </c>
      <c r="S1022" s="10">
        <v>142.81</v>
      </c>
      <c r="T1022" s="10">
        <f t="shared" si="433"/>
        <v>56981.19</v>
      </c>
      <c r="U1022" s="10">
        <f t="shared" si="434"/>
        <v>63818.93280000001</v>
      </c>
      <c r="V1022" s="11"/>
      <c r="W1022" s="11">
        <v>2015</v>
      </c>
      <c r="X1022" s="1"/>
    </row>
    <row r="1023" spans="1:24" ht="76.5" customHeight="1" outlineLevel="1" x14ac:dyDescent="0.2">
      <c r="A1023" s="1" t="s">
        <v>4910</v>
      </c>
      <c r="B1023" s="24" t="s">
        <v>5277</v>
      </c>
      <c r="C1023" s="4" t="s">
        <v>2348</v>
      </c>
      <c r="D1023" s="1" t="s">
        <v>2289</v>
      </c>
      <c r="E1023" s="25" t="s">
        <v>2290</v>
      </c>
      <c r="F1023" s="25"/>
      <c r="G1023" s="1" t="s">
        <v>1888</v>
      </c>
      <c r="H1023" s="17">
        <v>0.5</v>
      </c>
      <c r="I1023" s="18">
        <v>710000000</v>
      </c>
      <c r="J1023" s="4" t="s">
        <v>1931</v>
      </c>
      <c r="K1023" s="4" t="s">
        <v>5297</v>
      </c>
      <c r="L1023" s="7" t="s">
        <v>1889</v>
      </c>
      <c r="M1023" s="8" t="s">
        <v>3195</v>
      </c>
      <c r="N1023" s="8" t="s">
        <v>1890</v>
      </c>
      <c r="O1023" s="8" t="s">
        <v>1935</v>
      </c>
      <c r="P1023" s="1">
        <v>778</v>
      </c>
      <c r="Q1023" s="4" t="s">
        <v>3327</v>
      </c>
      <c r="R1023" s="10">
        <v>56</v>
      </c>
      <c r="S1023" s="10">
        <v>168.91</v>
      </c>
      <c r="T1023" s="10">
        <f t="shared" si="433"/>
        <v>9458.9599999999991</v>
      </c>
      <c r="U1023" s="10">
        <f t="shared" si="434"/>
        <v>10594.0352</v>
      </c>
      <c r="V1023" s="11"/>
      <c r="W1023" s="11">
        <v>2015</v>
      </c>
      <c r="X1023" s="1"/>
    </row>
    <row r="1024" spans="1:24" ht="76.5" customHeight="1" outlineLevel="1" x14ac:dyDescent="0.2">
      <c r="A1024" s="1" t="s">
        <v>4911</v>
      </c>
      <c r="B1024" s="24" t="s">
        <v>5277</v>
      </c>
      <c r="C1024" s="25" t="s">
        <v>2349</v>
      </c>
      <c r="D1024" s="25" t="s">
        <v>2350</v>
      </c>
      <c r="E1024" s="25" t="s">
        <v>2351</v>
      </c>
      <c r="F1024" s="25" t="s">
        <v>2352</v>
      </c>
      <c r="G1024" s="1" t="s">
        <v>1888</v>
      </c>
      <c r="H1024" s="17">
        <v>0.5</v>
      </c>
      <c r="I1024" s="18">
        <v>710000000</v>
      </c>
      <c r="J1024" s="4" t="s">
        <v>1931</v>
      </c>
      <c r="K1024" s="4" t="s">
        <v>5297</v>
      </c>
      <c r="L1024" s="7" t="s">
        <v>1889</v>
      </c>
      <c r="M1024" s="8" t="s">
        <v>3195</v>
      </c>
      <c r="N1024" s="8" t="s">
        <v>1890</v>
      </c>
      <c r="O1024" s="8" t="s">
        <v>1935</v>
      </c>
      <c r="P1024" s="8">
        <v>796</v>
      </c>
      <c r="Q1024" s="8" t="s">
        <v>3196</v>
      </c>
      <c r="R1024" s="10">
        <v>50</v>
      </c>
      <c r="S1024" s="10">
        <v>525</v>
      </c>
      <c r="T1024" s="10">
        <f t="shared" si="433"/>
        <v>26250</v>
      </c>
      <c r="U1024" s="10">
        <f t="shared" si="434"/>
        <v>29400.000000000004</v>
      </c>
      <c r="V1024" s="11"/>
      <c r="W1024" s="11">
        <v>2015</v>
      </c>
      <c r="X1024" s="1"/>
    </row>
    <row r="1025" spans="1:24" ht="76.5" customHeight="1" outlineLevel="1" x14ac:dyDescent="0.2">
      <c r="A1025" s="1" t="s">
        <v>4912</v>
      </c>
      <c r="B1025" s="24" t="s">
        <v>5277</v>
      </c>
      <c r="C1025" s="4" t="s">
        <v>2353</v>
      </c>
      <c r="D1025" s="1" t="s">
        <v>2354</v>
      </c>
      <c r="E1025" s="1" t="s">
        <v>2355</v>
      </c>
      <c r="F1025" s="25" t="s">
        <v>2356</v>
      </c>
      <c r="G1025" s="1" t="s">
        <v>1888</v>
      </c>
      <c r="H1025" s="17">
        <v>0.5</v>
      </c>
      <c r="I1025" s="18">
        <v>710000000</v>
      </c>
      <c r="J1025" s="4" t="s">
        <v>1931</v>
      </c>
      <c r="K1025" s="4" t="s">
        <v>5297</v>
      </c>
      <c r="L1025" s="7" t="s">
        <v>1889</v>
      </c>
      <c r="M1025" s="8" t="s">
        <v>3195</v>
      </c>
      <c r="N1025" s="8" t="s">
        <v>1890</v>
      </c>
      <c r="O1025" s="8" t="s">
        <v>1935</v>
      </c>
      <c r="P1025" s="8">
        <v>796</v>
      </c>
      <c r="Q1025" s="8" t="s">
        <v>3196</v>
      </c>
      <c r="R1025" s="10">
        <v>312</v>
      </c>
      <c r="S1025" s="10">
        <v>108.41</v>
      </c>
      <c r="T1025" s="10">
        <f t="shared" si="433"/>
        <v>33823.919999999998</v>
      </c>
      <c r="U1025" s="10">
        <f t="shared" si="434"/>
        <v>37882.790399999998</v>
      </c>
      <c r="V1025" s="11"/>
      <c r="W1025" s="11">
        <v>2015</v>
      </c>
      <c r="X1025" s="1"/>
    </row>
    <row r="1026" spans="1:24" ht="76.5" customHeight="1" outlineLevel="1" x14ac:dyDescent="0.2">
      <c r="A1026" s="1" t="s">
        <v>4913</v>
      </c>
      <c r="B1026" s="24" t="s">
        <v>5277</v>
      </c>
      <c r="C1026" s="7" t="s">
        <v>1829</v>
      </c>
      <c r="D1026" s="7" t="s">
        <v>5526</v>
      </c>
      <c r="E1026" s="18" t="s">
        <v>5527</v>
      </c>
      <c r="F1026" s="25" t="s">
        <v>5528</v>
      </c>
      <c r="G1026" s="1" t="s">
        <v>1888</v>
      </c>
      <c r="H1026" s="17">
        <v>0.5</v>
      </c>
      <c r="I1026" s="18">
        <v>710000000</v>
      </c>
      <c r="J1026" s="4" t="s">
        <v>1931</v>
      </c>
      <c r="K1026" s="4" t="s">
        <v>5297</v>
      </c>
      <c r="L1026" s="7" t="s">
        <v>1889</v>
      </c>
      <c r="M1026" s="8" t="s">
        <v>3195</v>
      </c>
      <c r="N1026" s="8" t="s">
        <v>1890</v>
      </c>
      <c r="O1026" s="8" t="s">
        <v>1935</v>
      </c>
      <c r="P1026" s="8">
        <v>796</v>
      </c>
      <c r="Q1026" s="8" t="s">
        <v>3196</v>
      </c>
      <c r="R1026" s="10">
        <v>15</v>
      </c>
      <c r="S1026" s="10">
        <v>269.47000000000003</v>
      </c>
      <c r="T1026" s="10">
        <f t="shared" si="433"/>
        <v>4042.05</v>
      </c>
      <c r="U1026" s="10">
        <f t="shared" si="434"/>
        <v>4527.0960000000005</v>
      </c>
      <c r="V1026" s="11"/>
      <c r="W1026" s="11">
        <v>2015</v>
      </c>
      <c r="X1026" s="1"/>
    </row>
    <row r="1027" spans="1:24" ht="76.5" customHeight="1" outlineLevel="1" x14ac:dyDescent="0.2">
      <c r="A1027" s="1" t="s">
        <v>4914</v>
      </c>
      <c r="B1027" s="24" t="s">
        <v>5277</v>
      </c>
      <c r="C1027" s="7" t="s">
        <v>3131</v>
      </c>
      <c r="D1027" s="7" t="s">
        <v>5619</v>
      </c>
      <c r="E1027" s="18" t="s">
        <v>5620</v>
      </c>
      <c r="F1027" s="25" t="s">
        <v>2357</v>
      </c>
      <c r="G1027" s="1" t="s">
        <v>1888</v>
      </c>
      <c r="H1027" s="17">
        <v>0.5</v>
      </c>
      <c r="I1027" s="18">
        <v>710000000</v>
      </c>
      <c r="J1027" s="4" t="s">
        <v>1931</v>
      </c>
      <c r="K1027" s="4" t="s">
        <v>5297</v>
      </c>
      <c r="L1027" s="7" t="s">
        <v>5668</v>
      </c>
      <c r="M1027" s="8" t="s">
        <v>3195</v>
      </c>
      <c r="N1027" s="8" t="s">
        <v>1890</v>
      </c>
      <c r="O1027" s="8" t="s">
        <v>1935</v>
      </c>
      <c r="P1027" s="1">
        <v>778</v>
      </c>
      <c r="Q1027" s="4" t="s">
        <v>3327</v>
      </c>
      <c r="R1027" s="10">
        <v>1512</v>
      </c>
      <c r="S1027" s="10">
        <v>187.36</v>
      </c>
      <c r="T1027" s="10">
        <f t="shared" si="433"/>
        <v>283288.32000000001</v>
      </c>
      <c r="U1027" s="10">
        <f t="shared" si="434"/>
        <v>317282.91840000002</v>
      </c>
      <c r="V1027" s="1"/>
      <c r="W1027" s="11">
        <v>2015</v>
      </c>
      <c r="X1027" s="1"/>
    </row>
    <row r="1028" spans="1:24" ht="76.5" customHeight="1" outlineLevel="1" x14ac:dyDescent="0.2">
      <c r="A1028" s="1" t="s">
        <v>4915</v>
      </c>
      <c r="B1028" s="24" t="s">
        <v>5277</v>
      </c>
      <c r="C1028" s="7" t="s">
        <v>3453</v>
      </c>
      <c r="D1028" s="7" t="s">
        <v>5609</v>
      </c>
      <c r="E1028" s="18" t="s">
        <v>5669</v>
      </c>
      <c r="F1028" s="25" t="s">
        <v>2358</v>
      </c>
      <c r="G1028" s="1" t="s">
        <v>1888</v>
      </c>
      <c r="H1028" s="17">
        <v>0.5</v>
      </c>
      <c r="I1028" s="18">
        <v>710000000</v>
      </c>
      <c r="J1028" s="4" t="s">
        <v>1931</v>
      </c>
      <c r="K1028" s="4" t="s">
        <v>5297</v>
      </c>
      <c r="L1028" s="7" t="s">
        <v>5668</v>
      </c>
      <c r="M1028" s="8" t="s">
        <v>3195</v>
      </c>
      <c r="N1028" s="8" t="s">
        <v>1890</v>
      </c>
      <c r="O1028" s="16" t="s">
        <v>2146</v>
      </c>
      <c r="P1028" s="1">
        <v>778</v>
      </c>
      <c r="Q1028" s="4" t="s">
        <v>3327</v>
      </c>
      <c r="R1028" s="10">
        <v>1320</v>
      </c>
      <c r="S1028" s="10">
        <v>517.5</v>
      </c>
      <c r="T1028" s="10">
        <f t="shared" si="433"/>
        <v>683100</v>
      </c>
      <c r="U1028" s="10">
        <f t="shared" si="434"/>
        <v>765072.00000000012</v>
      </c>
      <c r="V1028" s="1" t="s">
        <v>3027</v>
      </c>
      <c r="W1028" s="11">
        <v>2015</v>
      </c>
      <c r="X1028" s="1"/>
    </row>
    <row r="1029" spans="1:24" ht="76.5" customHeight="1" outlineLevel="1" x14ac:dyDescent="0.2">
      <c r="A1029" s="1" t="s">
        <v>4916</v>
      </c>
      <c r="B1029" s="24" t="s">
        <v>5277</v>
      </c>
      <c r="C1029" s="7" t="s">
        <v>2359</v>
      </c>
      <c r="D1029" s="7" t="s">
        <v>5609</v>
      </c>
      <c r="E1029" s="18" t="s">
        <v>2360</v>
      </c>
      <c r="F1029" s="25" t="s">
        <v>2361</v>
      </c>
      <c r="G1029" s="1" t="s">
        <v>1888</v>
      </c>
      <c r="H1029" s="17">
        <v>0.5</v>
      </c>
      <c r="I1029" s="18">
        <v>710000000</v>
      </c>
      <c r="J1029" s="4" t="s">
        <v>1931</v>
      </c>
      <c r="K1029" s="4" t="s">
        <v>5297</v>
      </c>
      <c r="L1029" s="7" t="s">
        <v>5668</v>
      </c>
      <c r="M1029" s="8" t="s">
        <v>3195</v>
      </c>
      <c r="N1029" s="8" t="s">
        <v>1890</v>
      </c>
      <c r="O1029" s="16" t="s">
        <v>2146</v>
      </c>
      <c r="P1029" s="1">
        <v>736</v>
      </c>
      <c r="Q1029" s="4" t="s">
        <v>5475</v>
      </c>
      <c r="R1029" s="10">
        <v>102960</v>
      </c>
      <c r="S1029" s="10">
        <v>45.56</v>
      </c>
      <c r="T1029" s="10">
        <f t="shared" si="433"/>
        <v>4690857.6000000006</v>
      </c>
      <c r="U1029" s="10">
        <f t="shared" si="434"/>
        <v>5253760.512000001</v>
      </c>
      <c r="V1029" s="1" t="s">
        <v>3027</v>
      </c>
      <c r="W1029" s="11">
        <v>2015</v>
      </c>
      <c r="X1029" s="1"/>
    </row>
    <row r="1030" spans="1:24" ht="76.5" customHeight="1" outlineLevel="1" x14ac:dyDescent="0.2">
      <c r="A1030" s="1" t="s">
        <v>4917</v>
      </c>
      <c r="B1030" s="24" t="s">
        <v>5277</v>
      </c>
      <c r="C1030" s="7" t="s">
        <v>2362</v>
      </c>
      <c r="D1030" s="7" t="s">
        <v>3800</v>
      </c>
      <c r="E1030" s="18" t="s">
        <v>5546</v>
      </c>
      <c r="F1030" s="25" t="s">
        <v>2363</v>
      </c>
      <c r="G1030" s="1" t="s">
        <v>1888</v>
      </c>
      <c r="H1030" s="17">
        <v>0.5</v>
      </c>
      <c r="I1030" s="18">
        <v>710000000</v>
      </c>
      <c r="J1030" s="4" t="s">
        <v>1931</v>
      </c>
      <c r="K1030" s="4" t="s">
        <v>5297</v>
      </c>
      <c r="L1030" s="7" t="s">
        <v>5668</v>
      </c>
      <c r="M1030" s="8" t="s">
        <v>3195</v>
      </c>
      <c r="N1030" s="8" t="s">
        <v>1890</v>
      </c>
      <c r="O1030" s="16" t="s">
        <v>2146</v>
      </c>
      <c r="P1030" s="8">
        <v>796</v>
      </c>
      <c r="Q1030" s="8" t="s">
        <v>3196</v>
      </c>
      <c r="R1030" s="10">
        <v>3024</v>
      </c>
      <c r="S1030" s="10">
        <v>27.09</v>
      </c>
      <c r="T1030" s="10">
        <f t="shared" si="433"/>
        <v>81920.160000000003</v>
      </c>
      <c r="U1030" s="10">
        <f t="shared" si="434"/>
        <v>91750.579200000007</v>
      </c>
      <c r="V1030" s="1" t="s">
        <v>3027</v>
      </c>
      <c r="W1030" s="11">
        <v>2015</v>
      </c>
      <c r="X1030" s="1"/>
    </row>
    <row r="1031" spans="1:24" ht="76.5" customHeight="1" outlineLevel="1" x14ac:dyDescent="0.2">
      <c r="A1031" s="1" t="s">
        <v>4918</v>
      </c>
      <c r="B1031" s="24" t="s">
        <v>5277</v>
      </c>
      <c r="C1031" s="7" t="s">
        <v>3109</v>
      </c>
      <c r="D1031" s="7" t="s">
        <v>5598</v>
      </c>
      <c r="E1031" s="18" t="s">
        <v>2364</v>
      </c>
      <c r="F1031" s="25" t="s">
        <v>2365</v>
      </c>
      <c r="G1031" s="1" t="s">
        <v>1888</v>
      </c>
      <c r="H1031" s="17">
        <v>0.5</v>
      </c>
      <c r="I1031" s="18">
        <v>710000000</v>
      </c>
      <c r="J1031" s="4" t="s">
        <v>1931</v>
      </c>
      <c r="K1031" s="4" t="s">
        <v>5297</v>
      </c>
      <c r="L1031" s="7" t="s">
        <v>5668</v>
      </c>
      <c r="M1031" s="8" t="s">
        <v>3195</v>
      </c>
      <c r="N1031" s="8" t="s">
        <v>1890</v>
      </c>
      <c r="O1031" s="16" t="s">
        <v>2146</v>
      </c>
      <c r="P1031" s="8">
        <v>796</v>
      </c>
      <c r="Q1031" s="8" t="s">
        <v>3196</v>
      </c>
      <c r="R1031" s="10">
        <v>3024</v>
      </c>
      <c r="S1031" s="10">
        <v>72.430000000000007</v>
      </c>
      <c r="T1031" s="10">
        <v>0</v>
      </c>
      <c r="U1031" s="10">
        <f t="shared" si="434"/>
        <v>0</v>
      </c>
      <c r="V1031" s="1" t="s">
        <v>3027</v>
      </c>
      <c r="W1031" s="11">
        <v>2015</v>
      </c>
      <c r="X1031" s="1" t="s">
        <v>6562</v>
      </c>
    </row>
    <row r="1032" spans="1:24" ht="76.5" customHeight="1" outlineLevel="1" x14ac:dyDescent="0.2">
      <c r="A1032" s="1" t="s">
        <v>6765</v>
      </c>
      <c r="B1032" s="24" t="s">
        <v>5277</v>
      </c>
      <c r="C1032" s="7" t="s">
        <v>3109</v>
      </c>
      <c r="D1032" s="7" t="s">
        <v>5598</v>
      </c>
      <c r="E1032" s="18" t="s">
        <v>2364</v>
      </c>
      <c r="F1032" s="25" t="s">
        <v>2365</v>
      </c>
      <c r="G1032" s="1" t="s">
        <v>1888</v>
      </c>
      <c r="H1032" s="17">
        <v>0.5</v>
      </c>
      <c r="I1032" s="18">
        <v>710000000</v>
      </c>
      <c r="J1032" s="4" t="s">
        <v>1931</v>
      </c>
      <c r="K1032" s="4" t="s">
        <v>5297</v>
      </c>
      <c r="L1032" s="7" t="s">
        <v>5668</v>
      </c>
      <c r="M1032" s="8" t="s">
        <v>3195</v>
      </c>
      <c r="N1032" s="8" t="s">
        <v>1890</v>
      </c>
      <c r="O1032" s="16" t="s">
        <v>2146</v>
      </c>
      <c r="P1032" s="8">
        <v>796</v>
      </c>
      <c r="Q1032" s="8" t="s">
        <v>3196</v>
      </c>
      <c r="R1032" s="10">
        <f>3024+1392</f>
        <v>4416</v>
      </c>
      <c r="S1032" s="10">
        <v>72.430000000000007</v>
      </c>
      <c r="T1032" s="10">
        <f t="shared" ref="T1032" si="435">S1032*R1032</f>
        <v>319850.88</v>
      </c>
      <c r="U1032" s="10">
        <f t="shared" ref="U1032" si="436">T1032*1.12</f>
        <v>358232.98560000001</v>
      </c>
      <c r="V1032" s="1" t="s">
        <v>3027</v>
      </c>
      <c r="W1032" s="11">
        <v>2015</v>
      </c>
      <c r="X1032" s="1"/>
    </row>
    <row r="1033" spans="1:24" ht="76.5" customHeight="1" outlineLevel="1" x14ac:dyDescent="0.2">
      <c r="A1033" s="1" t="s">
        <v>4919</v>
      </c>
      <c r="B1033" s="24" t="s">
        <v>5277</v>
      </c>
      <c r="C1033" s="7" t="s">
        <v>3115</v>
      </c>
      <c r="D1033" s="7" t="s">
        <v>5594</v>
      </c>
      <c r="E1033" s="18" t="s">
        <v>5595</v>
      </c>
      <c r="F1033" s="25" t="s">
        <v>5670</v>
      </c>
      <c r="G1033" s="1" t="s">
        <v>1888</v>
      </c>
      <c r="H1033" s="17">
        <v>0.5</v>
      </c>
      <c r="I1033" s="18">
        <v>710000000</v>
      </c>
      <c r="J1033" s="4" t="s">
        <v>1931</v>
      </c>
      <c r="K1033" s="4" t="s">
        <v>5297</v>
      </c>
      <c r="L1033" s="7" t="s">
        <v>5668</v>
      </c>
      <c r="M1033" s="8" t="s">
        <v>3195</v>
      </c>
      <c r="N1033" s="8" t="s">
        <v>1890</v>
      </c>
      <c r="O1033" s="8" t="s">
        <v>1935</v>
      </c>
      <c r="P1033" s="8">
        <v>796</v>
      </c>
      <c r="Q1033" s="8" t="s">
        <v>3196</v>
      </c>
      <c r="R1033" s="10">
        <v>24000</v>
      </c>
      <c r="S1033" s="10">
        <v>70.03</v>
      </c>
      <c r="T1033" s="10">
        <f t="shared" si="433"/>
        <v>1680720</v>
      </c>
      <c r="U1033" s="10">
        <f t="shared" si="434"/>
        <v>1882406.4000000001</v>
      </c>
      <c r="V1033" s="1"/>
      <c r="W1033" s="11">
        <v>2015</v>
      </c>
      <c r="X1033" s="1"/>
    </row>
    <row r="1034" spans="1:24" ht="76.5" customHeight="1" outlineLevel="1" x14ac:dyDescent="0.2">
      <c r="A1034" s="1" t="s">
        <v>4920</v>
      </c>
      <c r="B1034" s="24" t="s">
        <v>5277</v>
      </c>
      <c r="C1034" s="7" t="s">
        <v>3114</v>
      </c>
      <c r="D1034" s="7" t="s">
        <v>5594</v>
      </c>
      <c r="E1034" s="18" t="s">
        <v>5597</v>
      </c>
      <c r="F1034" s="25" t="s">
        <v>2366</v>
      </c>
      <c r="G1034" s="1" t="s">
        <v>1888</v>
      </c>
      <c r="H1034" s="17">
        <v>0.5</v>
      </c>
      <c r="I1034" s="18">
        <v>710000000</v>
      </c>
      <c r="J1034" s="4" t="s">
        <v>1931</v>
      </c>
      <c r="K1034" s="4" t="s">
        <v>5297</v>
      </c>
      <c r="L1034" s="7" t="s">
        <v>5668</v>
      </c>
      <c r="M1034" s="8" t="s">
        <v>3195</v>
      </c>
      <c r="N1034" s="8" t="s">
        <v>1890</v>
      </c>
      <c r="O1034" s="16" t="s">
        <v>2146</v>
      </c>
      <c r="P1034" s="8">
        <v>796</v>
      </c>
      <c r="Q1034" s="8" t="s">
        <v>3196</v>
      </c>
      <c r="R1034" s="10">
        <v>120</v>
      </c>
      <c r="S1034" s="10">
        <v>268.70999999999998</v>
      </c>
      <c r="T1034" s="10">
        <f t="shared" si="433"/>
        <v>32245.199999999997</v>
      </c>
      <c r="U1034" s="10">
        <f t="shared" si="434"/>
        <v>36114.624000000003</v>
      </c>
      <c r="V1034" s="1" t="s">
        <v>3027</v>
      </c>
      <c r="W1034" s="11">
        <v>2015</v>
      </c>
      <c r="X1034" s="1"/>
    </row>
    <row r="1035" spans="1:24" ht="76.5" customHeight="1" outlineLevel="1" x14ac:dyDescent="0.2">
      <c r="A1035" s="1" t="s">
        <v>4921</v>
      </c>
      <c r="B1035" s="24" t="s">
        <v>5277</v>
      </c>
      <c r="C1035" s="7" t="s">
        <v>3105</v>
      </c>
      <c r="D1035" s="7" t="s">
        <v>5582</v>
      </c>
      <c r="E1035" s="18" t="s">
        <v>5583</v>
      </c>
      <c r="F1035" s="25" t="s">
        <v>5671</v>
      </c>
      <c r="G1035" s="1" t="s">
        <v>1888</v>
      </c>
      <c r="H1035" s="17">
        <v>0.5</v>
      </c>
      <c r="I1035" s="18">
        <v>710000000</v>
      </c>
      <c r="J1035" s="4" t="s">
        <v>1931</v>
      </c>
      <c r="K1035" s="4" t="s">
        <v>5297</v>
      </c>
      <c r="L1035" s="7" t="s">
        <v>5668</v>
      </c>
      <c r="M1035" s="8" t="s">
        <v>3195</v>
      </c>
      <c r="N1035" s="8" t="s">
        <v>1890</v>
      </c>
      <c r="O1035" s="16" t="s">
        <v>2146</v>
      </c>
      <c r="P1035" s="8">
        <v>796</v>
      </c>
      <c r="Q1035" s="8" t="s">
        <v>3196</v>
      </c>
      <c r="R1035" s="10">
        <v>3780</v>
      </c>
      <c r="S1035" s="10">
        <v>204.25</v>
      </c>
      <c r="T1035" s="10">
        <f t="shared" si="433"/>
        <v>772065</v>
      </c>
      <c r="U1035" s="10">
        <f t="shared" si="434"/>
        <v>864712.8</v>
      </c>
      <c r="V1035" s="1" t="s">
        <v>3027</v>
      </c>
      <c r="W1035" s="11">
        <v>2015</v>
      </c>
      <c r="X1035" s="1"/>
    </row>
    <row r="1036" spans="1:24" ht="89.25" customHeight="1" outlineLevel="1" x14ac:dyDescent="0.2">
      <c r="A1036" s="1" t="s">
        <v>4922</v>
      </c>
      <c r="B1036" s="24" t="s">
        <v>5277</v>
      </c>
      <c r="C1036" s="7" t="s">
        <v>3104</v>
      </c>
      <c r="D1036" s="7" t="s">
        <v>5580</v>
      </c>
      <c r="E1036" s="18" t="s">
        <v>5581</v>
      </c>
      <c r="F1036" s="25" t="s">
        <v>2367</v>
      </c>
      <c r="G1036" s="1" t="s">
        <v>1888</v>
      </c>
      <c r="H1036" s="17">
        <v>0.5</v>
      </c>
      <c r="I1036" s="18">
        <v>710000000</v>
      </c>
      <c r="J1036" s="4" t="s">
        <v>1931</v>
      </c>
      <c r="K1036" s="4" t="s">
        <v>5297</v>
      </c>
      <c r="L1036" s="7" t="s">
        <v>5668</v>
      </c>
      <c r="M1036" s="8" t="s">
        <v>3195</v>
      </c>
      <c r="N1036" s="8" t="s">
        <v>1890</v>
      </c>
      <c r="O1036" s="16" t="s">
        <v>2146</v>
      </c>
      <c r="P1036" s="8">
        <v>796</v>
      </c>
      <c r="Q1036" s="8" t="s">
        <v>3196</v>
      </c>
      <c r="R1036" s="10">
        <v>1512</v>
      </c>
      <c r="S1036" s="10">
        <v>603.79</v>
      </c>
      <c r="T1036" s="10">
        <f t="shared" ref="T1036:T1099" si="437">S1036*R1036</f>
        <v>912930.48</v>
      </c>
      <c r="U1036" s="10">
        <f t="shared" si="434"/>
        <v>1022482.1376000001</v>
      </c>
      <c r="V1036" s="1" t="s">
        <v>3027</v>
      </c>
      <c r="W1036" s="11">
        <v>2015</v>
      </c>
      <c r="X1036" s="1"/>
    </row>
    <row r="1037" spans="1:24" ht="76.5" customHeight="1" outlineLevel="1" x14ac:dyDescent="0.2">
      <c r="A1037" s="1" t="s">
        <v>4923</v>
      </c>
      <c r="B1037" s="24" t="s">
        <v>5277</v>
      </c>
      <c r="C1037" s="7" t="s">
        <v>3112</v>
      </c>
      <c r="D1037" s="7" t="s">
        <v>5585</v>
      </c>
      <c r="E1037" s="18" t="s">
        <v>5586</v>
      </c>
      <c r="F1037" s="25" t="s">
        <v>5672</v>
      </c>
      <c r="G1037" s="1" t="s">
        <v>1888</v>
      </c>
      <c r="H1037" s="17">
        <v>0.5</v>
      </c>
      <c r="I1037" s="18">
        <v>710000000</v>
      </c>
      <c r="J1037" s="4" t="s">
        <v>1931</v>
      </c>
      <c r="K1037" s="4" t="s">
        <v>5297</v>
      </c>
      <c r="L1037" s="7" t="s">
        <v>5668</v>
      </c>
      <c r="M1037" s="8" t="s">
        <v>3195</v>
      </c>
      <c r="N1037" s="8" t="s">
        <v>1890</v>
      </c>
      <c r="O1037" s="16" t="s">
        <v>2146</v>
      </c>
      <c r="P1037" s="1">
        <v>868</v>
      </c>
      <c r="Q1037" s="4" t="s">
        <v>5521</v>
      </c>
      <c r="R1037" s="10">
        <v>960</v>
      </c>
      <c r="S1037" s="10">
        <v>553.13</v>
      </c>
      <c r="T1037" s="10">
        <f t="shared" si="437"/>
        <v>531004.80000000005</v>
      </c>
      <c r="U1037" s="10">
        <f t="shared" si="434"/>
        <v>594725.37600000016</v>
      </c>
      <c r="V1037" s="1" t="s">
        <v>3027</v>
      </c>
      <c r="W1037" s="11">
        <v>2015</v>
      </c>
      <c r="X1037" s="1"/>
    </row>
    <row r="1038" spans="1:24" ht="76.5" customHeight="1" outlineLevel="1" x14ac:dyDescent="0.2">
      <c r="A1038" s="1" t="s">
        <v>4924</v>
      </c>
      <c r="B1038" s="24" t="s">
        <v>5277</v>
      </c>
      <c r="C1038" s="7" t="s">
        <v>3116</v>
      </c>
      <c r="D1038" s="7" t="s">
        <v>5604</v>
      </c>
      <c r="E1038" s="18" t="s">
        <v>5605</v>
      </c>
      <c r="F1038" s="25" t="s">
        <v>2368</v>
      </c>
      <c r="G1038" s="1" t="s">
        <v>1888</v>
      </c>
      <c r="H1038" s="17">
        <v>0.5</v>
      </c>
      <c r="I1038" s="18">
        <v>710000000</v>
      </c>
      <c r="J1038" s="4" t="s">
        <v>1931</v>
      </c>
      <c r="K1038" s="4" t="s">
        <v>5297</v>
      </c>
      <c r="L1038" s="7" t="s">
        <v>5668</v>
      </c>
      <c r="M1038" s="8" t="s">
        <v>3195</v>
      </c>
      <c r="N1038" s="8" t="s">
        <v>1890</v>
      </c>
      <c r="O1038" s="16" t="s">
        <v>2146</v>
      </c>
      <c r="P1038" s="1">
        <v>868</v>
      </c>
      <c r="Q1038" s="4" t="s">
        <v>5521</v>
      </c>
      <c r="R1038" s="10">
        <v>1656</v>
      </c>
      <c r="S1038" s="10">
        <v>304.25</v>
      </c>
      <c r="T1038" s="10">
        <f t="shared" si="437"/>
        <v>503838</v>
      </c>
      <c r="U1038" s="10">
        <f t="shared" si="434"/>
        <v>564298.56000000006</v>
      </c>
      <c r="V1038" s="1" t="s">
        <v>3027</v>
      </c>
      <c r="W1038" s="11">
        <v>2015</v>
      </c>
      <c r="X1038" s="1"/>
    </row>
    <row r="1039" spans="1:24" ht="76.5" customHeight="1" outlineLevel="1" x14ac:dyDescent="0.2">
      <c r="A1039" s="1" t="s">
        <v>4925</v>
      </c>
      <c r="B1039" s="24" t="s">
        <v>5277</v>
      </c>
      <c r="C1039" s="7" t="s">
        <v>3118</v>
      </c>
      <c r="D1039" s="7" t="s">
        <v>3119</v>
      </c>
      <c r="E1039" s="18" t="s">
        <v>5603</v>
      </c>
      <c r="F1039" s="7" t="s">
        <v>1303</v>
      </c>
      <c r="G1039" s="1" t="s">
        <v>1888</v>
      </c>
      <c r="H1039" s="17">
        <v>0.5</v>
      </c>
      <c r="I1039" s="18">
        <v>710000000</v>
      </c>
      <c r="J1039" s="4" t="s">
        <v>1931</v>
      </c>
      <c r="K1039" s="4" t="s">
        <v>5297</v>
      </c>
      <c r="L1039" s="7" t="s">
        <v>5668</v>
      </c>
      <c r="M1039" s="8" t="s">
        <v>3195</v>
      </c>
      <c r="N1039" s="8" t="s">
        <v>1890</v>
      </c>
      <c r="O1039" s="8" t="s">
        <v>1935</v>
      </c>
      <c r="P1039" s="1">
        <v>868</v>
      </c>
      <c r="Q1039" s="4" t="s">
        <v>5521</v>
      </c>
      <c r="R1039" s="10">
        <v>480</v>
      </c>
      <c r="S1039" s="10">
        <v>726.68</v>
      </c>
      <c r="T1039" s="10">
        <f t="shared" si="437"/>
        <v>348806.39999999997</v>
      </c>
      <c r="U1039" s="10">
        <f t="shared" si="434"/>
        <v>390663.16800000001</v>
      </c>
      <c r="V1039" s="1"/>
      <c r="W1039" s="11">
        <v>2015</v>
      </c>
      <c r="X1039" s="1"/>
    </row>
    <row r="1040" spans="1:24" ht="89.25" customHeight="1" outlineLevel="1" x14ac:dyDescent="0.2">
      <c r="A1040" s="1" t="s">
        <v>4926</v>
      </c>
      <c r="B1040" s="24" t="s">
        <v>5277</v>
      </c>
      <c r="C1040" s="7" t="s">
        <v>3584</v>
      </c>
      <c r="D1040" s="7" t="s">
        <v>5592</v>
      </c>
      <c r="E1040" s="18" t="s">
        <v>5593</v>
      </c>
      <c r="F1040" s="25" t="s">
        <v>1304</v>
      </c>
      <c r="G1040" s="1" t="s">
        <v>1888</v>
      </c>
      <c r="H1040" s="17">
        <v>0.5</v>
      </c>
      <c r="I1040" s="18">
        <v>710000000</v>
      </c>
      <c r="J1040" s="4" t="s">
        <v>1931</v>
      </c>
      <c r="K1040" s="4" t="s">
        <v>5297</v>
      </c>
      <c r="L1040" s="7" t="s">
        <v>5668</v>
      </c>
      <c r="M1040" s="8" t="s">
        <v>3195</v>
      </c>
      <c r="N1040" s="8" t="s">
        <v>1890</v>
      </c>
      <c r="O1040" s="16" t="s">
        <v>2146</v>
      </c>
      <c r="P1040" s="8">
        <v>796</v>
      </c>
      <c r="Q1040" s="8" t="s">
        <v>3196</v>
      </c>
      <c r="R1040" s="10">
        <v>1512</v>
      </c>
      <c r="S1040" s="10">
        <v>90.87</v>
      </c>
      <c r="T1040" s="10">
        <f t="shared" si="437"/>
        <v>137395.44</v>
      </c>
      <c r="U1040" s="10">
        <f t="shared" si="434"/>
        <v>153882.89280000003</v>
      </c>
      <c r="V1040" s="1" t="s">
        <v>3027</v>
      </c>
      <c r="W1040" s="11">
        <v>2015</v>
      </c>
      <c r="X1040" s="1"/>
    </row>
    <row r="1041" spans="1:24" ht="76.5" customHeight="1" outlineLevel="1" x14ac:dyDescent="0.2">
      <c r="A1041" s="1" t="s">
        <v>4927</v>
      </c>
      <c r="B1041" s="24" t="s">
        <v>5277</v>
      </c>
      <c r="C1041" s="7" t="s">
        <v>3113</v>
      </c>
      <c r="D1041" s="7" t="s">
        <v>5606</v>
      </c>
      <c r="E1041" s="18" t="s">
        <v>5607</v>
      </c>
      <c r="F1041" s="25" t="s">
        <v>1305</v>
      </c>
      <c r="G1041" s="1" t="s">
        <v>1888</v>
      </c>
      <c r="H1041" s="17">
        <v>0.5</v>
      </c>
      <c r="I1041" s="18">
        <v>710000000</v>
      </c>
      <c r="J1041" s="4" t="s">
        <v>1931</v>
      </c>
      <c r="K1041" s="4" t="s">
        <v>5297</v>
      </c>
      <c r="L1041" s="7" t="s">
        <v>5668</v>
      </c>
      <c r="M1041" s="8" t="s">
        <v>3195</v>
      </c>
      <c r="N1041" s="8" t="s">
        <v>1890</v>
      </c>
      <c r="O1041" s="16" t="s">
        <v>2146</v>
      </c>
      <c r="P1041" s="8">
        <v>796</v>
      </c>
      <c r="Q1041" s="8" t="s">
        <v>3196</v>
      </c>
      <c r="R1041" s="10">
        <v>2400</v>
      </c>
      <c r="S1041" s="10">
        <v>334.55</v>
      </c>
      <c r="T1041" s="10">
        <f t="shared" si="437"/>
        <v>802920</v>
      </c>
      <c r="U1041" s="10">
        <f t="shared" ref="U1041:U1104" si="438">T1041*1.12</f>
        <v>899270.40000000014</v>
      </c>
      <c r="V1041" s="1" t="s">
        <v>3027</v>
      </c>
      <c r="W1041" s="11">
        <v>2015</v>
      </c>
      <c r="X1041" s="1"/>
    </row>
    <row r="1042" spans="1:24" ht="76.5" customHeight="1" outlineLevel="1" x14ac:dyDescent="0.2">
      <c r="A1042" s="1" t="s">
        <v>4928</v>
      </c>
      <c r="B1042" s="24" t="s">
        <v>5277</v>
      </c>
      <c r="C1042" s="7" t="s">
        <v>3111</v>
      </c>
      <c r="D1042" s="7" t="s">
        <v>5600</v>
      </c>
      <c r="E1042" s="18" t="s">
        <v>5601</v>
      </c>
      <c r="F1042" s="25" t="s">
        <v>5673</v>
      </c>
      <c r="G1042" s="1" t="s">
        <v>1888</v>
      </c>
      <c r="H1042" s="17">
        <v>0.5</v>
      </c>
      <c r="I1042" s="18">
        <v>710000000</v>
      </c>
      <c r="J1042" s="4" t="s">
        <v>1931</v>
      </c>
      <c r="K1042" s="4" t="s">
        <v>5297</v>
      </c>
      <c r="L1042" s="7" t="s">
        <v>5668</v>
      </c>
      <c r="M1042" s="8" t="s">
        <v>3195</v>
      </c>
      <c r="N1042" s="8" t="s">
        <v>1890</v>
      </c>
      <c r="O1042" s="8" t="s">
        <v>1935</v>
      </c>
      <c r="P1042" s="1">
        <v>5111</v>
      </c>
      <c r="Q1042" s="4" t="s">
        <v>5298</v>
      </c>
      <c r="R1042" s="10">
        <v>1512</v>
      </c>
      <c r="S1042" s="10">
        <v>153.72</v>
      </c>
      <c r="T1042" s="10">
        <f t="shared" si="437"/>
        <v>232424.63999999998</v>
      </c>
      <c r="U1042" s="10">
        <f t="shared" si="438"/>
        <v>260315.5968</v>
      </c>
      <c r="V1042" s="1"/>
      <c r="W1042" s="11">
        <v>2015</v>
      </c>
      <c r="X1042" s="1"/>
    </row>
    <row r="1043" spans="1:24" ht="76.5" customHeight="1" outlineLevel="1" x14ac:dyDescent="0.2">
      <c r="A1043" s="1" t="s">
        <v>4929</v>
      </c>
      <c r="B1043" s="24" t="s">
        <v>5277</v>
      </c>
      <c r="C1043" s="7" t="s">
        <v>5129</v>
      </c>
      <c r="D1043" s="7" t="s">
        <v>5674</v>
      </c>
      <c r="E1043" s="18" t="s">
        <v>2257</v>
      </c>
      <c r="F1043" s="25" t="s">
        <v>5675</v>
      </c>
      <c r="G1043" s="1" t="s">
        <v>1888</v>
      </c>
      <c r="H1043" s="17">
        <v>0.5</v>
      </c>
      <c r="I1043" s="18">
        <v>710000000</v>
      </c>
      <c r="J1043" s="4" t="s">
        <v>1931</v>
      </c>
      <c r="K1043" s="4" t="s">
        <v>5297</v>
      </c>
      <c r="L1043" s="7" t="s">
        <v>5668</v>
      </c>
      <c r="M1043" s="8" t="s">
        <v>3195</v>
      </c>
      <c r="N1043" s="8" t="s">
        <v>1890</v>
      </c>
      <c r="O1043" s="8" t="s">
        <v>1935</v>
      </c>
      <c r="P1043" s="1" t="s">
        <v>3443</v>
      </c>
      <c r="Q1043" s="4" t="s">
        <v>5676</v>
      </c>
      <c r="R1043" s="10">
        <v>3024</v>
      </c>
      <c r="S1043" s="10">
        <v>224.2</v>
      </c>
      <c r="T1043" s="10">
        <f t="shared" si="437"/>
        <v>677980.79999999993</v>
      </c>
      <c r="U1043" s="10">
        <f t="shared" si="438"/>
        <v>759338.49600000004</v>
      </c>
      <c r="V1043" s="1"/>
      <c r="W1043" s="11">
        <v>2015</v>
      </c>
      <c r="X1043" s="1"/>
    </row>
    <row r="1044" spans="1:24" ht="76.5" customHeight="1" outlineLevel="1" x14ac:dyDescent="0.2">
      <c r="A1044" s="1" t="s">
        <v>4930</v>
      </c>
      <c r="B1044" s="24" t="s">
        <v>5277</v>
      </c>
      <c r="C1044" s="7" t="s">
        <v>5130</v>
      </c>
      <c r="D1044" s="7" t="s">
        <v>5677</v>
      </c>
      <c r="E1044" s="18" t="s">
        <v>5678</v>
      </c>
      <c r="F1044" s="25" t="s">
        <v>5679</v>
      </c>
      <c r="G1044" s="1" t="s">
        <v>1888</v>
      </c>
      <c r="H1044" s="17">
        <v>0.5</v>
      </c>
      <c r="I1044" s="18">
        <v>710000000</v>
      </c>
      <c r="J1044" s="4" t="s">
        <v>1931</v>
      </c>
      <c r="K1044" s="4" t="s">
        <v>5297</v>
      </c>
      <c r="L1044" s="7" t="s">
        <v>5668</v>
      </c>
      <c r="M1044" s="8" t="s">
        <v>3195</v>
      </c>
      <c r="N1044" s="8" t="s">
        <v>1890</v>
      </c>
      <c r="O1044" s="8" t="s">
        <v>1935</v>
      </c>
      <c r="P1044" s="1" t="s">
        <v>3010</v>
      </c>
      <c r="Q1044" s="4" t="s">
        <v>3009</v>
      </c>
      <c r="R1044" s="10">
        <v>6048</v>
      </c>
      <c r="S1044" s="10">
        <v>193.33</v>
      </c>
      <c r="T1044" s="10">
        <f t="shared" si="437"/>
        <v>1169259.8400000001</v>
      </c>
      <c r="U1044" s="10">
        <f t="shared" si="438"/>
        <v>1309571.0208000003</v>
      </c>
      <c r="V1044" s="1"/>
      <c r="W1044" s="11">
        <v>2015</v>
      </c>
      <c r="X1044" s="1"/>
    </row>
    <row r="1045" spans="1:24" ht="76.5" customHeight="1" outlineLevel="1" x14ac:dyDescent="0.2">
      <c r="A1045" s="1" t="s">
        <v>4931</v>
      </c>
      <c r="B1045" s="24" t="s">
        <v>5277</v>
      </c>
      <c r="C1045" s="25" t="s">
        <v>3413</v>
      </c>
      <c r="D1045" s="25" t="s">
        <v>5541</v>
      </c>
      <c r="E1045" s="25" t="s">
        <v>5700</v>
      </c>
      <c r="F1045" s="25" t="s">
        <v>6737</v>
      </c>
      <c r="G1045" s="1" t="s">
        <v>1888</v>
      </c>
      <c r="H1045" s="17">
        <v>0.5</v>
      </c>
      <c r="I1045" s="18">
        <v>710000000</v>
      </c>
      <c r="J1045" s="4" t="s">
        <v>1931</v>
      </c>
      <c r="K1045" s="4" t="s">
        <v>5297</v>
      </c>
      <c r="L1045" s="7" t="s">
        <v>5668</v>
      </c>
      <c r="M1045" s="8" t="s">
        <v>3195</v>
      </c>
      <c r="N1045" s="8" t="s">
        <v>1890</v>
      </c>
      <c r="O1045" s="8" t="s">
        <v>1935</v>
      </c>
      <c r="P1045" s="8">
        <v>796</v>
      </c>
      <c r="Q1045" s="8" t="s">
        <v>3196</v>
      </c>
      <c r="R1045" s="10">
        <v>472</v>
      </c>
      <c r="S1045" s="10">
        <v>714.29</v>
      </c>
      <c r="T1045" s="10">
        <f t="shared" si="437"/>
        <v>337144.88</v>
      </c>
      <c r="U1045" s="10">
        <f t="shared" si="438"/>
        <v>377602.26560000004</v>
      </c>
      <c r="V1045" s="1"/>
      <c r="W1045" s="11">
        <v>2015</v>
      </c>
      <c r="X1045" s="1"/>
    </row>
    <row r="1046" spans="1:24" ht="76.5" customHeight="1" outlineLevel="1" x14ac:dyDescent="0.2">
      <c r="A1046" s="1" t="s">
        <v>4932</v>
      </c>
      <c r="B1046" s="24" t="s">
        <v>5277</v>
      </c>
      <c r="C1046" s="25" t="s">
        <v>3413</v>
      </c>
      <c r="D1046" s="25" t="s">
        <v>5541</v>
      </c>
      <c r="E1046" s="25" t="s">
        <v>5700</v>
      </c>
      <c r="F1046" s="25" t="s">
        <v>6738</v>
      </c>
      <c r="G1046" s="1" t="s">
        <v>1888</v>
      </c>
      <c r="H1046" s="17">
        <v>0.5</v>
      </c>
      <c r="I1046" s="18">
        <v>710000000</v>
      </c>
      <c r="J1046" s="4" t="s">
        <v>1931</v>
      </c>
      <c r="K1046" s="4" t="s">
        <v>5297</v>
      </c>
      <c r="L1046" s="7" t="s">
        <v>5668</v>
      </c>
      <c r="M1046" s="8" t="s">
        <v>3195</v>
      </c>
      <c r="N1046" s="8" t="s">
        <v>1890</v>
      </c>
      <c r="O1046" s="8" t="s">
        <v>1935</v>
      </c>
      <c r="P1046" s="8">
        <v>796</v>
      </c>
      <c r="Q1046" s="8" t="s">
        <v>3196</v>
      </c>
      <c r="R1046" s="10">
        <v>472</v>
      </c>
      <c r="S1046" s="10">
        <v>441.97</v>
      </c>
      <c r="T1046" s="10">
        <f t="shared" si="437"/>
        <v>208609.84000000003</v>
      </c>
      <c r="U1046" s="10">
        <f t="shared" si="438"/>
        <v>233643.02080000006</v>
      </c>
      <c r="V1046" s="1"/>
      <c r="W1046" s="11">
        <v>2015</v>
      </c>
      <c r="X1046" s="1"/>
    </row>
    <row r="1047" spans="1:24" ht="76.5" customHeight="1" outlineLevel="1" x14ac:dyDescent="0.2">
      <c r="A1047" s="1" t="s">
        <v>4933</v>
      </c>
      <c r="B1047" s="24" t="s">
        <v>5277</v>
      </c>
      <c r="C1047" s="7" t="s">
        <v>3126</v>
      </c>
      <c r="D1047" s="7" t="s">
        <v>5245</v>
      </c>
      <c r="E1047" s="18" t="s">
        <v>5617</v>
      </c>
      <c r="F1047" s="25" t="s">
        <v>5680</v>
      </c>
      <c r="G1047" s="1" t="s">
        <v>1888</v>
      </c>
      <c r="H1047" s="17">
        <v>0.5</v>
      </c>
      <c r="I1047" s="18">
        <v>710000000</v>
      </c>
      <c r="J1047" s="4" t="s">
        <v>1931</v>
      </c>
      <c r="K1047" s="4" t="s">
        <v>5297</v>
      </c>
      <c r="L1047" s="7" t="s">
        <v>5668</v>
      </c>
      <c r="M1047" s="8" t="s">
        <v>3195</v>
      </c>
      <c r="N1047" s="8" t="s">
        <v>1890</v>
      </c>
      <c r="O1047" s="16" t="s">
        <v>2146</v>
      </c>
      <c r="P1047" s="1">
        <v>715</v>
      </c>
      <c r="Q1047" s="4" t="s">
        <v>5618</v>
      </c>
      <c r="R1047" s="10">
        <v>3024</v>
      </c>
      <c r="S1047" s="10">
        <v>189.23</v>
      </c>
      <c r="T1047" s="10">
        <f t="shared" si="437"/>
        <v>572231.52</v>
      </c>
      <c r="U1047" s="10">
        <f t="shared" si="438"/>
        <v>640899.30240000004</v>
      </c>
      <c r="V1047" s="1" t="s">
        <v>3027</v>
      </c>
      <c r="W1047" s="11">
        <v>2015</v>
      </c>
      <c r="X1047" s="1"/>
    </row>
    <row r="1048" spans="1:24" ht="76.5" customHeight="1" outlineLevel="1" x14ac:dyDescent="0.2">
      <c r="A1048" s="1" t="s">
        <v>4934</v>
      </c>
      <c r="B1048" s="24" t="s">
        <v>5277</v>
      </c>
      <c r="C1048" s="7" t="s">
        <v>1829</v>
      </c>
      <c r="D1048" s="7" t="s">
        <v>5526</v>
      </c>
      <c r="E1048" s="18" t="s">
        <v>5527</v>
      </c>
      <c r="F1048" s="25" t="s">
        <v>5528</v>
      </c>
      <c r="G1048" s="1" t="s">
        <v>1888</v>
      </c>
      <c r="H1048" s="17">
        <v>0.5</v>
      </c>
      <c r="I1048" s="18">
        <v>710000000</v>
      </c>
      <c r="J1048" s="4" t="s">
        <v>1931</v>
      </c>
      <c r="K1048" s="4" t="s">
        <v>5297</v>
      </c>
      <c r="L1048" s="7" t="s">
        <v>5668</v>
      </c>
      <c r="M1048" s="8" t="s">
        <v>3195</v>
      </c>
      <c r="N1048" s="8" t="s">
        <v>1890</v>
      </c>
      <c r="O1048" s="8" t="s">
        <v>1935</v>
      </c>
      <c r="P1048" s="8">
        <v>796</v>
      </c>
      <c r="Q1048" s="8" t="s">
        <v>3196</v>
      </c>
      <c r="R1048" s="10">
        <v>472</v>
      </c>
      <c r="S1048" s="10">
        <v>268.91000000000003</v>
      </c>
      <c r="T1048" s="10">
        <f t="shared" si="437"/>
        <v>126925.52000000002</v>
      </c>
      <c r="U1048" s="10">
        <f t="shared" si="438"/>
        <v>142156.58240000004</v>
      </c>
      <c r="V1048" s="1"/>
      <c r="W1048" s="11">
        <v>2015</v>
      </c>
      <c r="X1048" s="1"/>
    </row>
    <row r="1049" spans="1:24" ht="76.5" customHeight="1" outlineLevel="1" x14ac:dyDescent="0.2">
      <c r="A1049" s="1" t="s">
        <v>4935</v>
      </c>
      <c r="B1049" s="24" t="s">
        <v>5277</v>
      </c>
      <c r="C1049" s="7" t="s">
        <v>1827</v>
      </c>
      <c r="D1049" s="7" t="s">
        <v>3133</v>
      </c>
      <c r="E1049" s="18" t="s">
        <v>5633</v>
      </c>
      <c r="F1049" s="25" t="s">
        <v>5681</v>
      </c>
      <c r="G1049" s="1" t="s">
        <v>1888</v>
      </c>
      <c r="H1049" s="17">
        <v>0.5</v>
      </c>
      <c r="I1049" s="18">
        <v>710000000</v>
      </c>
      <c r="J1049" s="4" t="s">
        <v>1931</v>
      </c>
      <c r="K1049" s="4" t="s">
        <v>5297</v>
      </c>
      <c r="L1049" s="7" t="s">
        <v>5668</v>
      </c>
      <c r="M1049" s="8" t="s">
        <v>3195</v>
      </c>
      <c r="N1049" s="8" t="s">
        <v>1890</v>
      </c>
      <c r="O1049" s="8" t="s">
        <v>1935</v>
      </c>
      <c r="P1049" s="8">
        <v>796</v>
      </c>
      <c r="Q1049" s="8" t="s">
        <v>3196</v>
      </c>
      <c r="R1049" s="10">
        <v>472</v>
      </c>
      <c r="S1049" s="10">
        <v>377.22</v>
      </c>
      <c r="T1049" s="10">
        <f t="shared" si="437"/>
        <v>178047.84000000003</v>
      </c>
      <c r="U1049" s="10">
        <f t="shared" si="438"/>
        <v>199413.58080000005</v>
      </c>
      <c r="V1049" s="1"/>
      <c r="W1049" s="11">
        <v>2015</v>
      </c>
      <c r="X1049" s="1"/>
    </row>
    <row r="1050" spans="1:24" ht="76.5" customHeight="1" outlineLevel="1" x14ac:dyDescent="0.2">
      <c r="A1050" s="1" t="s">
        <v>4936</v>
      </c>
      <c r="B1050" s="24" t="s">
        <v>5277</v>
      </c>
      <c r="C1050" s="22" t="s">
        <v>1831</v>
      </c>
      <c r="D1050" s="17" t="s">
        <v>1832</v>
      </c>
      <c r="E1050" s="22" t="s">
        <v>5636</v>
      </c>
      <c r="F1050" s="22" t="s">
        <v>1306</v>
      </c>
      <c r="G1050" s="1" t="s">
        <v>1888</v>
      </c>
      <c r="H1050" s="17">
        <v>0.5</v>
      </c>
      <c r="I1050" s="18">
        <v>710000000</v>
      </c>
      <c r="J1050" s="4" t="s">
        <v>1931</v>
      </c>
      <c r="K1050" s="4" t="s">
        <v>5297</v>
      </c>
      <c r="L1050" s="7" t="s">
        <v>5668</v>
      </c>
      <c r="M1050" s="8" t="s">
        <v>3195</v>
      </c>
      <c r="N1050" s="8" t="s">
        <v>1890</v>
      </c>
      <c r="O1050" s="8" t="s">
        <v>1935</v>
      </c>
      <c r="P1050" s="8">
        <v>796</v>
      </c>
      <c r="Q1050" s="8" t="s">
        <v>3196</v>
      </c>
      <c r="R1050" s="10">
        <v>236</v>
      </c>
      <c r="S1050" s="10">
        <v>1037.5</v>
      </c>
      <c r="T1050" s="10">
        <f t="shared" si="437"/>
        <v>244850</v>
      </c>
      <c r="U1050" s="10">
        <f t="shared" si="438"/>
        <v>274232</v>
      </c>
      <c r="V1050" s="1"/>
      <c r="W1050" s="11">
        <v>2015</v>
      </c>
      <c r="X1050" s="1"/>
    </row>
    <row r="1051" spans="1:24" ht="76.5" customHeight="1" outlineLevel="1" x14ac:dyDescent="0.2">
      <c r="A1051" s="1" t="s">
        <v>4937</v>
      </c>
      <c r="B1051" s="24" t="s">
        <v>5277</v>
      </c>
      <c r="C1051" s="7" t="s">
        <v>1828</v>
      </c>
      <c r="D1051" s="7" t="s">
        <v>3133</v>
      </c>
      <c r="E1051" s="18" t="s">
        <v>5634</v>
      </c>
      <c r="F1051" s="25" t="s">
        <v>1307</v>
      </c>
      <c r="G1051" s="1" t="s">
        <v>1888</v>
      </c>
      <c r="H1051" s="17">
        <v>0.5</v>
      </c>
      <c r="I1051" s="18">
        <v>710000000</v>
      </c>
      <c r="J1051" s="4" t="s">
        <v>1931</v>
      </c>
      <c r="K1051" s="4" t="s">
        <v>5297</v>
      </c>
      <c r="L1051" s="7" t="s">
        <v>5668</v>
      </c>
      <c r="M1051" s="8" t="s">
        <v>3195</v>
      </c>
      <c r="N1051" s="8" t="s">
        <v>1890</v>
      </c>
      <c r="O1051" s="8" t="s">
        <v>1935</v>
      </c>
      <c r="P1051" s="8">
        <v>796</v>
      </c>
      <c r="Q1051" s="8" t="s">
        <v>3196</v>
      </c>
      <c r="R1051" s="10">
        <v>236</v>
      </c>
      <c r="S1051" s="10">
        <v>1500</v>
      </c>
      <c r="T1051" s="10">
        <f t="shared" si="437"/>
        <v>354000</v>
      </c>
      <c r="U1051" s="10">
        <f t="shared" si="438"/>
        <v>396480.00000000006</v>
      </c>
      <c r="V1051" s="1"/>
      <c r="W1051" s="11">
        <v>2015</v>
      </c>
      <c r="X1051" s="1"/>
    </row>
    <row r="1052" spans="1:24" ht="76.5" customHeight="1" outlineLevel="1" x14ac:dyDescent="0.2">
      <c r="A1052" s="1" t="s">
        <v>4938</v>
      </c>
      <c r="B1052" s="24" t="s">
        <v>5277</v>
      </c>
      <c r="C1052" s="7" t="s">
        <v>1826</v>
      </c>
      <c r="D1052" s="7" t="s">
        <v>5683</v>
      </c>
      <c r="E1052" s="18" t="s">
        <v>5631</v>
      </c>
      <c r="F1052" s="7" t="s">
        <v>1308</v>
      </c>
      <c r="G1052" s="1" t="s">
        <v>1888</v>
      </c>
      <c r="H1052" s="17">
        <v>0.5</v>
      </c>
      <c r="I1052" s="18">
        <v>710000000</v>
      </c>
      <c r="J1052" s="4" t="s">
        <v>1931</v>
      </c>
      <c r="K1052" s="4" t="s">
        <v>5297</v>
      </c>
      <c r="L1052" s="7" t="s">
        <v>5668</v>
      </c>
      <c r="M1052" s="8" t="s">
        <v>3195</v>
      </c>
      <c r="N1052" s="8" t="s">
        <v>1890</v>
      </c>
      <c r="O1052" s="16" t="s">
        <v>2146</v>
      </c>
      <c r="P1052" s="8">
        <v>796</v>
      </c>
      <c r="Q1052" s="8" t="s">
        <v>3196</v>
      </c>
      <c r="R1052" s="10">
        <v>514</v>
      </c>
      <c r="S1052" s="10">
        <v>380.5</v>
      </c>
      <c r="T1052" s="10">
        <f t="shared" si="437"/>
        <v>195577</v>
      </c>
      <c r="U1052" s="10">
        <f t="shared" si="438"/>
        <v>219046.24000000002</v>
      </c>
      <c r="V1052" s="1" t="s">
        <v>3027</v>
      </c>
      <c r="W1052" s="11">
        <v>2015</v>
      </c>
      <c r="X1052" s="1"/>
    </row>
    <row r="1053" spans="1:24" ht="76.5" customHeight="1" outlineLevel="1" x14ac:dyDescent="0.2">
      <c r="A1053" s="1" t="s">
        <v>4939</v>
      </c>
      <c r="B1053" s="24" t="s">
        <v>5277</v>
      </c>
      <c r="C1053" s="7" t="s">
        <v>3125</v>
      </c>
      <c r="D1053" s="7" t="s">
        <v>5614</v>
      </c>
      <c r="E1053" s="18" t="s">
        <v>5615</v>
      </c>
      <c r="F1053" s="25" t="s">
        <v>6739</v>
      </c>
      <c r="G1053" s="1" t="s">
        <v>1888</v>
      </c>
      <c r="H1053" s="17">
        <v>0.5</v>
      </c>
      <c r="I1053" s="18">
        <v>710000000</v>
      </c>
      <c r="J1053" s="4" t="s">
        <v>1931</v>
      </c>
      <c r="K1053" s="4" t="s">
        <v>5297</v>
      </c>
      <c r="L1053" s="7" t="s">
        <v>5668</v>
      </c>
      <c r="M1053" s="8" t="s">
        <v>3195</v>
      </c>
      <c r="N1053" s="8" t="s">
        <v>1890</v>
      </c>
      <c r="O1053" s="16" t="s">
        <v>2146</v>
      </c>
      <c r="P1053" s="1">
        <v>736</v>
      </c>
      <c r="Q1053" s="4" t="s">
        <v>5475</v>
      </c>
      <c r="R1053" s="10">
        <v>2552</v>
      </c>
      <c r="S1053" s="10">
        <v>304.5</v>
      </c>
      <c r="T1053" s="10">
        <f t="shared" si="437"/>
        <v>777084</v>
      </c>
      <c r="U1053" s="10">
        <f t="shared" si="438"/>
        <v>870334.08000000007</v>
      </c>
      <c r="V1053" s="1" t="s">
        <v>3027</v>
      </c>
      <c r="W1053" s="11">
        <v>2015</v>
      </c>
      <c r="X1053" s="1"/>
    </row>
    <row r="1054" spans="1:24" ht="76.5" customHeight="1" outlineLevel="1" x14ac:dyDescent="0.2">
      <c r="A1054" s="1" t="s">
        <v>4940</v>
      </c>
      <c r="B1054" s="24" t="s">
        <v>5277</v>
      </c>
      <c r="C1054" s="7" t="s">
        <v>3125</v>
      </c>
      <c r="D1054" s="7" t="s">
        <v>5614</v>
      </c>
      <c r="E1054" s="18" t="s">
        <v>5615</v>
      </c>
      <c r="F1054" s="7" t="s">
        <v>1309</v>
      </c>
      <c r="G1054" s="1" t="s">
        <v>1888</v>
      </c>
      <c r="H1054" s="17">
        <v>0.5</v>
      </c>
      <c r="I1054" s="18">
        <v>710000000</v>
      </c>
      <c r="J1054" s="4" t="s">
        <v>1931</v>
      </c>
      <c r="K1054" s="4" t="s">
        <v>5297</v>
      </c>
      <c r="L1054" s="7" t="s">
        <v>5668</v>
      </c>
      <c r="M1054" s="8" t="s">
        <v>3195</v>
      </c>
      <c r="N1054" s="8" t="s">
        <v>1890</v>
      </c>
      <c r="O1054" s="16" t="s">
        <v>2146</v>
      </c>
      <c r="P1054" s="1">
        <v>736</v>
      </c>
      <c r="Q1054" s="4" t="s">
        <v>5475</v>
      </c>
      <c r="R1054" s="10">
        <v>3326</v>
      </c>
      <c r="S1054" s="10">
        <v>275.60000000000002</v>
      </c>
      <c r="T1054" s="10">
        <f t="shared" si="437"/>
        <v>916645.60000000009</v>
      </c>
      <c r="U1054" s="10">
        <f t="shared" si="438"/>
        <v>1026643.0720000002</v>
      </c>
      <c r="V1054" s="1" t="s">
        <v>3027</v>
      </c>
      <c r="W1054" s="11">
        <v>2015</v>
      </c>
      <c r="X1054" s="1"/>
    </row>
    <row r="1055" spans="1:24" ht="76.5" customHeight="1" outlineLevel="1" x14ac:dyDescent="0.2">
      <c r="A1055" s="1" t="s">
        <v>4941</v>
      </c>
      <c r="B1055" s="24" t="s">
        <v>5277</v>
      </c>
      <c r="C1055" s="7" t="s">
        <v>1822</v>
      </c>
      <c r="D1055" s="7" t="s">
        <v>5529</v>
      </c>
      <c r="E1055" s="18" t="s">
        <v>5530</v>
      </c>
      <c r="F1055" s="25" t="s">
        <v>5132</v>
      </c>
      <c r="G1055" s="1" t="s">
        <v>1888</v>
      </c>
      <c r="H1055" s="17">
        <v>0.5</v>
      </c>
      <c r="I1055" s="18">
        <v>710000000</v>
      </c>
      <c r="J1055" s="4" t="s">
        <v>1931</v>
      </c>
      <c r="K1055" s="4" t="s">
        <v>5297</v>
      </c>
      <c r="L1055" s="7" t="s">
        <v>5668</v>
      </c>
      <c r="M1055" s="8" t="s">
        <v>3195</v>
      </c>
      <c r="N1055" s="8" t="s">
        <v>1890</v>
      </c>
      <c r="O1055" s="8" t="s">
        <v>1935</v>
      </c>
      <c r="P1055" s="8">
        <v>796</v>
      </c>
      <c r="Q1055" s="8" t="s">
        <v>3196</v>
      </c>
      <c r="R1055" s="10">
        <v>472</v>
      </c>
      <c r="S1055" s="10">
        <v>226.5</v>
      </c>
      <c r="T1055" s="10">
        <f t="shared" si="437"/>
        <v>106908</v>
      </c>
      <c r="U1055" s="10">
        <f t="shared" si="438"/>
        <v>119736.96000000001</v>
      </c>
      <c r="V1055" s="1"/>
      <c r="W1055" s="11">
        <v>2015</v>
      </c>
      <c r="X1055" s="1"/>
    </row>
    <row r="1056" spans="1:24" ht="76.5" customHeight="1" outlineLevel="1" x14ac:dyDescent="0.2">
      <c r="A1056" s="1" t="s">
        <v>4942</v>
      </c>
      <c r="B1056" s="24" t="s">
        <v>5277</v>
      </c>
      <c r="C1056" s="7" t="s">
        <v>5131</v>
      </c>
      <c r="D1056" s="7" t="s">
        <v>5529</v>
      </c>
      <c r="E1056" s="18" t="s">
        <v>5682</v>
      </c>
      <c r="F1056" s="25" t="s">
        <v>5687</v>
      </c>
      <c r="G1056" s="1" t="s">
        <v>1888</v>
      </c>
      <c r="H1056" s="17">
        <v>0.5</v>
      </c>
      <c r="I1056" s="18">
        <v>710000000</v>
      </c>
      <c r="J1056" s="4" t="s">
        <v>1931</v>
      </c>
      <c r="K1056" s="4" t="s">
        <v>5297</v>
      </c>
      <c r="L1056" s="7" t="s">
        <v>5668</v>
      </c>
      <c r="M1056" s="8" t="s">
        <v>3195</v>
      </c>
      <c r="N1056" s="8" t="s">
        <v>1890</v>
      </c>
      <c r="O1056" s="8" t="s">
        <v>1935</v>
      </c>
      <c r="P1056" s="8">
        <v>796</v>
      </c>
      <c r="Q1056" s="8" t="s">
        <v>3196</v>
      </c>
      <c r="R1056" s="10">
        <v>472</v>
      </c>
      <c r="S1056" s="10">
        <v>599.66</v>
      </c>
      <c r="T1056" s="10">
        <f t="shared" si="437"/>
        <v>283039.51999999996</v>
      </c>
      <c r="U1056" s="10">
        <f t="shared" si="438"/>
        <v>317004.26240000001</v>
      </c>
      <c r="V1056" s="1"/>
      <c r="W1056" s="11">
        <v>2015</v>
      </c>
      <c r="X1056" s="1"/>
    </row>
    <row r="1057" spans="1:24" ht="76.5" customHeight="1" outlineLevel="1" x14ac:dyDescent="0.2">
      <c r="A1057" s="1" t="s">
        <v>4943</v>
      </c>
      <c r="B1057" s="24" t="s">
        <v>5277</v>
      </c>
      <c r="C1057" s="7" t="s">
        <v>3102</v>
      </c>
      <c r="D1057" s="7" t="s">
        <v>5578</v>
      </c>
      <c r="E1057" s="18" t="s">
        <v>5579</v>
      </c>
      <c r="F1057" s="25" t="s">
        <v>5688</v>
      </c>
      <c r="G1057" s="1" t="s">
        <v>1888</v>
      </c>
      <c r="H1057" s="17">
        <v>0.5</v>
      </c>
      <c r="I1057" s="18">
        <v>710000000</v>
      </c>
      <c r="J1057" s="4" t="s">
        <v>1931</v>
      </c>
      <c r="K1057" s="4" t="s">
        <v>5297</v>
      </c>
      <c r="L1057" s="7" t="s">
        <v>5668</v>
      </c>
      <c r="M1057" s="8" t="s">
        <v>3195</v>
      </c>
      <c r="N1057" s="8" t="s">
        <v>1890</v>
      </c>
      <c r="O1057" s="16" t="s">
        <v>2146</v>
      </c>
      <c r="P1057" s="1">
        <v>868</v>
      </c>
      <c r="Q1057" s="4" t="s">
        <v>5521</v>
      </c>
      <c r="R1057" s="10">
        <v>3024</v>
      </c>
      <c r="S1057" s="10">
        <v>461.11</v>
      </c>
      <c r="T1057" s="10">
        <f t="shared" si="437"/>
        <v>1394396.6400000001</v>
      </c>
      <c r="U1057" s="10">
        <f t="shared" si="438"/>
        <v>1561724.2368000003</v>
      </c>
      <c r="V1057" s="1" t="s">
        <v>3027</v>
      </c>
      <c r="W1057" s="11">
        <v>2015</v>
      </c>
      <c r="X1057" s="1"/>
    </row>
    <row r="1058" spans="1:24" ht="76.5" customHeight="1" outlineLevel="1" x14ac:dyDescent="0.2">
      <c r="A1058" s="1" t="s">
        <v>4944</v>
      </c>
      <c r="B1058" s="24" t="s">
        <v>5277</v>
      </c>
      <c r="C1058" s="7" t="s">
        <v>3102</v>
      </c>
      <c r="D1058" s="7" t="s">
        <v>5578</v>
      </c>
      <c r="E1058" s="18" t="s">
        <v>5579</v>
      </c>
      <c r="F1058" s="7" t="s">
        <v>1310</v>
      </c>
      <c r="G1058" s="1" t="s">
        <v>1888</v>
      </c>
      <c r="H1058" s="17">
        <v>0.5</v>
      </c>
      <c r="I1058" s="18">
        <v>710000000</v>
      </c>
      <c r="J1058" s="4" t="s">
        <v>1931</v>
      </c>
      <c r="K1058" s="4" t="s">
        <v>5297</v>
      </c>
      <c r="L1058" s="7" t="s">
        <v>5668</v>
      </c>
      <c r="M1058" s="8" t="s">
        <v>3195</v>
      </c>
      <c r="N1058" s="8" t="s">
        <v>1890</v>
      </c>
      <c r="O1058" s="16" t="s">
        <v>2146</v>
      </c>
      <c r="P1058" s="1">
        <v>868</v>
      </c>
      <c r="Q1058" s="4" t="s">
        <v>5521</v>
      </c>
      <c r="R1058" s="10">
        <v>480</v>
      </c>
      <c r="S1058" s="10">
        <v>605.83000000000004</v>
      </c>
      <c r="T1058" s="10">
        <f t="shared" si="437"/>
        <v>290798.40000000002</v>
      </c>
      <c r="U1058" s="10">
        <f t="shared" si="438"/>
        <v>325694.20800000004</v>
      </c>
      <c r="V1058" s="1" t="s">
        <v>3027</v>
      </c>
      <c r="W1058" s="11">
        <v>2015</v>
      </c>
      <c r="X1058" s="1"/>
    </row>
    <row r="1059" spans="1:24" ht="76.5" customHeight="1" outlineLevel="1" x14ac:dyDescent="0.2">
      <c r="A1059" s="1" t="s">
        <v>4945</v>
      </c>
      <c r="B1059" s="4" t="s">
        <v>5277</v>
      </c>
      <c r="C1059" s="4" t="s">
        <v>3103</v>
      </c>
      <c r="D1059" s="4" t="s">
        <v>5578</v>
      </c>
      <c r="E1059" s="4" t="s">
        <v>1311</v>
      </c>
      <c r="F1059" s="4" t="s">
        <v>1312</v>
      </c>
      <c r="G1059" s="4" t="s">
        <v>1888</v>
      </c>
      <c r="H1059" s="17">
        <v>0.5</v>
      </c>
      <c r="I1059" s="4">
        <v>710000000</v>
      </c>
      <c r="J1059" s="4" t="s">
        <v>1931</v>
      </c>
      <c r="K1059" s="4" t="s">
        <v>5297</v>
      </c>
      <c r="L1059" s="4" t="s">
        <v>5668</v>
      </c>
      <c r="M1059" s="8" t="s">
        <v>3195</v>
      </c>
      <c r="N1059" s="8" t="s">
        <v>1890</v>
      </c>
      <c r="O1059" s="16" t="s">
        <v>2146</v>
      </c>
      <c r="P1059" s="4">
        <v>112</v>
      </c>
      <c r="Q1059" s="4" t="s">
        <v>3026</v>
      </c>
      <c r="R1059" s="10">
        <v>900</v>
      </c>
      <c r="S1059" s="10">
        <v>812</v>
      </c>
      <c r="T1059" s="10">
        <f t="shared" si="437"/>
        <v>730800</v>
      </c>
      <c r="U1059" s="10">
        <f t="shared" si="438"/>
        <v>818496.00000000012</v>
      </c>
      <c r="V1059" s="1" t="s">
        <v>3027</v>
      </c>
      <c r="W1059" s="11">
        <v>2015</v>
      </c>
      <c r="X1059" s="1"/>
    </row>
    <row r="1060" spans="1:24" ht="102" customHeight="1" outlineLevel="1" x14ac:dyDescent="0.2">
      <c r="A1060" s="1" t="s">
        <v>4946</v>
      </c>
      <c r="B1060" s="24" t="s">
        <v>5277</v>
      </c>
      <c r="C1060" s="7" t="s">
        <v>3584</v>
      </c>
      <c r="D1060" s="7" t="s">
        <v>5592</v>
      </c>
      <c r="E1060" s="18" t="s">
        <v>5593</v>
      </c>
      <c r="F1060" s="7" t="s">
        <v>1313</v>
      </c>
      <c r="G1060" s="1" t="s">
        <v>1888</v>
      </c>
      <c r="H1060" s="17">
        <v>0.5</v>
      </c>
      <c r="I1060" s="18">
        <v>710000000</v>
      </c>
      <c r="J1060" s="4" t="s">
        <v>1931</v>
      </c>
      <c r="K1060" s="4" t="s">
        <v>5297</v>
      </c>
      <c r="L1060" s="7" t="s">
        <v>5668</v>
      </c>
      <c r="M1060" s="8" t="s">
        <v>3195</v>
      </c>
      <c r="N1060" s="8" t="s">
        <v>1890</v>
      </c>
      <c r="O1060" s="16" t="s">
        <v>2146</v>
      </c>
      <c r="P1060" s="8">
        <v>796</v>
      </c>
      <c r="Q1060" s="8" t="s">
        <v>3196</v>
      </c>
      <c r="R1060" s="10">
        <v>1512</v>
      </c>
      <c r="S1060" s="10">
        <v>507.5</v>
      </c>
      <c r="T1060" s="10">
        <f t="shared" si="437"/>
        <v>767340</v>
      </c>
      <c r="U1060" s="10">
        <f t="shared" si="438"/>
        <v>859420.8</v>
      </c>
      <c r="V1060" s="1" t="s">
        <v>3027</v>
      </c>
      <c r="W1060" s="11">
        <v>2015</v>
      </c>
      <c r="X1060" s="1"/>
    </row>
    <row r="1061" spans="1:24" ht="76.5" customHeight="1" outlineLevel="1" x14ac:dyDescent="0.2">
      <c r="A1061" s="1" t="s">
        <v>4947</v>
      </c>
      <c r="B1061" s="24" t="s">
        <v>5277</v>
      </c>
      <c r="C1061" s="18" t="s">
        <v>1314</v>
      </c>
      <c r="D1061" s="18" t="s">
        <v>1315</v>
      </c>
      <c r="E1061" s="18" t="s">
        <v>7603</v>
      </c>
      <c r="F1061" s="18" t="s">
        <v>1316</v>
      </c>
      <c r="G1061" s="1" t="s">
        <v>1888</v>
      </c>
      <c r="H1061" s="17">
        <v>0.5</v>
      </c>
      <c r="I1061" s="18">
        <v>710000000</v>
      </c>
      <c r="J1061" s="4" t="s">
        <v>1931</v>
      </c>
      <c r="K1061" s="4" t="s">
        <v>5297</v>
      </c>
      <c r="L1061" s="18" t="s">
        <v>5668</v>
      </c>
      <c r="M1061" s="8" t="s">
        <v>3195</v>
      </c>
      <c r="N1061" s="8" t="s">
        <v>1890</v>
      </c>
      <c r="O1061" s="8" t="s">
        <v>1935</v>
      </c>
      <c r="P1061" s="1">
        <v>166</v>
      </c>
      <c r="Q1061" s="4" t="s">
        <v>3324</v>
      </c>
      <c r="R1061" s="10">
        <v>4536</v>
      </c>
      <c r="S1061" s="10">
        <v>1522.5</v>
      </c>
      <c r="T1061" s="10">
        <f t="shared" si="437"/>
        <v>6906060</v>
      </c>
      <c r="U1061" s="10">
        <f t="shared" si="438"/>
        <v>7734787.2000000011</v>
      </c>
      <c r="V1061" s="1"/>
      <c r="W1061" s="11">
        <v>2015</v>
      </c>
      <c r="X1061" s="8"/>
    </row>
    <row r="1062" spans="1:24" ht="76.5" customHeight="1" outlineLevel="1" x14ac:dyDescent="0.2">
      <c r="A1062" s="1" t="s">
        <v>4948</v>
      </c>
      <c r="B1062" s="24" t="s">
        <v>5277</v>
      </c>
      <c r="C1062" s="25" t="s">
        <v>2246</v>
      </c>
      <c r="D1062" s="25" t="s">
        <v>5520</v>
      </c>
      <c r="E1062" s="25" t="s">
        <v>2247</v>
      </c>
      <c r="F1062" s="25" t="s">
        <v>2249</v>
      </c>
      <c r="G1062" s="1" t="s">
        <v>1888</v>
      </c>
      <c r="H1062" s="17">
        <v>0.5</v>
      </c>
      <c r="I1062" s="18">
        <v>710000000</v>
      </c>
      <c r="J1062" s="4" t="s">
        <v>1931</v>
      </c>
      <c r="K1062" s="4" t="s">
        <v>5297</v>
      </c>
      <c r="L1062" s="18" t="s">
        <v>5668</v>
      </c>
      <c r="M1062" s="8" t="s">
        <v>3195</v>
      </c>
      <c r="N1062" s="8" t="s">
        <v>1890</v>
      </c>
      <c r="O1062" s="8" t="s">
        <v>1935</v>
      </c>
      <c r="P1062" s="1">
        <v>112</v>
      </c>
      <c r="Q1062" s="4" t="s">
        <v>3026</v>
      </c>
      <c r="R1062" s="10">
        <v>126</v>
      </c>
      <c r="S1062" s="10">
        <v>221.41</v>
      </c>
      <c r="T1062" s="10">
        <f t="shared" si="437"/>
        <v>27897.66</v>
      </c>
      <c r="U1062" s="10">
        <f t="shared" si="438"/>
        <v>31245.379200000003</v>
      </c>
      <c r="V1062" s="1"/>
      <c r="W1062" s="11">
        <v>2015</v>
      </c>
      <c r="X1062" s="1"/>
    </row>
    <row r="1063" spans="1:24" ht="114.75" customHeight="1" outlineLevel="1" x14ac:dyDescent="0.2">
      <c r="A1063" s="1" t="s">
        <v>4949</v>
      </c>
      <c r="B1063" s="24" t="s">
        <v>5277</v>
      </c>
      <c r="C1063" s="7" t="s">
        <v>3105</v>
      </c>
      <c r="D1063" s="7" t="s">
        <v>5582</v>
      </c>
      <c r="E1063" s="18" t="s">
        <v>5583</v>
      </c>
      <c r="F1063" s="25" t="s">
        <v>1317</v>
      </c>
      <c r="G1063" s="1" t="s">
        <v>1888</v>
      </c>
      <c r="H1063" s="17">
        <v>0.5</v>
      </c>
      <c r="I1063" s="18">
        <v>710000000</v>
      </c>
      <c r="J1063" s="4" t="s">
        <v>1931</v>
      </c>
      <c r="K1063" s="4" t="s">
        <v>5297</v>
      </c>
      <c r="L1063" s="18" t="s">
        <v>5668</v>
      </c>
      <c r="M1063" s="8" t="s">
        <v>3195</v>
      </c>
      <c r="N1063" s="8" t="s">
        <v>1890</v>
      </c>
      <c r="O1063" s="16" t="s">
        <v>2146</v>
      </c>
      <c r="P1063" s="8">
        <v>796</v>
      </c>
      <c r="Q1063" s="8" t="s">
        <v>3196</v>
      </c>
      <c r="R1063" s="10">
        <v>1512</v>
      </c>
      <c r="S1063" s="10">
        <v>700</v>
      </c>
      <c r="T1063" s="10">
        <f t="shared" si="437"/>
        <v>1058400</v>
      </c>
      <c r="U1063" s="10">
        <f t="shared" si="438"/>
        <v>1185408</v>
      </c>
      <c r="V1063" s="1" t="s">
        <v>3027</v>
      </c>
      <c r="W1063" s="11">
        <v>2015</v>
      </c>
      <c r="X1063" s="1"/>
    </row>
    <row r="1064" spans="1:24" ht="76.5" customHeight="1" outlineLevel="1" x14ac:dyDescent="0.2">
      <c r="A1064" s="1" t="s">
        <v>4950</v>
      </c>
      <c r="B1064" s="24" t="s">
        <v>5277</v>
      </c>
      <c r="C1064" s="7" t="s">
        <v>3124</v>
      </c>
      <c r="D1064" s="7" t="s">
        <v>5622</v>
      </c>
      <c r="E1064" s="18" t="s">
        <v>2256</v>
      </c>
      <c r="F1064" s="25" t="s">
        <v>1318</v>
      </c>
      <c r="G1064" s="1" t="s">
        <v>1888</v>
      </c>
      <c r="H1064" s="17">
        <v>0.5</v>
      </c>
      <c r="I1064" s="18">
        <v>710000000</v>
      </c>
      <c r="J1064" s="4" t="s">
        <v>1931</v>
      </c>
      <c r="K1064" s="4" t="s">
        <v>5297</v>
      </c>
      <c r="L1064" s="18" t="s">
        <v>5668</v>
      </c>
      <c r="M1064" s="8" t="s">
        <v>3195</v>
      </c>
      <c r="N1064" s="8" t="s">
        <v>1890</v>
      </c>
      <c r="O1064" s="8" t="s">
        <v>1935</v>
      </c>
      <c r="P1064" s="8">
        <v>796</v>
      </c>
      <c r="Q1064" s="8" t="s">
        <v>3196</v>
      </c>
      <c r="R1064" s="10">
        <v>480</v>
      </c>
      <c r="S1064" s="10">
        <v>1000</v>
      </c>
      <c r="T1064" s="10">
        <f t="shared" si="437"/>
        <v>480000</v>
      </c>
      <c r="U1064" s="10">
        <f t="shared" si="438"/>
        <v>537600</v>
      </c>
      <c r="V1064" s="1"/>
      <c r="W1064" s="11">
        <v>2015</v>
      </c>
      <c r="X1064" s="1"/>
    </row>
    <row r="1065" spans="1:24" ht="76.5" customHeight="1" outlineLevel="1" x14ac:dyDescent="0.2">
      <c r="A1065" s="1" t="s">
        <v>4951</v>
      </c>
      <c r="B1065" s="24" t="s">
        <v>5277</v>
      </c>
      <c r="C1065" s="7" t="s">
        <v>3102</v>
      </c>
      <c r="D1065" s="7" t="s">
        <v>5578</v>
      </c>
      <c r="E1065" s="18" t="s">
        <v>5579</v>
      </c>
      <c r="F1065" s="25" t="s">
        <v>5688</v>
      </c>
      <c r="G1065" s="1" t="s">
        <v>1888</v>
      </c>
      <c r="H1065" s="17">
        <v>0.5</v>
      </c>
      <c r="I1065" s="18">
        <v>710000000</v>
      </c>
      <c r="J1065" s="4" t="s">
        <v>1931</v>
      </c>
      <c r="K1065" s="4" t="s">
        <v>5297</v>
      </c>
      <c r="L1065" s="7" t="s">
        <v>5689</v>
      </c>
      <c r="M1065" s="8" t="s">
        <v>3195</v>
      </c>
      <c r="N1065" s="8" t="s">
        <v>1890</v>
      </c>
      <c r="O1065" s="16" t="s">
        <v>2146</v>
      </c>
      <c r="P1065" s="1">
        <v>868</v>
      </c>
      <c r="Q1065" s="4" t="s">
        <v>5521</v>
      </c>
      <c r="R1065" s="10">
        <v>360</v>
      </c>
      <c r="S1065" s="10">
        <v>461.11</v>
      </c>
      <c r="T1065" s="10">
        <f t="shared" si="437"/>
        <v>165999.6</v>
      </c>
      <c r="U1065" s="10">
        <f t="shared" si="438"/>
        <v>185919.55200000003</v>
      </c>
      <c r="V1065" s="1" t="s">
        <v>3027</v>
      </c>
      <c r="W1065" s="11">
        <v>2015</v>
      </c>
      <c r="X1065" s="1"/>
    </row>
    <row r="1066" spans="1:24" ht="76.5" customHeight="1" outlineLevel="1" x14ac:dyDescent="0.2">
      <c r="A1066" s="1" t="s">
        <v>4952</v>
      </c>
      <c r="B1066" s="24" t="s">
        <v>5277</v>
      </c>
      <c r="C1066" s="7" t="s">
        <v>3112</v>
      </c>
      <c r="D1066" s="7" t="s">
        <v>5585</v>
      </c>
      <c r="E1066" s="18" t="s">
        <v>5586</v>
      </c>
      <c r="F1066" s="25" t="s">
        <v>5690</v>
      </c>
      <c r="G1066" s="1" t="s">
        <v>1888</v>
      </c>
      <c r="H1066" s="17">
        <v>0.5</v>
      </c>
      <c r="I1066" s="18">
        <v>710000000</v>
      </c>
      <c r="J1066" s="4" t="s">
        <v>1931</v>
      </c>
      <c r="K1066" s="4" t="s">
        <v>5297</v>
      </c>
      <c r="L1066" s="7" t="s">
        <v>5689</v>
      </c>
      <c r="M1066" s="8" t="s">
        <v>3195</v>
      </c>
      <c r="N1066" s="8" t="s">
        <v>1890</v>
      </c>
      <c r="O1066" s="16" t="s">
        <v>2146</v>
      </c>
      <c r="P1066" s="1">
        <v>868</v>
      </c>
      <c r="Q1066" s="4" t="s">
        <v>5521</v>
      </c>
      <c r="R1066" s="10">
        <v>360</v>
      </c>
      <c r="S1066" s="10">
        <v>553.13</v>
      </c>
      <c r="T1066" s="10">
        <f t="shared" si="437"/>
        <v>199126.8</v>
      </c>
      <c r="U1066" s="10">
        <f t="shared" si="438"/>
        <v>223022.016</v>
      </c>
      <c r="V1066" s="1" t="s">
        <v>3027</v>
      </c>
      <c r="W1066" s="11">
        <v>2015</v>
      </c>
      <c r="X1066" s="1"/>
    </row>
    <row r="1067" spans="1:24" ht="76.5" customHeight="1" outlineLevel="1" x14ac:dyDescent="0.2">
      <c r="A1067" s="1" t="s">
        <v>4953</v>
      </c>
      <c r="B1067" s="24" t="s">
        <v>5277</v>
      </c>
      <c r="C1067" s="7" t="s">
        <v>3102</v>
      </c>
      <c r="D1067" s="7" t="s">
        <v>5578</v>
      </c>
      <c r="E1067" s="18" t="s">
        <v>5579</v>
      </c>
      <c r="F1067" s="7" t="s">
        <v>1310</v>
      </c>
      <c r="G1067" s="1" t="s">
        <v>1888</v>
      </c>
      <c r="H1067" s="17">
        <v>0.5</v>
      </c>
      <c r="I1067" s="18">
        <v>710000000</v>
      </c>
      <c r="J1067" s="4" t="s">
        <v>1931</v>
      </c>
      <c r="K1067" s="4" t="s">
        <v>5297</v>
      </c>
      <c r="L1067" s="7" t="s">
        <v>5689</v>
      </c>
      <c r="M1067" s="8" t="s">
        <v>3195</v>
      </c>
      <c r="N1067" s="8" t="s">
        <v>1890</v>
      </c>
      <c r="O1067" s="16" t="s">
        <v>2146</v>
      </c>
      <c r="P1067" s="1">
        <v>868</v>
      </c>
      <c r="Q1067" s="4" t="s">
        <v>5521</v>
      </c>
      <c r="R1067" s="10">
        <v>300</v>
      </c>
      <c r="S1067" s="10">
        <v>605.83000000000004</v>
      </c>
      <c r="T1067" s="10">
        <f t="shared" si="437"/>
        <v>181749</v>
      </c>
      <c r="U1067" s="10">
        <f t="shared" si="438"/>
        <v>203558.88000000003</v>
      </c>
      <c r="V1067" s="1" t="s">
        <v>3027</v>
      </c>
      <c r="W1067" s="11">
        <v>2015</v>
      </c>
      <c r="X1067" s="1"/>
    </row>
    <row r="1068" spans="1:24" ht="76.5" customHeight="1" outlineLevel="1" x14ac:dyDescent="0.2">
      <c r="A1068" s="1" t="s">
        <v>4954</v>
      </c>
      <c r="B1068" s="24" t="s">
        <v>5277</v>
      </c>
      <c r="C1068" s="7" t="s">
        <v>3104</v>
      </c>
      <c r="D1068" s="7" t="s">
        <v>5580</v>
      </c>
      <c r="E1068" s="18" t="s">
        <v>5581</v>
      </c>
      <c r="F1068" s="25" t="s">
        <v>1319</v>
      </c>
      <c r="G1068" s="1" t="s">
        <v>1888</v>
      </c>
      <c r="H1068" s="17">
        <v>0.5</v>
      </c>
      <c r="I1068" s="18">
        <v>710000000</v>
      </c>
      <c r="J1068" s="4" t="s">
        <v>1931</v>
      </c>
      <c r="K1068" s="4" t="s">
        <v>5297</v>
      </c>
      <c r="L1068" s="7" t="s">
        <v>5689</v>
      </c>
      <c r="M1068" s="8" t="s">
        <v>3195</v>
      </c>
      <c r="N1068" s="8" t="s">
        <v>1890</v>
      </c>
      <c r="O1068" s="16" t="s">
        <v>2146</v>
      </c>
      <c r="P1068" s="8">
        <v>796</v>
      </c>
      <c r="Q1068" s="8" t="s">
        <v>3196</v>
      </c>
      <c r="R1068" s="10">
        <v>300</v>
      </c>
      <c r="S1068" s="10">
        <v>392.34</v>
      </c>
      <c r="T1068" s="10">
        <f t="shared" si="437"/>
        <v>117701.99999999999</v>
      </c>
      <c r="U1068" s="10">
        <f t="shared" si="438"/>
        <v>131826.23999999999</v>
      </c>
      <c r="V1068" s="1" t="s">
        <v>3027</v>
      </c>
      <c r="W1068" s="11">
        <v>2015</v>
      </c>
      <c r="X1068" s="1"/>
    </row>
    <row r="1069" spans="1:24" ht="76.5" customHeight="1" outlineLevel="1" x14ac:dyDescent="0.2">
      <c r="A1069" s="1" t="s">
        <v>4955</v>
      </c>
      <c r="B1069" s="24" t="s">
        <v>5277</v>
      </c>
      <c r="C1069" s="7" t="s">
        <v>3104</v>
      </c>
      <c r="D1069" s="7" t="s">
        <v>5580</v>
      </c>
      <c r="E1069" s="18" t="s">
        <v>5581</v>
      </c>
      <c r="F1069" s="25" t="s">
        <v>1320</v>
      </c>
      <c r="G1069" s="1" t="s">
        <v>1888</v>
      </c>
      <c r="H1069" s="17">
        <v>0.5</v>
      </c>
      <c r="I1069" s="18">
        <v>710000000</v>
      </c>
      <c r="J1069" s="4" t="s">
        <v>1931</v>
      </c>
      <c r="K1069" s="4" t="s">
        <v>5297</v>
      </c>
      <c r="L1069" s="7" t="s">
        <v>5689</v>
      </c>
      <c r="M1069" s="8" t="s">
        <v>3195</v>
      </c>
      <c r="N1069" s="8" t="s">
        <v>1890</v>
      </c>
      <c r="O1069" s="16" t="s">
        <v>2146</v>
      </c>
      <c r="P1069" s="8">
        <v>796</v>
      </c>
      <c r="Q1069" s="8" t="s">
        <v>3196</v>
      </c>
      <c r="R1069" s="10">
        <v>180</v>
      </c>
      <c r="S1069" s="10">
        <v>580.07000000000005</v>
      </c>
      <c r="T1069" s="10">
        <f t="shared" si="437"/>
        <v>104412.6</v>
      </c>
      <c r="U1069" s="10">
        <f t="shared" si="438"/>
        <v>116942.11200000002</v>
      </c>
      <c r="V1069" s="1" t="s">
        <v>3027</v>
      </c>
      <c r="W1069" s="11">
        <v>2015</v>
      </c>
      <c r="X1069" s="1"/>
    </row>
    <row r="1070" spans="1:24" ht="89.25" customHeight="1" outlineLevel="1" x14ac:dyDescent="0.2">
      <c r="A1070" s="1" t="s">
        <v>4956</v>
      </c>
      <c r="B1070" s="24" t="s">
        <v>5277</v>
      </c>
      <c r="C1070" s="7" t="s">
        <v>3104</v>
      </c>
      <c r="D1070" s="7" t="s">
        <v>5580</v>
      </c>
      <c r="E1070" s="18" t="s">
        <v>5581</v>
      </c>
      <c r="F1070" s="16" t="s">
        <v>1321</v>
      </c>
      <c r="G1070" s="1" t="s">
        <v>1888</v>
      </c>
      <c r="H1070" s="17">
        <v>0.5</v>
      </c>
      <c r="I1070" s="18">
        <v>710000000</v>
      </c>
      <c r="J1070" s="4" t="s">
        <v>1931</v>
      </c>
      <c r="K1070" s="4" t="s">
        <v>5297</v>
      </c>
      <c r="L1070" s="7" t="s">
        <v>5689</v>
      </c>
      <c r="M1070" s="8" t="s">
        <v>3195</v>
      </c>
      <c r="N1070" s="8" t="s">
        <v>1890</v>
      </c>
      <c r="O1070" s="16" t="s">
        <v>2146</v>
      </c>
      <c r="P1070" s="8">
        <v>796</v>
      </c>
      <c r="Q1070" s="8" t="s">
        <v>3196</v>
      </c>
      <c r="R1070" s="10">
        <v>240</v>
      </c>
      <c r="S1070" s="10">
        <v>379.65</v>
      </c>
      <c r="T1070" s="10">
        <f t="shared" si="437"/>
        <v>91116</v>
      </c>
      <c r="U1070" s="10">
        <f t="shared" si="438"/>
        <v>102049.92000000001</v>
      </c>
      <c r="V1070" s="1" t="s">
        <v>3027</v>
      </c>
      <c r="W1070" s="11">
        <v>2015</v>
      </c>
      <c r="X1070" s="1"/>
    </row>
    <row r="1071" spans="1:24" ht="76.5" customHeight="1" outlineLevel="1" x14ac:dyDescent="0.2">
      <c r="A1071" s="1" t="s">
        <v>4957</v>
      </c>
      <c r="B1071" s="24" t="s">
        <v>5277</v>
      </c>
      <c r="C1071" s="7" t="s">
        <v>3118</v>
      </c>
      <c r="D1071" s="7" t="s">
        <v>3119</v>
      </c>
      <c r="E1071" s="18" t="s">
        <v>5603</v>
      </c>
      <c r="F1071" s="7" t="s">
        <v>1322</v>
      </c>
      <c r="G1071" s="1" t="s">
        <v>1888</v>
      </c>
      <c r="H1071" s="17">
        <v>0.5</v>
      </c>
      <c r="I1071" s="18">
        <v>710000000</v>
      </c>
      <c r="J1071" s="4" t="s">
        <v>1931</v>
      </c>
      <c r="K1071" s="4" t="s">
        <v>5297</v>
      </c>
      <c r="L1071" s="7" t="s">
        <v>5689</v>
      </c>
      <c r="M1071" s="8" t="s">
        <v>3195</v>
      </c>
      <c r="N1071" s="8" t="s">
        <v>1890</v>
      </c>
      <c r="O1071" s="8" t="s">
        <v>1935</v>
      </c>
      <c r="P1071" s="1">
        <v>868</v>
      </c>
      <c r="Q1071" s="4" t="s">
        <v>5521</v>
      </c>
      <c r="R1071" s="10">
        <v>60</v>
      </c>
      <c r="S1071" s="10">
        <v>791.5</v>
      </c>
      <c r="T1071" s="10">
        <f t="shared" si="437"/>
        <v>47490</v>
      </c>
      <c r="U1071" s="10">
        <f t="shared" si="438"/>
        <v>53188.800000000003</v>
      </c>
      <c r="V1071" s="1"/>
      <c r="W1071" s="11">
        <v>2015</v>
      </c>
      <c r="X1071" s="1"/>
    </row>
    <row r="1072" spans="1:24" ht="76.5" customHeight="1" outlineLevel="1" x14ac:dyDescent="0.2">
      <c r="A1072" s="1" t="s">
        <v>4958</v>
      </c>
      <c r="B1072" s="24" t="s">
        <v>5277</v>
      </c>
      <c r="C1072" s="7" t="s">
        <v>3584</v>
      </c>
      <c r="D1072" s="7" t="s">
        <v>5592</v>
      </c>
      <c r="E1072" s="18" t="s">
        <v>5593</v>
      </c>
      <c r="F1072" s="25" t="s">
        <v>1323</v>
      </c>
      <c r="G1072" s="1" t="s">
        <v>1888</v>
      </c>
      <c r="H1072" s="17">
        <v>0.5</v>
      </c>
      <c r="I1072" s="18">
        <v>710000000</v>
      </c>
      <c r="J1072" s="4" t="s">
        <v>1931</v>
      </c>
      <c r="K1072" s="4" t="s">
        <v>5297</v>
      </c>
      <c r="L1072" s="7" t="s">
        <v>5689</v>
      </c>
      <c r="M1072" s="8" t="s">
        <v>3195</v>
      </c>
      <c r="N1072" s="8" t="s">
        <v>1890</v>
      </c>
      <c r="O1072" s="16" t="s">
        <v>2146</v>
      </c>
      <c r="P1072" s="8">
        <v>796</v>
      </c>
      <c r="Q1072" s="8" t="s">
        <v>3196</v>
      </c>
      <c r="R1072" s="10">
        <v>300</v>
      </c>
      <c r="S1072" s="10">
        <v>244.85</v>
      </c>
      <c r="T1072" s="10">
        <f t="shared" si="437"/>
        <v>73455</v>
      </c>
      <c r="U1072" s="10">
        <f t="shared" si="438"/>
        <v>82269.600000000006</v>
      </c>
      <c r="V1072" s="1" t="s">
        <v>3027</v>
      </c>
      <c r="W1072" s="11">
        <v>2015</v>
      </c>
      <c r="X1072" s="1"/>
    </row>
    <row r="1073" spans="1:24" ht="89.25" customHeight="1" outlineLevel="1" x14ac:dyDescent="0.2">
      <c r="A1073" s="1" t="s">
        <v>4959</v>
      </c>
      <c r="B1073" s="24" t="s">
        <v>5277</v>
      </c>
      <c r="C1073" s="7" t="s">
        <v>3584</v>
      </c>
      <c r="D1073" s="7" t="s">
        <v>5592</v>
      </c>
      <c r="E1073" s="18" t="s">
        <v>5593</v>
      </c>
      <c r="F1073" s="7" t="s">
        <v>1324</v>
      </c>
      <c r="G1073" s="1" t="s">
        <v>1888</v>
      </c>
      <c r="H1073" s="17">
        <v>0.5</v>
      </c>
      <c r="I1073" s="18">
        <v>710000000</v>
      </c>
      <c r="J1073" s="4" t="s">
        <v>1931</v>
      </c>
      <c r="K1073" s="4" t="s">
        <v>5297</v>
      </c>
      <c r="L1073" s="7" t="s">
        <v>5689</v>
      </c>
      <c r="M1073" s="8" t="s">
        <v>3195</v>
      </c>
      <c r="N1073" s="8" t="s">
        <v>1890</v>
      </c>
      <c r="O1073" s="16" t="s">
        <v>2146</v>
      </c>
      <c r="P1073" s="8">
        <v>796</v>
      </c>
      <c r="Q1073" s="8" t="s">
        <v>3196</v>
      </c>
      <c r="R1073" s="10">
        <v>180</v>
      </c>
      <c r="S1073" s="10">
        <v>90.87</v>
      </c>
      <c r="T1073" s="10">
        <f t="shared" si="437"/>
        <v>16356.6</v>
      </c>
      <c r="U1073" s="10">
        <f t="shared" si="438"/>
        <v>18319.392000000003</v>
      </c>
      <c r="V1073" s="1" t="s">
        <v>3027</v>
      </c>
      <c r="W1073" s="11">
        <v>2015</v>
      </c>
      <c r="X1073" s="1"/>
    </row>
    <row r="1074" spans="1:24" ht="89.25" customHeight="1" outlineLevel="1" x14ac:dyDescent="0.2">
      <c r="A1074" s="1" t="s">
        <v>4960</v>
      </c>
      <c r="B1074" s="24" t="s">
        <v>5277</v>
      </c>
      <c r="C1074" s="25" t="s">
        <v>5144</v>
      </c>
      <c r="D1074" s="25" t="s">
        <v>5693</v>
      </c>
      <c r="E1074" s="25" t="s">
        <v>5694</v>
      </c>
      <c r="F1074" s="25" t="s">
        <v>1325</v>
      </c>
      <c r="G1074" s="1" t="s">
        <v>1888</v>
      </c>
      <c r="H1074" s="17">
        <v>0.5</v>
      </c>
      <c r="I1074" s="18">
        <v>710000000</v>
      </c>
      <c r="J1074" s="4" t="s">
        <v>1931</v>
      </c>
      <c r="K1074" s="4" t="s">
        <v>5297</v>
      </c>
      <c r="L1074" s="7" t="s">
        <v>5689</v>
      </c>
      <c r="M1074" s="8" t="s">
        <v>3195</v>
      </c>
      <c r="N1074" s="8" t="s">
        <v>1890</v>
      </c>
      <c r="O1074" s="8" t="s">
        <v>1935</v>
      </c>
      <c r="P1074" s="8">
        <v>796</v>
      </c>
      <c r="Q1074" s="8" t="s">
        <v>3196</v>
      </c>
      <c r="R1074" s="10">
        <v>60</v>
      </c>
      <c r="S1074" s="10">
        <v>933.8</v>
      </c>
      <c r="T1074" s="10">
        <f t="shared" si="437"/>
        <v>56028</v>
      </c>
      <c r="U1074" s="10">
        <f t="shared" si="438"/>
        <v>62751.360000000008</v>
      </c>
      <c r="V1074" s="1"/>
      <c r="W1074" s="11">
        <v>2015</v>
      </c>
      <c r="X1074" s="1"/>
    </row>
    <row r="1075" spans="1:24" ht="76.5" customHeight="1" outlineLevel="1" x14ac:dyDescent="0.2">
      <c r="A1075" s="1" t="s">
        <v>4961</v>
      </c>
      <c r="B1075" s="24" t="s">
        <v>5277</v>
      </c>
      <c r="C1075" s="25" t="s">
        <v>3117</v>
      </c>
      <c r="D1075" s="25" t="s">
        <v>5587</v>
      </c>
      <c r="E1075" s="25" t="s">
        <v>5588</v>
      </c>
      <c r="F1075" s="25"/>
      <c r="G1075" s="1" t="s">
        <v>1888</v>
      </c>
      <c r="H1075" s="17">
        <v>0.5</v>
      </c>
      <c r="I1075" s="18">
        <v>710000000</v>
      </c>
      <c r="J1075" s="4" t="s">
        <v>1931</v>
      </c>
      <c r="K1075" s="4" t="s">
        <v>5297</v>
      </c>
      <c r="L1075" s="7" t="s">
        <v>5689</v>
      </c>
      <c r="M1075" s="8" t="s">
        <v>3195</v>
      </c>
      <c r="N1075" s="8" t="s">
        <v>1890</v>
      </c>
      <c r="O1075" s="8" t="s">
        <v>1935</v>
      </c>
      <c r="P1075" s="8">
        <v>796</v>
      </c>
      <c r="Q1075" s="8" t="s">
        <v>3196</v>
      </c>
      <c r="R1075" s="10">
        <v>60</v>
      </c>
      <c r="S1075" s="10">
        <v>457</v>
      </c>
      <c r="T1075" s="10">
        <f t="shared" si="437"/>
        <v>27420</v>
      </c>
      <c r="U1075" s="10">
        <f t="shared" si="438"/>
        <v>30710.400000000001</v>
      </c>
      <c r="V1075" s="1"/>
      <c r="W1075" s="11">
        <v>2015</v>
      </c>
      <c r="X1075" s="1"/>
    </row>
    <row r="1076" spans="1:24" ht="76.5" customHeight="1" outlineLevel="1" x14ac:dyDescent="0.2">
      <c r="A1076" s="1" t="s">
        <v>4962</v>
      </c>
      <c r="B1076" s="24" t="s">
        <v>5277</v>
      </c>
      <c r="C1076" s="7" t="s">
        <v>3109</v>
      </c>
      <c r="D1076" s="7" t="s">
        <v>5598</v>
      </c>
      <c r="E1076" s="18" t="s">
        <v>2364</v>
      </c>
      <c r="F1076" s="25" t="s">
        <v>2365</v>
      </c>
      <c r="G1076" s="1" t="s">
        <v>1888</v>
      </c>
      <c r="H1076" s="17">
        <v>0.5</v>
      </c>
      <c r="I1076" s="18">
        <v>710000000</v>
      </c>
      <c r="J1076" s="4" t="s">
        <v>1931</v>
      </c>
      <c r="K1076" s="4" t="s">
        <v>5297</v>
      </c>
      <c r="L1076" s="7" t="s">
        <v>5689</v>
      </c>
      <c r="M1076" s="8" t="s">
        <v>3195</v>
      </c>
      <c r="N1076" s="8" t="s">
        <v>1890</v>
      </c>
      <c r="O1076" s="16" t="s">
        <v>2146</v>
      </c>
      <c r="P1076" s="8">
        <v>796</v>
      </c>
      <c r="Q1076" s="8" t="s">
        <v>3196</v>
      </c>
      <c r="R1076" s="10">
        <v>360</v>
      </c>
      <c r="S1076" s="10">
        <v>72.430000000000007</v>
      </c>
      <c r="T1076" s="10">
        <f t="shared" si="437"/>
        <v>26074.800000000003</v>
      </c>
      <c r="U1076" s="10">
        <f t="shared" si="438"/>
        <v>29203.776000000005</v>
      </c>
      <c r="V1076" s="1" t="s">
        <v>3027</v>
      </c>
      <c r="W1076" s="11">
        <v>2015</v>
      </c>
      <c r="X1076" s="1"/>
    </row>
    <row r="1077" spans="1:24" ht="76.5" customHeight="1" outlineLevel="1" x14ac:dyDescent="0.2">
      <c r="A1077" s="1" t="s">
        <v>4963</v>
      </c>
      <c r="B1077" s="24" t="s">
        <v>5277</v>
      </c>
      <c r="C1077" s="25" t="s">
        <v>1326</v>
      </c>
      <c r="D1077" s="25" t="s">
        <v>1327</v>
      </c>
      <c r="E1077" s="25" t="s">
        <v>1328</v>
      </c>
      <c r="F1077" s="7" t="s">
        <v>1329</v>
      </c>
      <c r="G1077" s="1" t="s">
        <v>1888</v>
      </c>
      <c r="H1077" s="17">
        <v>0.5</v>
      </c>
      <c r="I1077" s="18">
        <v>710000000</v>
      </c>
      <c r="J1077" s="4" t="s">
        <v>1931</v>
      </c>
      <c r="K1077" s="4" t="s">
        <v>5297</v>
      </c>
      <c r="L1077" s="7" t="s">
        <v>5689</v>
      </c>
      <c r="M1077" s="8" t="s">
        <v>3195</v>
      </c>
      <c r="N1077" s="8" t="s">
        <v>1890</v>
      </c>
      <c r="O1077" s="8" t="s">
        <v>1935</v>
      </c>
      <c r="P1077" s="1">
        <v>868</v>
      </c>
      <c r="Q1077" s="4" t="s">
        <v>5521</v>
      </c>
      <c r="R1077" s="10">
        <v>240</v>
      </c>
      <c r="S1077" s="10">
        <v>191.87</v>
      </c>
      <c r="T1077" s="10">
        <f t="shared" si="437"/>
        <v>46048.800000000003</v>
      </c>
      <c r="U1077" s="10">
        <f t="shared" si="438"/>
        <v>51574.65600000001</v>
      </c>
      <c r="V1077" s="1"/>
      <c r="W1077" s="11">
        <v>2015</v>
      </c>
      <c r="X1077" s="1"/>
    </row>
    <row r="1078" spans="1:24" ht="76.5" customHeight="1" outlineLevel="1" x14ac:dyDescent="0.2">
      <c r="A1078" s="1" t="s">
        <v>4964</v>
      </c>
      <c r="B1078" s="24" t="s">
        <v>5277</v>
      </c>
      <c r="C1078" s="25" t="s">
        <v>1330</v>
      </c>
      <c r="D1078" s="25" t="s">
        <v>1331</v>
      </c>
      <c r="E1078" s="25" t="s">
        <v>1332</v>
      </c>
      <c r="F1078" s="16" t="s">
        <v>1333</v>
      </c>
      <c r="G1078" s="1" t="s">
        <v>1888</v>
      </c>
      <c r="H1078" s="17">
        <v>0.5</v>
      </c>
      <c r="I1078" s="18">
        <v>710000000</v>
      </c>
      <c r="J1078" s="4" t="s">
        <v>1931</v>
      </c>
      <c r="K1078" s="4" t="s">
        <v>5297</v>
      </c>
      <c r="L1078" s="7" t="s">
        <v>5689</v>
      </c>
      <c r="M1078" s="8" t="s">
        <v>3195</v>
      </c>
      <c r="N1078" s="8" t="s">
        <v>1890</v>
      </c>
      <c r="O1078" s="8" t="s">
        <v>1935</v>
      </c>
      <c r="P1078" s="8">
        <v>796</v>
      </c>
      <c r="Q1078" s="8" t="s">
        <v>3196</v>
      </c>
      <c r="R1078" s="10">
        <v>60</v>
      </c>
      <c r="S1078" s="10">
        <v>314.5</v>
      </c>
      <c r="T1078" s="10">
        <f t="shared" si="437"/>
        <v>18870</v>
      </c>
      <c r="U1078" s="10">
        <f t="shared" si="438"/>
        <v>21134.400000000001</v>
      </c>
      <c r="V1078" s="1"/>
      <c r="W1078" s="11">
        <v>2015</v>
      </c>
      <c r="X1078" s="1"/>
    </row>
    <row r="1079" spans="1:24" ht="76.5" customHeight="1" outlineLevel="1" x14ac:dyDescent="0.2">
      <c r="A1079" s="1" t="s">
        <v>4965</v>
      </c>
      <c r="B1079" s="24" t="s">
        <v>5277</v>
      </c>
      <c r="C1079" s="7" t="s">
        <v>3110</v>
      </c>
      <c r="D1079" s="82" t="s">
        <v>5691</v>
      </c>
      <c r="E1079" s="82" t="s">
        <v>5692</v>
      </c>
      <c r="F1079" s="82" t="s">
        <v>1334</v>
      </c>
      <c r="G1079" s="1" t="s">
        <v>1888</v>
      </c>
      <c r="H1079" s="17">
        <v>0.5</v>
      </c>
      <c r="I1079" s="18">
        <v>710000000</v>
      </c>
      <c r="J1079" s="4" t="s">
        <v>1931</v>
      </c>
      <c r="K1079" s="4" t="s">
        <v>5297</v>
      </c>
      <c r="L1079" s="7" t="s">
        <v>5689</v>
      </c>
      <c r="M1079" s="8" t="s">
        <v>3195</v>
      </c>
      <c r="N1079" s="8" t="s">
        <v>1890</v>
      </c>
      <c r="O1079" s="8" t="s">
        <v>1935</v>
      </c>
      <c r="P1079" s="8">
        <v>796</v>
      </c>
      <c r="Q1079" s="8" t="s">
        <v>3196</v>
      </c>
      <c r="R1079" s="10">
        <v>36</v>
      </c>
      <c r="S1079" s="10">
        <v>887.01</v>
      </c>
      <c r="T1079" s="10">
        <f t="shared" si="437"/>
        <v>31932.36</v>
      </c>
      <c r="U1079" s="10">
        <f t="shared" si="438"/>
        <v>35764.243200000004</v>
      </c>
      <c r="V1079" s="1"/>
      <c r="W1079" s="11">
        <v>2015</v>
      </c>
      <c r="X1079" s="1"/>
    </row>
    <row r="1080" spans="1:24" ht="76.5" customHeight="1" outlineLevel="1" x14ac:dyDescent="0.2">
      <c r="A1080" s="1" t="s">
        <v>4966</v>
      </c>
      <c r="B1080" s="24" t="s">
        <v>5277</v>
      </c>
      <c r="C1080" s="7" t="s">
        <v>3111</v>
      </c>
      <c r="D1080" s="7" t="s">
        <v>5600</v>
      </c>
      <c r="E1080" s="18" t="s">
        <v>5601</v>
      </c>
      <c r="F1080" s="25" t="s">
        <v>1335</v>
      </c>
      <c r="G1080" s="1" t="s">
        <v>1888</v>
      </c>
      <c r="H1080" s="17">
        <v>0.5</v>
      </c>
      <c r="I1080" s="18">
        <v>710000000</v>
      </c>
      <c r="J1080" s="4" t="s">
        <v>1931</v>
      </c>
      <c r="K1080" s="4" t="s">
        <v>5297</v>
      </c>
      <c r="L1080" s="7" t="s">
        <v>5689</v>
      </c>
      <c r="M1080" s="8" t="s">
        <v>3195</v>
      </c>
      <c r="N1080" s="8" t="s">
        <v>1890</v>
      </c>
      <c r="O1080" s="8" t="s">
        <v>1935</v>
      </c>
      <c r="P1080" s="1">
        <v>5111</v>
      </c>
      <c r="Q1080" s="4" t="s">
        <v>5298</v>
      </c>
      <c r="R1080" s="10">
        <v>12</v>
      </c>
      <c r="S1080" s="10">
        <v>1923.52</v>
      </c>
      <c r="T1080" s="10">
        <f t="shared" si="437"/>
        <v>23082.239999999998</v>
      </c>
      <c r="U1080" s="10">
        <f t="shared" si="438"/>
        <v>25852.108800000002</v>
      </c>
      <c r="V1080" s="1"/>
      <c r="W1080" s="11">
        <v>2015</v>
      </c>
      <c r="X1080" s="1"/>
    </row>
    <row r="1081" spans="1:24" ht="76.5" customHeight="1" outlineLevel="1" x14ac:dyDescent="0.2">
      <c r="A1081" s="1" t="s">
        <v>4967</v>
      </c>
      <c r="B1081" s="24" t="s">
        <v>5277</v>
      </c>
      <c r="C1081" s="7" t="s">
        <v>3111</v>
      </c>
      <c r="D1081" s="7" t="s">
        <v>5600</v>
      </c>
      <c r="E1081" s="18" t="s">
        <v>5601</v>
      </c>
      <c r="F1081" s="25" t="s">
        <v>1336</v>
      </c>
      <c r="G1081" s="1" t="s">
        <v>1888</v>
      </c>
      <c r="H1081" s="17">
        <v>0.5</v>
      </c>
      <c r="I1081" s="18">
        <v>710000000</v>
      </c>
      <c r="J1081" s="4" t="s">
        <v>1931</v>
      </c>
      <c r="K1081" s="4" t="s">
        <v>5297</v>
      </c>
      <c r="L1081" s="7" t="s">
        <v>5689</v>
      </c>
      <c r="M1081" s="8" t="s">
        <v>3195</v>
      </c>
      <c r="N1081" s="8" t="s">
        <v>1890</v>
      </c>
      <c r="O1081" s="8" t="s">
        <v>1935</v>
      </c>
      <c r="P1081" s="1">
        <v>5111</v>
      </c>
      <c r="Q1081" s="4" t="s">
        <v>5298</v>
      </c>
      <c r="R1081" s="10">
        <v>300</v>
      </c>
      <c r="S1081" s="10">
        <v>186.18</v>
      </c>
      <c r="T1081" s="10">
        <f t="shared" si="437"/>
        <v>55854</v>
      </c>
      <c r="U1081" s="10">
        <f t="shared" si="438"/>
        <v>62556.480000000003</v>
      </c>
      <c r="V1081" s="1"/>
      <c r="W1081" s="11">
        <v>2015</v>
      </c>
      <c r="X1081" s="1"/>
    </row>
    <row r="1082" spans="1:24" ht="89.25" customHeight="1" outlineLevel="1" x14ac:dyDescent="0.2">
      <c r="A1082" s="1" t="s">
        <v>4968</v>
      </c>
      <c r="B1082" s="24" t="s">
        <v>5277</v>
      </c>
      <c r="C1082" s="7" t="s">
        <v>3120</v>
      </c>
      <c r="D1082" s="7" t="s">
        <v>5577</v>
      </c>
      <c r="E1082" s="18" t="s">
        <v>5577</v>
      </c>
      <c r="F1082" s="82" t="s">
        <v>1337</v>
      </c>
      <c r="G1082" s="1" t="s">
        <v>1888</v>
      </c>
      <c r="H1082" s="17">
        <v>0.5</v>
      </c>
      <c r="I1082" s="18">
        <v>710000000</v>
      </c>
      <c r="J1082" s="4" t="s">
        <v>1931</v>
      </c>
      <c r="K1082" s="4" t="s">
        <v>5297</v>
      </c>
      <c r="L1082" s="7" t="s">
        <v>5689</v>
      </c>
      <c r="M1082" s="8" t="s">
        <v>3195</v>
      </c>
      <c r="N1082" s="8" t="s">
        <v>1890</v>
      </c>
      <c r="O1082" s="16" t="s">
        <v>2146</v>
      </c>
      <c r="P1082" s="8">
        <v>796</v>
      </c>
      <c r="Q1082" s="8" t="s">
        <v>3196</v>
      </c>
      <c r="R1082" s="10">
        <v>36</v>
      </c>
      <c r="S1082" s="10">
        <v>488.5</v>
      </c>
      <c r="T1082" s="10">
        <f t="shared" si="437"/>
        <v>17586</v>
      </c>
      <c r="U1082" s="10">
        <f t="shared" si="438"/>
        <v>19696.320000000003</v>
      </c>
      <c r="V1082" s="1" t="s">
        <v>3027</v>
      </c>
      <c r="W1082" s="11">
        <v>2015</v>
      </c>
      <c r="X1082" s="1"/>
    </row>
    <row r="1083" spans="1:24" ht="76.5" customHeight="1" outlineLevel="1" x14ac:dyDescent="0.2">
      <c r="A1083" s="1" t="s">
        <v>4969</v>
      </c>
      <c r="B1083" s="24" t="s">
        <v>5277</v>
      </c>
      <c r="C1083" s="7" t="s">
        <v>3105</v>
      </c>
      <c r="D1083" s="7" t="s">
        <v>5582</v>
      </c>
      <c r="E1083" s="18" t="s">
        <v>5583</v>
      </c>
      <c r="F1083" s="25" t="s">
        <v>1338</v>
      </c>
      <c r="G1083" s="1" t="s">
        <v>1888</v>
      </c>
      <c r="H1083" s="17">
        <v>0.5</v>
      </c>
      <c r="I1083" s="18">
        <v>710000000</v>
      </c>
      <c r="J1083" s="4" t="s">
        <v>1931</v>
      </c>
      <c r="K1083" s="4" t="s">
        <v>5297</v>
      </c>
      <c r="L1083" s="7" t="s">
        <v>5689</v>
      </c>
      <c r="M1083" s="8" t="s">
        <v>3195</v>
      </c>
      <c r="N1083" s="8" t="s">
        <v>1890</v>
      </c>
      <c r="O1083" s="16" t="s">
        <v>2146</v>
      </c>
      <c r="P1083" s="8">
        <v>796</v>
      </c>
      <c r="Q1083" s="8" t="s">
        <v>3196</v>
      </c>
      <c r="R1083" s="10">
        <v>300</v>
      </c>
      <c r="S1083" s="10">
        <v>204.25</v>
      </c>
      <c r="T1083" s="10">
        <f t="shared" si="437"/>
        <v>61275</v>
      </c>
      <c r="U1083" s="10">
        <f t="shared" si="438"/>
        <v>68628</v>
      </c>
      <c r="V1083" s="1" t="s">
        <v>3027</v>
      </c>
      <c r="W1083" s="11">
        <v>2015</v>
      </c>
      <c r="X1083" s="1"/>
    </row>
    <row r="1084" spans="1:24" ht="76.5" customHeight="1" outlineLevel="1" x14ac:dyDescent="0.2">
      <c r="A1084" s="1" t="s">
        <v>4970</v>
      </c>
      <c r="B1084" s="24" t="s">
        <v>5277</v>
      </c>
      <c r="C1084" s="7" t="s">
        <v>3113</v>
      </c>
      <c r="D1084" s="7" t="s">
        <v>5606</v>
      </c>
      <c r="E1084" s="18" t="s">
        <v>5607</v>
      </c>
      <c r="F1084" s="16" t="s">
        <v>1339</v>
      </c>
      <c r="G1084" s="1" t="s">
        <v>1888</v>
      </c>
      <c r="H1084" s="17">
        <v>0.5</v>
      </c>
      <c r="I1084" s="18">
        <v>710000000</v>
      </c>
      <c r="J1084" s="4" t="s">
        <v>1931</v>
      </c>
      <c r="K1084" s="4" t="s">
        <v>5297</v>
      </c>
      <c r="L1084" s="7" t="s">
        <v>5689</v>
      </c>
      <c r="M1084" s="8" t="s">
        <v>3195</v>
      </c>
      <c r="N1084" s="8" t="s">
        <v>1890</v>
      </c>
      <c r="O1084" s="16" t="s">
        <v>2146</v>
      </c>
      <c r="P1084" s="8">
        <v>796</v>
      </c>
      <c r="Q1084" s="8" t="s">
        <v>3196</v>
      </c>
      <c r="R1084" s="10">
        <v>600</v>
      </c>
      <c r="S1084" s="10">
        <v>198.5</v>
      </c>
      <c r="T1084" s="10">
        <f t="shared" si="437"/>
        <v>119100</v>
      </c>
      <c r="U1084" s="10">
        <f t="shared" si="438"/>
        <v>133392</v>
      </c>
      <c r="V1084" s="1" t="s">
        <v>3027</v>
      </c>
      <c r="W1084" s="11">
        <v>2015</v>
      </c>
      <c r="X1084" s="1"/>
    </row>
    <row r="1085" spans="1:24" ht="76.5" customHeight="1" outlineLevel="1" x14ac:dyDescent="0.2">
      <c r="A1085" s="1" t="s">
        <v>5120</v>
      </c>
      <c r="B1085" s="24" t="s">
        <v>5277</v>
      </c>
      <c r="C1085" s="7" t="s">
        <v>3114</v>
      </c>
      <c r="D1085" s="7" t="s">
        <v>5594</v>
      </c>
      <c r="E1085" s="18" t="s">
        <v>5597</v>
      </c>
      <c r="F1085" s="25" t="s">
        <v>1340</v>
      </c>
      <c r="G1085" s="1" t="s">
        <v>1888</v>
      </c>
      <c r="H1085" s="17">
        <v>0.5</v>
      </c>
      <c r="I1085" s="18">
        <v>710000000</v>
      </c>
      <c r="J1085" s="4" t="s">
        <v>1931</v>
      </c>
      <c r="K1085" s="4" t="s">
        <v>5297</v>
      </c>
      <c r="L1085" s="7" t="s">
        <v>5689</v>
      </c>
      <c r="M1085" s="8" t="s">
        <v>3195</v>
      </c>
      <c r="N1085" s="8" t="s">
        <v>1890</v>
      </c>
      <c r="O1085" s="16" t="s">
        <v>2146</v>
      </c>
      <c r="P1085" s="8">
        <v>796</v>
      </c>
      <c r="Q1085" s="8" t="s">
        <v>3196</v>
      </c>
      <c r="R1085" s="10">
        <v>840</v>
      </c>
      <c r="S1085" s="10">
        <v>264</v>
      </c>
      <c r="T1085" s="10">
        <f t="shared" si="437"/>
        <v>221760</v>
      </c>
      <c r="U1085" s="10">
        <f t="shared" si="438"/>
        <v>248371.20000000001</v>
      </c>
      <c r="V1085" s="1" t="s">
        <v>3027</v>
      </c>
      <c r="W1085" s="11">
        <v>2015</v>
      </c>
      <c r="X1085" s="1"/>
    </row>
    <row r="1086" spans="1:24" ht="76.5" customHeight="1" outlineLevel="1" x14ac:dyDescent="0.2">
      <c r="A1086" s="1" t="s">
        <v>4971</v>
      </c>
      <c r="B1086" s="24" t="s">
        <v>5277</v>
      </c>
      <c r="C1086" s="25" t="s">
        <v>3453</v>
      </c>
      <c r="D1086" s="25" t="s">
        <v>5609</v>
      </c>
      <c r="E1086" s="25" t="s">
        <v>5669</v>
      </c>
      <c r="F1086" s="25" t="s">
        <v>1341</v>
      </c>
      <c r="G1086" s="1" t="s">
        <v>1888</v>
      </c>
      <c r="H1086" s="17">
        <v>0.5</v>
      </c>
      <c r="I1086" s="18">
        <v>710000000</v>
      </c>
      <c r="J1086" s="4" t="s">
        <v>1931</v>
      </c>
      <c r="K1086" s="4" t="s">
        <v>5297</v>
      </c>
      <c r="L1086" s="7" t="s">
        <v>5689</v>
      </c>
      <c r="M1086" s="8" t="s">
        <v>3195</v>
      </c>
      <c r="N1086" s="8" t="s">
        <v>1890</v>
      </c>
      <c r="O1086" s="16" t="s">
        <v>2146</v>
      </c>
      <c r="P1086" s="1">
        <v>778</v>
      </c>
      <c r="Q1086" s="4" t="s">
        <v>3327</v>
      </c>
      <c r="R1086" s="10">
        <v>3600</v>
      </c>
      <c r="S1086" s="10">
        <v>162.5</v>
      </c>
      <c r="T1086" s="10">
        <f t="shared" si="437"/>
        <v>585000</v>
      </c>
      <c r="U1086" s="10">
        <f t="shared" si="438"/>
        <v>655200.00000000012</v>
      </c>
      <c r="V1086" s="1" t="s">
        <v>3027</v>
      </c>
      <c r="W1086" s="11">
        <v>2015</v>
      </c>
      <c r="X1086" s="1"/>
    </row>
    <row r="1087" spans="1:24" ht="76.5" customHeight="1" outlineLevel="1" x14ac:dyDescent="0.2">
      <c r="A1087" s="1" t="s">
        <v>4972</v>
      </c>
      <c r="B1087" s="24" t="s">
        <v>5277</v>
      </c>
      <c r="C1087" s="7" t="s">
        <v>3123</v>
      </c>
      <c r="D1087" s="7" t="s">
        <v>5610</v>
      </c>
      <c r="E1087" s="18" t="s">
        <v>5611</v>
      </c>
      <c r="F1087" s="25" t="s">
        <v>1342</v>
      </c>
      <c r="G1087" s="1" t="s">
        <v>1888</v>
      </c>
      <c r="H1087" s="17">
        <v>0.5</v>
      </c>
      <c r="I1087" s="18">
        <v>710000000</v>
      </c>
      <c r="J1087" s="4" t="s">
        <v>1931</v>
      </c>
      <c r="K1087" s="4" t="s">
        <v>5297</v>
      </c>
      <c r="L1087" s="7" t="s">
        <v>5689</v>
      </c>
      <c r="M1087" s="8" t="s">
        <v>3195</v>
      </c>
      <c r="N1087" s="8" t="s">
        <v>1890</v>
      </c>
      <c r="O1087" s="16" t="s">
        <v>2146</v>
      </c>
      <c r="P1087" s="1">
        <v>778</v>
      </c>
      <c r="Q1087" s="4" t="s">
        <v>3327</v>
      </c>
      <c r="R1087" s="10">
        <v>3600</v>
      </c>
      <c r="S1087" s="10">
        <v>221.54</v>
      </c>
      <c r="T1087" s="10">
        <f t="shared" si="437"/>
        <v>797544</v>
      </c>
      <c r="U1087" s="10">
        <f t="shared" si="438"/>
        <v>893249.28</v>
      </c>
      <c r="V1087" s="1" t="s">
        <v>3027</v>
      </c>
      <c r="W1087" s="11">
        <v>2015</v>
      </c>
      <c r="X1087" s="1"/>
    </row>
    <row r="1088" spans="1:24" ht="76.5" customHeight="1" outlineLevel="1" x14ac:dyDescent="0.2">
      <c r="A1088" s="1" t="s">
        <v>5121</v>
      </c>
      <c r="B1088" s="24" t="s">
        <v>5277</v>
      </c>
      <c r="C1088" s="7" t="s">
        <v>3123</v>
      </c>
      <c r="D1088" s="7" t="s">
        <v>5610</v>
      </c>
      <c r="E1088" s="18" t="s">
        <v>5611</v>
      </c>
      <c r="F1088" s="25" t="s">
        <v>1343</v>
      </c>
      <c r="G1088" s="1" t="s">
        <v>1888</v>
      </c>
      <c r="H1088" s="17">
        <v>0.5</v>
      </c>
      <c r="I1088" s="18">
        <v>710000000</v>
      </c>
      <c r="J1088" s="4" t="s">
        <v>1931</v>
      </c>
      <c r="K1088" s="4" t="s">
        <v>5297</v>
      </c>
      <c r="L1088" s="7" t="s">
        <v>5689</v>
      </c>
      <c r="M1088" s="8" t="s">
        <v>3195</v>
      </c>
      <c r="N1088" s="8" t="s">
        <v>1890</v>
      </c>
      <c r="O1088" s="16" t="s">
        <v>2146</v>
      </c>
      <c r="P1088" s="1">
        <v>778</v>
      </c>
      <c r="Q1088" s="4" t="s">
        <v>3327</v>
      </c>
      <c r="R1088" s="10">
        <v>240</v>
      </c>
      <c r="S1088" s="10">
        <v>457.52</v>
      </c>
      <c r="T1088" s="10">
        <f t="shared" si="437"/>
        <v>109804.79999999999</v>
      </c>
      <c r="U1088" s="10">
        <f t="shared" si="438"/>
        <v>122981.376</v>
      </c>
      <c r="V1088" s="1" t="s">
        <v>3027</v>
      </c>
      <c r="W1088" s="11">
        <v>2015</v>
      </c>
      <c r="X1088" s="1"/>
    </row>
    <row r="1089" spans="1:24" ht="76.5" customHeight="1" outlineLevel="1" x14ac:dyDescent="0.2">
      <c r="A1089" s="1" t="s">
        <v>5122</v>
      </c>
      <c r="B1089" s="24" t="s">
        <v>5277</v>
      </c>
      <c r="C1089" s="25" t="s">
        <v>1344</v>
      </c>
      <c r="D1089" s="25" t="s">
        <v>5614</v>
      </c>
      <c r="E1089" s="25" t="s">
        <v>1345</v>
      </c>
      <c r="F1089" s="25" t="s">
        <v>1346</v>
      </c>
      <c r="G1089" s="1" t="s">
        <v>1888</v>
      </c>
      <c r="H1089" s="17">
        <v>0.5</v>
      </c>
      <c r="I1089" s="18">
        <v>710000000</v>
      </c>
      <c r="J1089" s="4" t="s">
        <v>1931</v>
      </c>
      <c r="K1089" s="4" t="s">
        <v>5297</v>
      </c>
      <c r="L1089" s="7" t="s">
        <v>5689</v>
      </c>
      <c r="M1089" s="8" t="s">
        <v>3195</v>
      </c>
      <c r="N1089" s="8" t="s">
        <v>1890</v>
      </c>
      <c r="O1089" s="16" t="s">
        <v>2146</v>
      </c>
      <c r="P1089" s="1">
        <v>736</v>
      </c>
      <c r="Q1089" s="4" t="s">
        <v>5475</v>
      </c>
      <c r="R1089" s="10">
        <v>600</v>
      </c>
      <c r="S1089" s="10">
        <v>241.92</v>
      </c>
      <c r="T1089" s="10">
        <f t="shared" si="437"/>
        <v>145152</v>
      </c>
      <c r="U1089" s="10">
        <f t="shared" si="438"/>
        <v>162570.24000000002</v>
      </c>
      <c r="V1089" s="1" t="s">
        <v>3027</v>
      </c>
      <c r="W1089" s="11">
        <v>2015</v>
      </c>
      <c r="X1089" s="1"/>
    </row>
    <row r="1090" spans="1:24" ht="76.5" customHeight="1" outlineLevel="1" x14ac:dyDescent="0.2">
      <c r="A1090" s="1" t="s">
        <v>4973</v>
      </c>
      <c r="B1090" s="24" t="s">
        <v>5277</v>
      </c>
      <c r="C1090" s="25" t="s">
        <v>1344</v>
      </c>
      <c r="D1090" s="25" t="s">
        <v>5614</v>
      </c>
      <c r="E1090" s="25" t="s">
        <v>1345</v>
      </c>
      <c r="F1090" s="25" t="s">
        <v>1347</v>
      </c>
      <c r="G1090" s="1" t="s">
        <v>1888</v>
      </c>
      <c r="H1090" s="17">
        <v>0.5</v>
      </c>
      <c r="I1090" s="18">
        <v>710000000</v>
      </c>
      <c r="J1090" s="4" t="s">
        <v>1931</v>
      </c>
      <c r="K1090" s="4" t="s">
        <v>5297</v>
      </c>
      <c r="L1090" s="7" t="s">
        <v>5689</v>
      </c>
      <c r="M1090" s="8" t="s">
        <v>3195</v>
      </c>
      <c r="N1090" s="8" t="s">
        <v>1890</v>
      </c>
      <c r="O1090" s="16" t="s">
        <v>2146</v>
      </c>
      <c r="P1090" s="1">
        <v>736</v>
      </c>
      <c r="Q1090" s="4" t="s">
        <v>5475</v>
      </c>
      <c r="R1090" s="10">
        <v>600</v>
      </c>
      <c r="S1090" s="10">
        <v>220.22</v>
      </c>
      <c r="T1090" s="10">
        <f t="shared" si="437"/>
        <v>132132</v>
      </c>
      <c r="U1090" s="10">
        <f t="shared" si="438"/>
        <v>147987.84000000003</v>
      </c>
      <c r="V1090" s="1" t="s">
        <v>3027</v>
      </c>
      <c r="W1090" s="11">
        <v>2015</v>
      </c>
      <c r="X1090" s="1"/>
    </row>
    <row r="1091" spans="1:24" ht="76.5" customHeight="1" outlineLevel="1" x14ac:dyDescent="0.2">
      <c r="A1091" s="1" t="s">
        <v>4974</v>
      </c>
      <c r="B1091" s="24" t="s">
        <v>5277</v>
      </c>
      <c r="C1091" s="7" t="s">
        <v>5130</v>
      </c>
      <c r="D1091" s="7" t="s">
        <v>5677</v>
      </c>
      <c r="E1091" s="18" t="s">
        <v>5678</v>
      </c>
      <c r="F1091" s="25" t="s">
        <v>5679</v>
      </c>
      <c r="G1091" s="1" t="s">
        <v>1888</v>
      </c>
      <c r="H1091" s="17">
        <v>0.5</v>
      </c>
      <c r="I1091" s="18">
        <v>710000000</v>
      </c>
      <c r="J1091" s="4" t="s">
        <v>1931</v>
      </c>
      <c r="K1091" s="4" t="s">
        <v>5297</v>
      </c>
      <c r="L1091" s="7" t="s">
        <v>5689</v>
      </c>
      <c r="M1091" s="8" t="s">
        <v>3195</v>
      </c>
      <c r="N1091" s="8" t="s">
        <v>1890</v>
      </c>
      <c r="O1091" s="8" t="s">
        <v>1935</v>
      </c>
      <c r="P1091" s="1" t="s">
        <v>3010</v>
      </c>
      <c r="Q1091" s="4" t="s">
        <v>3009</v>
      </c>
      <c r="R1091" s="10">
        <v>1200</v>
      </c>
      <c r="S1091" s="10">
        <v>193.33</v>
      </c>
      <c r="T1091" s="10">
        <f t="shared" si="437"/>
        <v>231996.00000000003</v>
      </c>
      <c r="U1091" s="10">
        <f t="shared" si="438"/>
        <v>259835.52000000005</v>
      </c>
      <c r="V1091" s="1"/>
      <c r="W1091" s="11">
        <v>2015</v>
      </c>
      <c r="X1091" s="1"/>
    </row>
    <row r="1092" spans="1:24" ht="76.5" customHeight="1" outlineLevel="1" x14ac:dyDescent="0.2">
      <c r="A1092" s="1" t="s">
        <v>4975</v>
      </c>
      <c r="B1092" s="24" t="s">
        <v>5277</v>
      </c>
      <c r="C1092" s="7" t="s">
        <v>3131</v>
      </c>
      <c r="D1092" s="7" t="s">
        <v>5619</v>
      </c>
      <c r="E1092" s="18" t="s">
        <v>5620</v>
      </c>
      <c r="F1092" s="25" t="s">
        <v>2357</v>
      </c>
      <c r="G1092" s="1" t="s">
        <v>1888</v>
      </c>
      <c r="H1092" s="17">
        <v>0.5</v>
      </c>
      <c r="I1092" s="18">
        <v>710000000</v>
      </c>
      <c r="J1092" s="4" t="s">
        <v>1931</v>
      </c>
      <c r="K1092" s="4" t="s">
        <v>5297</v>
      </c>
      <c r="L1092" s="7" t="s">
        <v>5689</v>
      </c>
      <c r="M1092" s="8" t="s">
        <v>3195</v>
      </c>
      <c r="N1092" s="8" t="s">
        <v>1890</v>
      </c>
      <c r="O1092" s="8" t="s">
        <v>1935</v>
      </c>
      <c r="P1092" s="1">
        <v>778</v>
      </c>
      <c r="Q1092" s="4" t="s">
        <v>3327</v>
      </c>
      <c r="R1092" s="10">
        <v>360</v>
      </c>
      <c r="S1092" s="10">
        <v>260.66000000000003</v>
      </c>
      <c r="T1092" s="10">
        <f t="shared" si="437"/>
        <v>93837.6</v>
      </c>
      <c r="U1092" s="10">
        <f t="shared" si="438"/>
        <v>105098.11200000002</v>
      </c>
      <c r="V1092" s="1"/>
      <c r="W1092" s="11">
        <v>2015</v>
      </c>
      <c r="X1092" s="1"/>
    </row>
    <row r="1093" spans="1:24" ht="76.5" customHeight="1" outlineLevel="1" x14ac:dyDescent="0.2">
      <c r="A1093" s="1" t="s">
        <v>4976</v>
      </c>
      <c r="B1093" s="24" t="s">
        <v>5277</v>
      </c>
      <c r="C1093" s="7" t="s">
        <v>3126</v>
      </c>
      <c r="D1093" s="7" t="s">
        <v>5245</v>
      </c>
      <c r="E1093" s="18" t="s">
        <v>5617</v>
      </c>
      <c r="F1093" s="25" t="s">
        <v>5680</v>
      </c>
      <c r="G1093" s="1" t="s">
        <v>1888</v>
      </c>
      <c r="H1093" s="17">
        <v>0.5</v>
      </c>
      <c r="I1093" s="18">
        <v>710000000</v>
      </c>
      <c r="J1093" s="4" t="s">
        <v>1931</v>
      </c>
      <c r="K1093" s="4" t="s">
        <v>5297</v>
      </c>
      <c r="L1093" s="7" t="s">
        <v>5689</v>
      </c>
      <c r="M1093" s="8" t="s">
        <v>3195</v>
      </c>
      <c r="N1093" s="8" t="s">
        <v>1890</v>
      </c>
      <c r="O1093" s="16" t="s">
        <v>2146</v>
      </c>
      <c r="P1093" s="1">
        <v>715</v>
      </c>
      <c r="Q1093" s="4" t="s">
        <v>5618</v>
      </c>
      <c r="R1093" s="10">
        <v>600</v>
      </c>
      <c r="S1093" s="10">
        <v>189.23</v>
      </c>
      <c r="T1093" s="10">
        <f t="shared" si="437"/>
        <v>113538</v>
      </c>
      <c r="U1093" s="10">
        <f t="shared" si="438"/>
        <v>127162.56000000001</v>
      </c>
      <c r="V1093" s="1" t="s">
        <v>3027</v>
      </c>
      <c r="W1093" s="11">
        <v>2015</v>
      </c>
      <c r="X1093" s="1"/>
    </row>
    <row r="1094" spans="1:24" ht="76.5" customHeight="1" outlineLevel="1" x14ac:dyDescent="0.2">
      <c r="A1094" s="1" t="s">
        <v>4977</v>
      </c>
      <c r="B1094" s="24" t="s">
        <v>5277</v>
      </c>
      <c r="C1094" s="7" t="s">
        <v>3799</v>
      </c>
      <c r="D1094" s="7" t="s">
        <v>3800</v>
      </c>
      <c r="E1094" s="18" t="s">
        <v>5546</v>
      </c>
      <c r="F1094" s="4" t="s">
        <v>1348</v>
      </c>
      <c r="G1094" s="1" t="s">
        <v>1888</v>
      </c>
      <c r="H1094" s="17">
        <v>0.5</v>
      </c>
      <c r="I1094" s="18">
        <v>710000000</v>
      </c>
      <c r="J1094" s="4" t="s">
        <v>1931</v>
      </c>
      <c r="K1094" s="4" t="s">
        <v>5297</v>
      </c>
      <c r="L1094" s="7" t="s">
        <v>5689</v>
      </c>
      <c r="M1094" s="8" t="s">
        <v>3195</v>
      </c>
      <c r="N1094" s="8" t="s">
        <v>1890</v>
      </c>
      <c r="O1094" s="16" t="s">
        <v>2146</v>
      </c>
      <c r="P1094" s="1">
        <v>778</v>
      </c>
      <c r="Q1094" s="4" t="s">
        <v>3327</v>
      </c>
      <c r="R1094" s="10">
        <v>264</v>
      </c>
      <c r="S1094" s="10">
        <v>104.85</v>
      </c>
      <c r="T1094" s="10">
        <f t="shared" si="437"/>
        <v>27680.399999999998</v>
      </c>
      <c r="U1094" s="10">
        <f t="shared" si="438"/>
        <v>31002.047999999999</v>
      </c>
      <c r="V1094" s="1" t="s">
        <v>3027</v>
      </c>
      <c r="W1094" s="11">
        <v>2015</v>
      </c>
      <c r="X1094" s="1"/>
    </row>
    <row r="1095" spans="1:24" ht="76.5" customHeight="1" outlineLevel="1" x14ac:dyDescent="0.2">
      <c r="A1095" s="1" t="s">
        <v>4978</v>
      </c>
      <c r="B1095" s="24" t="s">
        <v>5277</v>
      </c>
      <c r="C1095" s="7" t="s">
        <v>3130</v>
      </c>
      <c r="D1095" s="7" t="s">
        <v>5612</v>
      </c>
      <c r="E1095" s="18" t="s">
        <v>5613</v>
      </c>
      <c r="F1095" s="25" t="s">
        <v>5696</v>
      </c>
      <c r="G1095" s="1" t="s">
        <v>1888</v>
      </c>
      <c r="H1095" s="17">
        <v>0.5</v>
      </c>
      <c r="I1095" s="18">
        <v>710000000</v>
      </c>
      <c r="J1095" s="4" t="s">
        <v>1931</v>
      </c>
      <c r="K1095" s="4" t="s">
        <v>5297</v>
      </c>
      <c r="L1095" s="7" t="s">
        <v>5689</v>
      </c>
      <c r="M1095" s="8" t="s">
        <v>3195</v>
      </c>
      <c r="N1095" s="8" t="s">
        <v>1890</v>
      </c>
      <c r="O1095" s="16" t="s">
        <v>2146</v>
      </c>
      <c r="P1095" s="1">
        <v>5111</v>
      </c>
      <c r="Q1095" s="4" t="s">
        <v>5298</v>
      </c>
      <c r="R1095" s="10">
        <v>120</v>
      </c>
      <c r="S1095" s="10">
        <v>319.10000000000002</v>
      </c>
      <c r="T1095" s="10">
        <f t="shared" si="437"/>
        <v>38292</v>
      </c>
      <c r="U1095" s="10">
        <f t="shared" si="438"/>
        <v>42887.040000000001</v>
      </c>
      <c r="V1095" s="1" t="s">
        <v>3027</v>
      </c>
      <c r="W1095" s="11">
        <v>2015</v>
      </c>
      <c r="X1095" s="1"/>
    </row>
    <row r="1096" spans="1:24" ht="76.5" customHeight="1" outlineLevel="1" x14ac:dyDescent="0.2">
      <c r="A1096" s="1" t="s">
        <v>4979</v>
      </c>
      <c r="B1096" s="24" t="s">
        <v>5277</v>
      </c>
      <c r="C1096" s="7" t="s">
        <v>1826</v>
      </c>
      <c r="D1096" s="7" t="s">
        <v>5683</v>
      </c>
      <c r="E1096" s="18" t="s">
        <v>5631</v>
      </c>
      <c r="F1096" s="7" t="s">
        <v>1308</v>
      </c>
      <c r="G1096" s="1" t="s">
        <v>1888</v>
      </c>
      <c r="H1096" s="17">
        <v>0.5</v>
      </c>
      <c r="I1096" s="18">
        <v>710000000</v>
      </c>
      <c r="J1096" s="4" t="s">
        <v>1931</v>
      </c>
      <c r="K1096" s="4" t="s">
        <v>5297</v>
      </c>
      <c r="L1096" s="7" t="s">
        <v>5689</v>
      </c>
      <c r="M1096" s="8" t="s">
        <v>3195</v>
      </c>
      <c r="N1096" s="8" t="s">
        <v>1890</v>
      </c>
      <c r="O1096" s="16" t="s">
        <v>2146</v>
      </c>
      <c r="P1096" s="8">
        <v>796</v>
      </c>
      <c r="Q1096" s="8" t="s">
        <v>3196</v>
      </c>
      <c r="R1096" s="10">
        <v>264</v>
      </c>
      <c r="S1096" s="10">
        <v>380.5</v>
      </c>
      <c r="T1096" s="10">
        <f t="shared" si="437"/>
        <v>100452</v>
      </c>
      <c r="U1096" s="10">
        <f t="shared" si="438"/>
        <v>112506.24000000001</v>
      </c>
      <c r="V1096" s="1" t="s">
        <v>3027</v>
      </c>
      <c r="W1096" s="11">
        <v>2015</v>
      </c>
      <c r="X1096" s="1"/>
    </row>
    <row r="1097" spans="1:24" ht="76.5" customHeight="1" outlineLevel="1" x14ac:dyDescent="0.2">
      <c r="A1097" s="1" t="s">
        <v>4980</v>
      </c>
      <c r="B1097" s="24" t="s">
        <v>5277</v>
      </c>
      <c r="C1097" s="7" t="s">
        <v>1827</v>
      </c>
      <c r="D1097" s="7" t="s">
        <v>3133</v>
      </c>
      <c r="E1097" s="18" t="s">
        <v>5633</v>
      </c>
      <c r="F1097" s="25" t="s">
        <v>5681</v>
      </c>
      <c r="G1097" s="1" t="s">
        <v>1888</v>
      </c>
      <c r="H1097" s="17">
        <v>0.5</v>
      </c>
      <c r="I1097" s="18">
        <v>710000000</v>
      </c>
      <c r="J1097" s="4" t="s">
        <v>1931</v>
      </c>
      <c r="K1097" s="4" t="s">
        <v>5297</v>
      </c>
      <c r="L1097" s="7" t="s">
        <v>5689</v>
      </c>
      <c r="M1097" s="8" t="s">
        <v>3195</v>
      </c>
      <c r="N1097" s="8" t="s">
        <v>1890</v>
      </c>
      <c r="O1097" s="8" t="s">
        <v>1935</v>
      </c>
      <c r="P1097" s="8">
        <v>796</v>
      </c>
      <c r="Q1097" s="8" t="s">
        <v>3196</v>
      </c>
      <c r="R1097" s="10">
        <v>22</v>
      </c>
      <c r="S1097" s="10">
        <v>377.22</v>
      </c>
      <c r="T1097" s="10">
        <f t="shared" si="437"/>
        <v>8298.84</v>
      </c>
      <c r="U1097" s="10">
        <f t="shared" si="438"/>
        <v>9294.7008000000005</v>
      </c>
      <c r="V1097" s="1"/>
      <c r="W1097" s="11">
        <v>2015</v>
      </c>
      <c r="X1097" s="1"/>
    </row>
    <row r="1098" spans="1:24" ht="76.5" customHeight="1" outlineLevel="1" x14ac:dyDescent="0.2">
      <c r="A1098" s="1" t="s">
        <v>4981</v>
      </c>
      <c r="B1098" s="24" t="s">
        <v>5277</v>
      </c>
      <c r="C1098" s="25" t="s">
        <v>1831</v>
      </c>
      <c r="D1098" s="25" t="s">
        <v>1832</v>
      </c>
      <c r="E1098" s="25" t="s">
        <v>5636</v>
      </c>
      <c r="F1098" s="25" t="s">
        <v>1306</v>
      </c>
      <c r="G1098" s="1" t="s">
        <v>1888</v>
      </c>
      <c r="H1098" s="17">
        <v>0.5</v>
      </c>
      <c r="I1098" s="18">
        <v>710000000</v>
      </c>
      <c r="J1098" s="4" t="s">
        <v>1931</v>
      </c>
      <c r="K1098" s="4" t="s">
        <v>5297</v>
      </c>
      <c r="L1098" s="7" t="s">
        <v>5689</v>
      </c>
      <c r="M1098" s="8" t="s">
        <v>3195</v>
      </c>
      <c r="N1098" s="8" t="s">
        <v>1890</v>
      </c>
      <c r="O1098" s="8" t="s">
        <v>1935</v>
      </c>
      <c r="P1098" s="8">
        <v>796</v>
      </c>
      <c r="Q1098" s="8" t="s">
        <v>3196</v>
      </c>
      <c r="R1098" s="10">
        <v>22</v>
      </c>
      <c r="S1098" s="10">
        <v>316.05</v>
      </c>
      <c r="T1098" s="10">
        <f t="shared" si="437"/>
        <v>6953.1</v>
      </c>
      <c r="U1098" s="10">
        <f t="shared" si="438"/>
        <v>7787.4720000000016</v>
      </c>
      <c r="V1098" s="1"/>
      <c r="W1098" s="11">
        <v>2015</v>
      </c>
      <c r="X1098" s="1"/>
    </row>
    <row r="1099" spans="1:24" ht="76.5" customHeight="1" outlineLevel="1" x14ac:dyDescent="0.2">
      <c r="A1099" s="1" t="s">
        <v>4982</v>
      </c>
      <c r="B1099" s="24" t="s">
        <v>5277</v>
      </c>
      <c r="C1099" s="7" t="s">
        <v>1828</v>
      </c>
      <c r="D1099" s="7" t="s">
        <v>3133</v>
      </c>
      <c r="E1099" s="18" t="s">
        <v>5634</v>
      </c>
      <c r="F1099" s="25" t="s">
        <v>1307</v>
      </c>
      <c r="G1099" s="1" t="s">
        <v>1888</v>
      </c>
      <c r="H1099" s="17">
        <v>0.5</v>
      </c>
      <c r="I1099" s="18">
        <v>710000000</v>
      </c>
      <c r="J1099" s="4" t="s">
        <v>1931</v>
      </c>
      <c r="K1099" s="4" t="s">
        <v>5297</v>
      </c>
      <c r="L1099" s="7" t="s">
        <v>5689</v>
      </c>
      <c r="M1099" s="8" t="s">
        <v>3195</v>
      </c>
      <c r="N1099" s="8" t="s">
        <v>1890</v>
      </c>
      <c r="O1099" s="8" t="s">
        <v>1935</v>
      </c>
      <c r="P1099" s="8">
        <v>796</v>
      </c>
      <c r="Q1099" s="8" t="s">
        <v>3196</v>
      </c>
      <c r="R1099" s="10">
        <v>22</v>
      </c>
      <c r="S1099" s="10">
        <v>862.5</v>
      </c>
      <c r="T1099" s="10">
        <f t="shared" si="437"/>
        <v>18975</v>
      </c>
      <c r="U1099" s="10">
        <f t="shared" si="438"/>
        <v>21252.000000000004</v>
      </c>
      <c r="V1099" s="1"/>
      <c r="W1099" s="11">
        <v>2015</v>
      </c>
      <c r="X1099" s="1"/>
    </row>
    <row r="1100" spans="1:24" ht="76.5" customHeight="1" outlineLevel="1" x14ac:dyDescent="0.2">
      <c r="A1100" s="1" t="s">
        <v>4983</v>
      </c>
      <c r="B1100" s="24" t="s">
        <v>5277</v>
      </c>
      <c r="C1100" s="7" t="s">
        <v>3453</v>
      </c>
      <c r="D1100" s="7" t="s">
        <v>5609</v>
      </c>
      <c r="E1100" s="18" t="s">
        <v>5669</v>
      </c>
      <c r="F1100" s="25" t="s">
        <v>1349</v>
      </c>
      <c r="G1100" s="1" t="s">
        <v>1888</v>
      </c>
      <c r="H1100" s="17">
        <v>0.5</v>
      </c>
      <c r="I1100" s="18">
        <v>710000000</v>
      </c>
      <c r="J1100" s="4" t="s">
        <v>1931</v>
      </c>
      <c r="K1100" s="4" t="s">
        <v>5297</v>
      </c>
      <c r="L1100" s="7" t="s">
        <v>5689</v>
      </c>
      <c r="M1100" s="8" t="s">
        <v>3195</v>
      </c>
      <c r="N1100" s="8" t="s">
        <v>1890</v>
      </c>
      <c r="O1100" s="16" t="s">
        <v>2146</v>
      </c>
      <c r="P1100" s="1">
        <v>778</v>
      </c>
      <c r="Q1100" s="4" t="s">
        <v>3327</v>
      </c>
      <c r="R1100" s="10">
        <v>240</v>
      </c>
      <c r="S1100" s="10">
        <v>513.78</v>
      </c>
      <c r="T1100" s="10">
        <f t="shared" ref="T1100:T1190" si="439">S1100*R1100</f>
        <v>123307.2</v>
      </c>
      <c r="U1100" s="10">
        <f t="shared" si="438"/>
        <v>138104.06400000001</v>
      </c>
      <c r="V1100" s="1" t="s">
        <v>3027</v>
      </c>
      <c r="W1100" s="11">
        <v>2015</v>
      </c>
      <c r="X1100" s="1"/>
    </row>
    <row r="1101" spans="1:24" ht="89.25" customHeight="1" outlineLevel="1" x14ac:dyDescent="0.2">
      <c r="A1101" s="1" t="s">
        <v>4984</v>
      </c>
      <c r="B1101" s="24" t="s">
        <v>5277</v>
      </c>
      <c r="C1101" s="7" t="s">
        <v>3132</v>
      </c>
      <c r="D1101" s="7" t="s">
        <v>3133</v>
      </c>
      <c r="E1101" s="18" t="s">
        <v>5632</v>
      </c>
      <c r="F1101" s="25" t="s">
        <v>1350</v>
      </c>
      <c r="G1101" s="1" t="s">
        <v>1888</v>
      </c>
      <c r="H1101" s="17">
        <v>0.5</v>
      </c>
      <c r="I1101" s="18">
        <v>710000000</v>
      </c>
      <c r="J1101" s="4" t="s">
        <v>1931</v>
      </c>
      <c r="K1101" s="4" t="s">
        <v>5297</v>
      </c>
      <c r="L1101" s="7" t="s">
        <v>5689</v>
      </c>
      <c r="M1101" s="8" t="s">
        <v>3195</v>
      </c>
      <c r="N1101" s="8" t="s">
        <v>1890</v>
      </c>
      <c r="O1101" s="8" t="s">
        <v>1935</v>
      </c>
      <c r="P1101" s="8">
        <v>796</v>
      </c>
      <c r="Q1101" s="8" t="s">
        <v>3196</v>
      </c>
      <c r="R1101" s="10">
        <v>22</v>
      </c>
      <c r="S1101" s="10">
        <v>1725</v>
      </c>
      <c r="T1101" s="10">
        <f t="shared" si="439"/>
        <v>37950</v>
      </c>
      <c r="U1101" s="10">
        <f t="shared" si="438"/>
        <v>42504.000000000007</v>
      </c>
      <c r="V1101" s="1"/>
      <c r="W1101" s="11">
        <v>2015</v>
      </c>
      <c r="X1101" s="1"/>
    </row>
    <row r="1102" spans="1:24" ht="76.5" customHeight="1" outlineLevel="1" x14ac:dyDescent="0.2">
      <c r="A1102" s="1" t="s">
        <v>4985</v>
      </c>
      <c r="B1102" s="24" t="s">
        <v>5277</v>
      </c>
      <c r="C1102" s="25" t="s">
        <v>3413</v>
      </c>
      <c r="D1102" s="25" t="s">
        <v>5541</v>
      </c>
      <c r="E1102" s="25" t="s">
        <v>5700</v>
      </c>
      <c r="F1102" s="25" t="s">
        <v>2274</v>
      </c>
      <c r="G1102" s="1" t="s">
        <v>1888</v>
      </c>
      <c r="H1102" s="17">
        <v>0.5</v>
      </c>
      <c r="I1102" s="18">
        <v>710000000</v>
      </c>
      <c r="J1102" s="4" t="s">
        <v>1931</v>
      </c>
      <c r="K1102" s="4" t="s">
        <v>5297</v>
      </c>
      <c r="L1102" s="7" t="s">
        <v>5689</v>
      </c>
      <c r="M1102" s="8" t="s">
        <v>3195</v>
      </c>
      <c r="N1102" s="8" t="s">
        <v>1890</v>
      </c>
      <c r="O1102" s="8" t="s">
        <v>1935</v>
      </c>
      <c r="P1102" s="8">
        <v>796</v>
      </c>
      <c r="Q1102" s="8" t="s">
        <v>3196</v>
      </c>
      <c r="R1102" s="10">
        <v>22</v>
      </c>
      <c r="S1102" s="10">
        <v>473.95</v>
      </c>
      <c r="T1102" s="10">
        <f t="shared" si="439"/>
        <v>10426.9</v>
      </c>
      <c r="U1102" s="10">
        <f t="shared" si="438"/>
        <v>11678.128000000001</v>
      </c>
      <c r="V1102" s="1"/>
      <c r="W1102" s="11">
        <v>2015</v>
      </c>
      <c r="X1102" s="1"/>
    </row>
    <row r="1103" spans="1:24" ht="76.5" customHeight="1" outlineLevel="1" x14ac:dyDescent="0.2">
      <c r="A1103" s="1" t="s">
        <v>4986</v>
      </c>
      <c r="B1103" s="24" t="s">
        <v>5277</v>
      </c>
      <c r="C1103" s="25" t="s">
        <v>3413</v>
      </c>
      <c r="D1103" s="25" t="s">
        <v>5541</v>
      </c>
      <c r="E1103" s="25" t="s">
        <v>5700</v>
      </c>
      <c r="F1103" s="25" t="s">
        <v>2275</v>
      </c>
      <c r="G1103" s="1" t="s">
        <v>1888</v>
      </c>
      <c r="H1103" s="17">
        <v>0.5</v>
      </c>
      <c r="I1103" s="18">
        <v>710000000</v>
      </c>
      <c r="J1103" s="4" t="s">
        <v>1931</v>
      </c>
      <c r="K1103" s="4" t="s">
        <v>5297</v>
      </c>
      <c r="L1103" s="7" t="s">
        <v>5689</v>
      </c>
      <c r="M1103" s="8" t="s">
        <v>3195</v>
      </c>
      <c r="N1103" s="8" t="s">
        <v>1890</v>
      </c>
      <c r="O1103" s="8" t="s">
        <v>1935</v>
      </c>
      <c r="P1103" s="8">
        <v>796</v>
      </c>
      <c r="Q1103" s="8" t="s">
        <v>3196</v>
      </c>
      <c r="R1103" s="10">
        <v>22</v>
      </c>
      <c r="S1103" s="10">
        <v>331.4</v>
      </c>
      <c r="T1103" s="10">
        <f t="shared" si="439"/>
        <v>7290.7999999999993</v>
      </c>
      <c r="U1103" s="10">
        <f t="shared" si="438"/>
        <v>8165.6959999999999</v>
      </c>
      <c r="V1103" s="1"/>
      <c r="W1103" s="11">
        <v>2015</v>
      </c>
      <c r="X1103" s="1"/>
    </row>
    <row r="1104" spans="1:24" ht="76.5" customHeight="1" outlineLevel="1" x14ac:dyDescent="0.2">
      <c r="A1104" s="1" t="s">
        <v>4987</v>
      </c>
      <c r="B1104" s="24" t="s">
        <v>5277</v>
      </c>
      <c r="C1104" s="7" t="s">
        <v>3893</v>
      </c>
      <c r="D1104" s="7" t="s">
        <v>5697</v>
      </c>
      <c r="E1104" s="18" t="s">
        <v>1351</v>
      </c>
      <c r="F1104" s="25" t="s">
        <v>1352</v>
      </c>
      <c r="G1104" s="1" t="s">
        <v>1888</v>
      </c>
      <c r="H1104" s="17">
        <v>0.5</v>
      </c>
      <c r="I1104" s="18">
        <v>710000000</v>
      </c>
      <c r="J1104" s="4" t="s">
        <v>1931</v>
      </c>
      <c r="K1104" s="4" t="s">
        <v>5297</v>
      </c>
      <c r="L1104" s="7" t="s">
        <v>5689</v>
      </c>
      <c r="M1104" s="8" t="s">
        <v>3195</v>
      </c>
      <c r="N1104" s="8" t="s">
        <v>1890</v>
      </c>
      <c r="O1104" s="8" t="s">
        <v>1935</v>
      </c>
      <c r="P1104" s="8">
        <v>796</v>
      </c>
      <c r="Q1104" s="8" t="s">
        <v>3196</v>
      </c>
      <c r="R1104" s="10">
        <v>22</v>
      </c>
      <c r="S1104" s="10">
        <v>274</v>
      </c>
      <c r="T1104" s="10">
        <f t="shared" si="439"/>
        <v>6028</v>
      </c>
      <c r="U1104" s="10">
        <f t="shared" si="438"/>
        <v>6751.3600000000006</v>
      </c>
      <c r="V1104" s="1"/>
      <c r="W1104" s="11">
        <v>2015</v>
      </c>
      <c r="X1104" s="1"/>
    </row>
    <row r="1105" spans="1:24" ht="76.5" customHeight="1" outlineLevel="1" x14ac:dyDescent="0.2">
      <c r="A1105" s="1" t="s">
        <v>4988</v>
      </c>
      <c r="B1105" s="24" t="s">
        <v>5277</v>
      </c>
      <c r="C1105" s="7" t="s">
        <v>3116</v>
      </c>
      <c r="D1105" s="7" t="s">
        <v>5604</v>
      </c>
      <c r="E1105" s="18" t="s">
        <v>5605</v>
      </c>
      <c r="F1105" s="25" t="s">
        <v>1353</v>
      </c>
      <c r="G1105" s="1" t="s">
        <v>1888</v>
      </c>
      <c r="H1105" s="17">
        <v>0.5</v>
      </c>
      <c r="I1105" s="18">
        <v>710000000</v>
      </c>
      <c r="J1105" s="4" t="s">
        <v>1931</v>
      </c>
      <c r="K1105" s="4" t="s">
        <v>5297</v>
      </c>
      <c r="L1105" s="7" t="s">
        <v>5689</v>
      </c>
      <c r="M1105" s="8" t="s">
        <v>3195</v>
      </c>
      <c r="N1105" s="8" t="s">
        <v>1890</v>
      </c>
      <c r="O1105" s="16" t="s">
        <v>2146</v>
      </c>
      <c r="P1105" s="1">
        <v>868</v>
      </c>
      <c r="Q1105" s="4" t="s">
        <v>5521</v>
      </c>
      <c r="R1105" s="10">
        <v>120</v>
      </c>
      <c r="S1105" s="10">
        <v>304.25</v>
      </c>
      <c r="T1105" s="10">
        <f t="shared" si="439"/>
        <v>36510</v>
      </c>
      <c r="U1105" s="10">
        <f t="shared" ref="U1105:U1224" si="440">T1105*1.12</f>
        <v>40891.200000000004</v>
      </c>
      <c r="V1105" s="1" t="s">
        <v>3027</v>
      </c>
      <c r="W1105" s="11">
        <v>2015</v>
      </c>
      <c r="X1105" s="1"/>
    </row>
    <row r="1106" spans="1:24" ht="76.5" customHeight="1" outlineLevel="1" x14ac:dyDescent="0.2">
      <c r="A1106" s="1" t="s">
        <v>4989</v>
      </c>
      <c r="B1106" s="24" t="s">
        <v>5277</v>
      </c>
      <c r="C1106" s="7" t="s">
        <v>3102</v>
      </c>
      <c r="D1106" s="7" t="s">
        <v>5578</v>
      </c>
      <c r="E1106" s="18" t="s">
        <v>5579</v>
      </c>
      <c r="F1106" s="25" t="s">
        <v>1354</v>
      </c>
      <c r="G1106" s="1" t="s">
        <v>1888</v>
      </c>
      <c r="H1106" s="17">
        <v>0.5</v>
      </c>
      <c r="I1106" s="18">
        <v>710000000</v>
      </c>
      <c r="J1106" s="4" t="s">
        <v>1931</v>
      </c>
      <c r="K1106" s="4" t="s">
        <v>5297</v>
      </c>
      <c r="L1106" s="4" t="s">
        <v>1027</v>
      </c>
      <c r="M1106" s="8" t="s">
        <v>3195</v>
      </c>
      <c r="N1106" s="8" t="s">
        <v>1890</v>
      </c>
      <c r="O1106" s="16" t="s">
        <v>2146</v>
      </c>
      <c r="P1106" s="1">
        <v>868</v>
      </c>
      <c r="Q1106" s="4" t="s">
        <v>5521</v>
      </c>
      <c r="R1106" s="10">
        <v>182</v>
      </c>
      <c r="S1106" s="10">
        <v>314</v>
      </c>
      <c r="T1106" s="10">
        <f t="shared" si="439"/>
        <v>57148</v>
      </c>
      <c r="U1106" s="10">
        <f t="shared" si="440"/>
        <v>64005.760000000009</v>
      </c>
      <c r="V1106" s="1" t="s">
        <v>3027</v>
      </c>
      <c r="W1106" s="11">
        <v>2015</v>
      </c>
      <c r="X1106" s="1"/>
    </row>
    <row r="1107" spans="1:24" ht="76.5" customHeight="1" outlineLevel="1" x14ac:dyDescent="0.2">
      <c r="A1107" s="1" t="s">
        <v>4990</v>
      </c>
      <c r="B1107" s="24" t="s">
        <v>5277</v>
      </c>
      <c r="C1107" s="7" t="s">
        <v>3112</v>
      </c>
      <c r="D1107" s="7" t="s">
        <v>5585</v>
      </c>
      <c r="E1107" s="18" t="s">
        <v>5586</v>
      </c>
      <c r="F1107" s="25" t="s">
        <v>5690</v>
      </c>
      <c r="G1107" s="1" t="s">
        <v>1888</v>
      </c>
      <c r="H1107" s="17">
        <v>0.5</v>
      </c>
      <c r="I1107" s="18">
        <v>710000000</v>
      </c>
      <c r="J1107" s="4" t="s">
        <v>1931</v>
      </c>
      <c r="K1107" s="4" t="s">
        <v>5297</v>
      </c>
      <c r="L1107" s="4" t="s">
        <v>1027</v>
      </c>
      <c r="M1107" s="8" t="s">
        <v>3195</v>
      </c>
      <c r="N1107" s="8" t="s">
        <v>1890</v>
      </c>
      <c r="O1107" s="16" t="s">
        <v>2146</v>
      </c>
      <c r="P1107" s="1">
        <v>868</v>
      </c>
      <c r="Q1107" s="4" t="s">
        <v>5521</v>
      </c>
      <c r="R1107" s="10">
        <v>144</v>
      </c>
      <c r="S1107" s="10">
        <v>560</v>
      </c>
      <c r="T1107" s="10">
        <f t="shared" si="439"/>
        <v>80640</v>
      </c>
      <c r="U1107" s="10">
        <f t="shared" si="440"/>
        <v>90316.800000000003</v>
      </c>
      <c r="V1107" s="1" t="s">
        <v>3027</v>
      </c>
      <c r="W1107" s="11">
        <v>2015</v>
      </c>
      <c r="X1107" s="1"/>
    </row>
    <row r="1108" spans="1:24" ht="76.5" customHeight="1" outlineLevel="1" x14ac:dyDescent="0.2">
      <c r="A1108" s="1" t="s">
        <v>4991</v>
      </c>
      <c r="B1108" s="24" t="s">
        <v>5277</v>
      </c>
      <c r="C1108" s="7" t="s">
        <v>3104</v>
      </c>
      <c r="D1108" s="7" t="s">
        <v>5580</v>
      </c>
      <c r="E1108" s="18" t="s">
        <v>5581</v>
      </c>
      <c r="F1108" s="25" t="s">
        <v>1319</v>
      </c>
      <c r="G1108" s="1" t="s">
        <v>1888</v>
      </c>
      <c r="H1108" s="17">
        <v>0.5</v>
      </c>
      <c r="I1108" s="18">
        <v>710000000</v>
      </c>
      <c r="J1108" s="4" t="s">
        <v>1931</v>
      </c>
      <c r="K1108" s="4" t="s">
        <v>5297</v>
      </c>
      <c r="L1108" s="4" t="s">
        <v>1027</v>
      </c>
      <c r="M1108" s="8" t="s">
        <v>3195</v>
      </c>
      <c r="N1108" s="8" t="s">
        <v>1890</v>
      </c>
      <c r="O1108" s="16" t="s">
        <v>2146</v>
      </c>
      <c r="P1108" s="8">
        <v>796</v>
      </c>
      <c r="Q1108" s="8" t="s">
        <v>3196</v>
      </c>
      <c r="R1108" s="10">
        <v>201</v>
      </c>
      <c r="S1108" s="10">
        <v>386</v>
      </c>
      <c r="T1108" s="10">
        <f t="shared" si="439"/>
        <v>77586</v>
      </c>
      <c r="U1108" s="10">
        <f t="shared" si="440"/>
        <v>86896.320000000007</v>
      </c>
      <c r="V1108" s="1" t="s">
        <v>3027</v>
      </c>
      <c r="W1108" s="11">
        <v>2015</v>
      </c>
      <c r="X1108" s="1"/>
    </row>
    <row r="1109" spans="1:24" ht="76.5" customHeight="1" outlineLevel="1" x14ac:dyDescent="0.2">
      <c r="A1109" s="1" t="s">
        <v>4992</v>
      </c>
      <c r="B1109" s="24" t="s">
        <v>5277</v>
      </c>
      <c r="C1109" s="25" t="s">
        <v>1355</v>
      </c>
      <c r="D1109" s="25" t="s">
        <v>5608</v>
      </c>
      <c r="E1109" s="25" t="s">
        <v>5698</v>
      </c>
      <c r="F1109" s="25"/>
      <c r="G1109" s="1" t="s">
        <v>1888</v>
      </c>
      <c r="H1109" s="17">
        <v>0.5</v>
      </c>
      <c r="I1109" s="18">
        <v>710000000</v>
      </c>
      <c r="J1109" s="4" t="s">
        <v>1931</v>
      </c>
      <c r="K1109" s="4" t="s">
        <v>5297</v>
      </c>
      <c r="L1109" s="4" t="s">
        <v>1027</v>
      </c>
      <c r="M1109" s="8" t="s">
        <v>3195</v>
      </c>
      <c r="N1109" s="8" t="s">
        <v>1890</v>
      </c>
      <c r="O1109" s="16" t="s">
        <v>2146</v>
      </c>
      <c r="P1109" s="1">
        <v>5111</v>
      </c>
      <c r="Q1109" s="4" t="s">
        <v>5298</v>
      </c>
      <c r="R1109" s="10">
        <v>60</v>
      </c>
      <c r="S1109" s="10">
        <v>250</v>
      </c>
      <c r="T1109" s="10">
        <f t="shared" si="439"/>
        <v>15000</v>
      </c>
      <c r="U1109" s="10">
        <f t="shared" si="440"/>
        <v>16800</v>
      </c>
      <c r="V1109" s="1" t="s">
        <v>3027</v>
      </c>
      <c r="W1109" s="11">
        <v>2015</v>
      </c>
      <c r="X1109" s="1"/>
    </row>
    <row r="1110" spans="1:24" ht="89.25" customHeight="1" outlineLevel="1" x14ac:dyDescent="0.2">
      <c r="A1110" s="1" t="s">
        <v>4993</v>
      </c>
      <c r="B1110" s="24" t="s">
        <v>5277</v>
      </c>
      <c r="C1110" s="7" t="s">
        <v>3104</v>
      </c>
      <c r="D1110" s="7" t="s">
        <v>5580</v>
      </c>
      <c r="E1110" s="18" t="s">
        <v>5581</v>
      </c>
      <c r="F1110" s="16" t="s">
        <v>1321</v>
      </c>
      <c r="G1110" s="1" t="s">
        <v>1888</v>
      </c>
      <c r="H1110" s="17">
        <v>0.5</v>
      </c>
      <c r="I1110" s="18">
        <v>710000000</v>
      </c>
      <c r="J1110" s="4" t="s">
        <v>1931</v>
      </c>
      <c r="K1110" s="4" t="s">
        <v>5297</v>
      </c>
      <c r="L1110" s="4" t="s">
        <v>1027</v>
      </c>
      <c r="M1110" s="8" t="s">
        <v>3195</v>
      </c>
      <c r="N1110" s="8" t="s">
        <v>1890</v>
      </c>
      <c r="O1110" s="16" t="s">
        <v>2146</v>
      </c>
      <c r="P1110" s="8">
        <v>796</v>
      </c>
      <c r="Q1110" s="8" t="s">
        <v>3196</v>
      </c>
      <c r="R1110" s="10">
        <v>60</v>
      </c>
      <c r="S1110" s="10">
        <v>330</v>
      </c>
      <c r="T1110" s="10">
        <f t="shared" si="439"/>
        <v>19800</v>
      </c>
      <c r="U1110" s="10">
        <f t="shared" si="440"/>
        <v>22176.000000000004</v>
      </c>
      <c r="V1110" s="1" t="s">
        <v>3027</v>
      </c>
      <c r="W1110" s="11">
        <v>2015</v>
      </c>
      <c r="X1110" s="1"/>
    </row>
    <row r="1111" spans="1:24" ht="76.5" customHeight="1" outlineLevel="1" x14ac:dyDescent="0.2">
      <c r="A1111" s="1" t="s">
        <v>4994</v>
      </c>
      <c r="B1111" s="24" t="s">
        <v>5277</v>
      </c>
      <c r="C1111" s="7" t="s">
        <v>3106</v>
      </c>
      <c r="D1111" s="7" t="s">
        <v>5589</v>
      </c>
      <c r="E1111" s="18" t="s">
        <v>5590</v>
      </c>
      <c r="F1111" s="25" t="s">
        <v>5591</v>
      </c>
      <c r="G1111" s="1" t="s">
        <v>1888</v>
      </c>
      <c r="H1111" s="17">
        <v>0.5</v>
      </c>
      <c r="I1111" s="18">
        <v>710000000</v>
      </c>
      <c r="J1111" s="4" t="s">
        <v>1931</v>
      </c>
      <c r="K1111" s="4" t="s">
        <v>5297</v>
      </c>
      <c r="L1111" s="4" t="s">
        <v>1027</v>
      </c>
      <c r="M1111" s="8" t="s">
        <v>3195</v>
      </c>
      <c r="N1111" s="8" t="s">
        <v>1890</v>
      </c>
      <c r="O1111" s="8" t="s">
        <v>1935</v>
      </c>
      <c r="P1111" s="1">
        <v>881</v>
      </c>
      <c r="Q1111" s="4" t="s">
        <v>3107</v>
      </c>
      <c r="R1111" s="10">
        <v>10</v>
      </c>
      <c r="S1111" s="10">
        <v>2700</v>
      </c>
      <c r="T1111" s="10">
        <f t="shared" si="439"/>
        <v>27000</v>
      </c>
      <c r="U1111" s="10">
        <f t="shared" si="440"/>
        <v>30240.000000000004</v>
      </c>
      <c r="V1111" s="8"/>
      <c r="W1111" s="11">
        <v>2015</v>
      </c>
      <c r="X1111" s="1"/>
    </row>
    <row r="1112" spans="1:24" ht="76.5" customHeight="1" outlineLevel="1" x14ac:dyDescent="0.2">
      <c r="A1112" s="1" t="s">
        <v>4995</v>
      </c>
      <c r="B1112" s="24" t="s">
        <v>5277</v>
      </c>
      <c r="C1112" s="25" t="s">
        <v>1330</v>
      </c>
      <c r="D1112" s="25" t="s">
        <v>1331</v>
      </c>
      <c r="E1112" s="25" t="s">
        <v>1332</v>
      </c>
      <c r="F1112" s="16" t="s">
        <v>1333</v>
      </c>
      <c r="G1112" s="1" t="s">
        <v>1888</v>
      </c>
      <c r="H1112" s="17">
        <v>0.5</v>
      </c>
      <c r="I1112" s="18">
        <v>710000000</v>
      </c>
      <c r="J1112" s="4" t="s">
        <v>1931</v>
      </c>
      <c r="K1112" s="4" t="s">
        <v>5297</v>
      </c>
      <c r="L1112" s="4" t="s">
        <v>1027</v>
      </c>
      <c r="M1112" s="8" t="s">
        <v>3195</v>
      </c>
      <c r="N1112" s="8" t="s">
        <v>1890</v>
      </c>
      <c r="O1112" s="8" t="s">
        <v>1935</v>
      </c>
      <c r="P1112" s="8">
        <v>796</v>
      </c>
      <c r="Q1112" s="8" t="s">
        <v>3196</v>
      </c>
      <c r="R1112" s="10">
        <v>19</v>
      </c>
      <c r="S1112" s="10">
        <v>314.5</v>
      </c>
      <c r="T1112" s="10">
        <f t="shared" si="439"/>
        <v>5975.5</v>
      </c>
      <c r="U1112" s="10">
        <f t="shared" si="440"/>
        <v>6692.56</v>
      </c>
      <c r="V1112" s="1"/>
      <c r="W1112" s="11">
        <v>2015</v>
      </c>
      <c r="X1112" s="1"/>
    </row>
    <row r="1113" spans="1:24" ht="76.5" customHeight="1" outlineLevel="1" x14ac:dyDescent="0.2">
      <c r="A1113" s="1" t="s">
        <v>4996</v>
      </c>
      <c r="B1113" s="24" t="s">
        <v>5277</v>
      </c>
      <c r="C1113" s="7" t="s">
        <v>3118</v>
      </c>
      <c r="D1113" s="7" t="s">
        <v>3119</v>
      </c>
      <c r="E1113" s="18" t="s">
        <v>5603</v>
      </c>
      <c r="F1113" s="7" t="s">
        <v>1303</v>
      </c>
      <c r="G1113" s="1" t="s">
        <v>1888</v>
      </c>
      <c r="H1113" s="17">
        <v>0.5</v>
      </c>
      <c r="I1113" s="18">
        <v>710000000</v>
      </c>
      <c r="J1113" s="4" t="s">
        <v>1931</v>
      </c>
      <c r="K1113" s="4" t="s">
        <v>5297</v>
      </c>
      <c r="L1113" s="4" t="s">
        <v>1027</v>
      </c>
      <c r="M1113" s="8" t="s">
        <v>3195</v>
      </c>
      <c r="N1113" s="8" t="s">
        <v>1890</v>
      </c>
      <c r="O1113" s="8" t="s">
        <v>1935</v>
      </c>
      <c r="P1113" s="1">
        <v>868</v>
      </c>
      <c r="Q1113" s="4" t="s">
        <v>5521</v>
      </c>
      <c r="R1113" s="10">
        <v>121</v>
      </c>
      <c r="S1113" s="10">
        <v>714</v>
      </c>
      <c r="T1113" s="10">
        <f t="shared" si="439"/>
        <v>86394</v>
      </c>
      <c r="U1113" s="10">
        <f t="shared" si="440"/>
        <v>96761.280000000013</v>
      </c>
      <c r="V1113" s="1"/>
      <c r="W1113" s="11">
        <v>2015</v>
      </c>
      <c r="X1113" s="1"/>
    </row>
    <row r="1114" spans="1:24" ht="89.25" customHeight="1" outlineLevel="1" x14ac:dyDescent="0.2">
      <c r="A1114" s="1" t="s">
        <v>4997</v>
      </c>
      <c r="B1114" s="24" t="s">
        <v>5277</v>
      </c>
      <c r="C1114" s="25" t="s">
        <v>5144</v>
      </c>
      <c r="D1114" s="25" t="s">
        <v>5693</v>
      </c>
      <c r="E1114" s="25" t="s">
        <v>5694</v>
      </c>
      <c r="F1114" s="25" t="s">
        <v>1325</v>
      </c>
      <c r="G1114" s="1" t="s">
        <v>1888</v>
      </c>
      <c r="H1114" s="17">
        <v>0.5</v>
      </c>
      <c r="I1114" s="18">
        <v>710000000</v>
      </c>
      <c r="J1114" s="4" t="s">
        <v>1931</v>
      </c>
      <c r="K1114" s="4" t="s">
        <v>5297</v>
      </c>
      <c r="L1114" s="4" t="s">
        <v>1027</v>
      </c>
      <c r="M1114" s="8" t="s">
        <v>3195</v>
      </c>
      <c r="N1114" s="8" t="s">
        <v>1890</v>
      </c>
      <c r="O1114" s="8" t="s">
        <v>1935</v>
      </c>
      <c r="P1114" s="8">
        <v>796</v>
      </c>
      <c r="Q1114" s="8" t="s">
        <v>3196</v>
      </c>
      <c r="R1114" s="10">
        <v>10</v>
      </c>
      <c r="S1114" s="10">
        <v>933.8</v>
      </c>
      <c r="T1114" s="10">
        <f t="shared" si="439"/>
        <v>9338</v>
      </c>
      <c r="U1114" s="10">
        <f t="shared" si="440"/>
        <v>10458.560000000001</v>
      </c>
      <c r="V1114" s="1"/>
      <c r="W1114" s="11">
        <v>2015</v>
      </c>
      <c r="X1114" s="1"/>
    </row>
    <row r="1115" spans="1:24" ht="89.25" customHeight="1" outlineLevel="1" x14ac:dyDescent="0.2">
      <c r="A1115" s="1" t="s">
        <v>4998</v>
      </c>
      <c r="B1115" s="24" t="s">
        <v>5277</v>
      </c>
      <c r="C1115" s="7" t="s">
        <v>3584</v>
      </c>
      <c r="D1115" s="7" t="s">
        <v>5592</v>
      </c>
      <c r="E1115" s="18" t="s">
        <v>5593</v>
      </c>
      <c r="F1115" s="7" t="s">
        <v>1324</v>
      </c>
      <c r="G1115" s="1" t="s">
        <v>1888</v>
      </c>
      <c r="H1115" s="17">
        <v>0.5</v>
      </c>
      <c r="I1115" s="18">
        <v>710000000</v>
      </c>
      <c r="J1115" s="4" t="s">
        <v>1931</v>
      </c>
      <c r="K1115" s="4" t="s">
        <v>5297</v>
      </c>
      <c r="L1115" s="4" t="s">
        <v>1027</v>
      </c>
      <c r="M1115" s="8" t="s">
        <v>3195</v>
      </c>
      <c r="N1115" s="8" t="s">
        <v>1890</v>
      </c>
      <c r="O1115" s="16" t="s">
        <v>2146</v>
      </c>
      <c r="P1115" s="8">
        <v>796</v>
      </c>
      <c r="Q1115" s="8" t="s">
        <v>3196</v>
      </c>
      <c r="R1115" s="10">
        <v>300</v>
      </c>
      <c r="S1115" s="10">
        <v>165</v>
      </c>
      <c r="T1115" s="10">
        <f t="shared" si="439"/>
        <v>49500</v>
      </c>
      <c r="U1115" s="10">
        <f t="shared" si="440"/>
        <v>55440.000000000007</v>
      </c>
      <c r="V1115" s="1" t="s">
        <v>3027</v>
      </c>
      <c r="W1115" s="11">
        <v>2015</v>
      </c>
      <c r="X1115" s="1"/>
    </row>
    <row r="1116" spans="1:24" ht="76.5" customHeight="1" outlineLevel="1" x14ac:dyDescent="0.2">
      <c r="A1116" s="1" t="s">
        <v>4999</v>
      </c>
      <c r="B1116" s="24" t="s">
        <v>5277</v>
      </c>
      <c r="C1116" s="7" t="s">
        <v>3109</v>
      </c>
      <c r="D1116" s="7" t="s">
        <v>5598</v>
      </c>
      <c r="E1116" s="18" t="s">
        <v>2364</v>
      </c>
      <c r="F1116" s="25" t="s">
        <v>2365</v>
      </c>
      <c r="G1116" s="1" t="s">
        <v>1888</v>
      </c>
      <c r="H1116" s="17">
        <v>0.5</v>
      </c>
      <c r="I1116" s="18">
        <v>710000000</v>
      </c>
      <c r="J1116" s="4" t="s">
        <v>1931</v>
      </c>
      <c r="K1116" s="4" t="s">
        <v>5297</v>
      </c>
      <c r="L1116" s="4" t="s">
        <v>1027</v>
      </c>
      <c r="M1116" s="8" t="s">
        <v>3195</v>
      </c>
      <c r="N1116" s="8" t="s">
        <v>1890</v>
      </c>
      <c r="O1116" s="16" t="s">
        <v>2146</v>
      </c>
      <c r="P1116" s="8">
        <v>796</v>
      </c>
      <c r="Q1116" s="8" t="s">
        <v>3196</v>
      </c>
      <c r="R1116" s="10">
        <v>516</v>
      </c>
      <c r="S1116" s="10">
        <v>56</v>
      </c>
      <c r="T1116" s="10">
        <f t="shared" si="439"/>
        <v>28896</v>
      </c>
      <c r="U1116" s="10">
        <f t="shared" si="440"/>
        <v>32363.520000000004</v>
      </c>
      <c r="V1116" s="1" t="s">
        <v>3027</v>
      </c>
      <c r="W1116" s="11">
        <v>2015</v>
      </c>
      <c r="X1116" s="1"/>
    </row>
    <row r="1117" spans="1:24" ht="76.5" customHeight="1" outlineLevel="1" x14ac:dyDescent="0.2">
      <c r="A1117" s="1" t="s">
        <v>5000</v>
      </c>
      <c r="B1117" s="24" t="s">
        <v>5277</v>
      </c>
      <c r="C1117" s="7" t="s">
        <v>3111</v>
      </c>
      <c r="D1117" s="7" t="s">
        <v>5600</v>
      </c>
      <c r="E1117" s="18" t="s">
        <v>5601</v>
      </c>
      <c r="F1117" s="25" t="s">
        <v>5699</v>
      </c>
      <c r="G1117" s="1" t="s">
        <v>1888</v>
      </c>
      <c r="H1117" s="17">
        <v>0.5</v>
      </c>
      <c r="I1117" s="18">
        <v>710000000</v>
      </c>
      <c r="J1117" s="4" t="s">
        <v>1931</v>
      </c>
      <c r="K1117" s="4" t="s">
        <v>5297</v>
      </c>
      <c r="L1117" s="4" t="s">
        <v>1027</v>
      </c>
      <c r="M1117" s="8" t="s">
        <v>3195</v>
      </c>
      <c r="N1117" s="8" t="s">
        <v>1890</v>
      </c>
      <c r="O1117" s="8" t="s">
        <v>1935</v>
      </c>
      <c r="P1117" s="1">
        <v>5111</v>
      </c>
      <c r="Q1117" s="4" t="s">
        <v>5298</v>
      </c>
      <c r="R1117" s="10">
        <v>132</v>
      </c>
      <c r="S1117" s="10">
        <v>357</v>
      </c>
      <c r="T1117" s="10">
        <f t="shared" si="439"/>
        <v>47124</v>
      </c>
      <c r="U1117" s="10">
        <f t="shared" si="440"/>
        <v>52778.880000000005</v>
      </c>
      <c r="V1117" s="1"/>
      <c r="W1117" s="11">
        <v>2015</v>
      </c>
      <c r="X1117" s="1"/>
    </row>
    <row r="1118" spans="1:24" ht="89.25" customHeight="1" outlineLevel="1" x14ac:dyDescent="0.2">
      <c r="A1118" s="1" t="s">
        <v>5001</v>
      </c>
      <c r="B1118" s="24" t="s">
        <v>5277</v>
      </c>
      <c r="C1118" s="7" t="s">
        <v>3120</v>
      </c>
      <c r="D1118" s="7" t="s">
        <v>5577</v>
      </c>
      <c r="E1118" s="18" t="s">
        <v>5577</v>
      </c>
      <c r="F1118" s="82" t="s">
        <v>1337</v>
      </c>
      <c r="G1118" s="1" t="s">
        <v>1888</v>
      </c>
      <c r="H1118" s="17">
        <v>0.5</v>
      </c>
      <c r="I1118" s="18">
        <v>710000000</v>
      </c>
      <c r="J1118" s="4" t="s">
        <v>1931</v>
      </c>
      <c r="K1118" s="4" t="s">
        <v>5297</v>
      </c>
      <c r="L1118" s="4" t="s">
        <v>1027</v>
      </c>
      <c r="M1118" s="8" t="s">
        <v>3195</v>
      </c>
      <c r="N1118" s="8" t="s">
        <v>1890</v>
      </c>
      <c r="O1118" s="8" t="s">
        <v>1935</v>
      </c>
      <c r="P1118" s="8">
        <v>796</v>
      </c>
      <c r="Q1118" s="8" t="s">
        <v>3196</v>
      </c>
      <c r="R1118" s="10">
        <v>12</v>
      </c>
      <c r="S1118" s="10">
        <v>375</v>
      </c>
      <c r="T1118" s="10">
        <f t="shared" si="439"/>
        <v>4500</v>
      </c>
      <c r="U1118" s="10">
        <f t="shared" si="440"/>
        <v>5040.0000000000009</v>
      </c>
      <c r="V1118" s="1"/>
      <c r="W1118" s="11">
        <v>2015</v>
      </c>
      <c r="X1118" s="1"/>
    </row>
    <row r="1119" spans="1:24" ht="76.5" customHeight="1" outlineLevel="1" x14ac:dyDescent="0.2">
      <c r="A1119" s="1" t="s">
        <v>5002</v>
      </c>
      <c r="B1119" s="24" t="s">
        <v>5277</v>
      </c>
      <c r="C1119" s="7" t="s">
        <v>3110</v>
      </c>
      <c r="D1119" s="7" t="s">
        <v>5691</v>
      </c>
      <c r="E1119" s="18" t="s">
        <v>5692</v>
      </c>
      <c r="F1119" s="82" t="s">
        <v>1334</v>
      </c>
      <c r="G1119" s="1" t="s">
        <v>1888</v>
      </c>
      <c r="H1119" s="17">
        <v>0.5</v>
      </c>
      <c r="I1119" s="18">
        <v>710000000</v>
      </c>
      <c r="J1119" s="4" t="s">
        <v>1931</v>
      </c>
      <c r="K1119" s="4" t="s">
        <v>5297</v>
      </c>
      <c r="L1119" s="4" t="s">
        <v>1027</v>
      </c>
      <c r="M1119" s="8" t="s">
        <v>3195</v>
      </c>
      <c r="N1119" s="8" t="s">
        <v>1890</v>
      </c>
      <c r="O1119" s="8" t="s">
        <v>1935</v>
      </c>
      <c r="P1119" s="8">
        <v>796</v>
      </c>
      <c r="Q1119" s="8" t="s">
        <v>3196</v>
      </c>
      <c r="R1119" s="10">
        <v>126</v>
      </c>
      <c r="S1119" s="10">
        <v>714</v>
      </c>
      <c r="T1119" s="10">
        <f t="shared" si="439"/>
        <v>89964</v>
      </c>
      <c r="U1119" s="10">
        <f t="shared" si="440"/>
        <v>100759.68000000001</v>
      </c>
      <c r="V1119" s="1"/>
      <c r="W1119" s="11">
        <v>2015</v>
      </c>
      <c r="X1119" s="1"/>
    </row>
    <row r="1120" spans="1:24" ht="76.5" customHeight="1" outlineLevel="1" x14ac:dyDescent="0.2">
      <c r="A1120" s="1" t="s">
        <v>5003</v>
      </c>
      <c r="B1120" s="24" t="s">
        <v>5277</v>
      </c>
      <c r="C1120" s="7" t="s">
        <v>3105</v>
      </c>
      <c r="D1120" s="7" t="s">
        <v>5582</v>
      </c>
      <c r="E1120" s="18" t="s">
        <v>5583</v>
      </c>
      <c r="F1120" s="25" t="s">
        <v>1357</v>
      </c>
      <c r="G1120" s="1" t="s">
        <v>1888</v>
      </c>
      <c r="H1120" s="17">
        <v>0.5</v>
      </c>
      <c r="I1120" s="18">
        <v>710000000</v>
      </c>
      <c r="J1120" s="4" t="s">
        <v>1931</v>
      </c>
      <c r="K1120" s="4" t="s">
        <v>5297</v>
      </c>
      <c r="L1120" s="4" t="s">
        <v>1027</v>
      </c>
      <c r="M1120" s="8" t="s">
        <v>3195</v>
      </c>
      <c r="N1120" s="8" t="s">
        <v>1890</v>
      </c>
      <c r="O1120" s="16" t="s">
        <v>2146</v>
      </c>
      <c r="P1120" s="8">
        <v>796</v>
      </c>
      <c r="Q1120" s="8" t="s">
        <v>3196</v>
      </c>
      <c r="R1120" s="10">
        <v>250</v>
      </c>
      <c r="S1120" s="10">
        <v>250</v>
      </c>
      <c r="T1120" s="10">
        <f t="shared" si="439"/>
        <v>62500</v>
      </c>
      <c r="U1120" s="10">
        <f t="shared" si="440"/>
        <v>70000</v>
      </c>
      <c r="V1120" s="1" t="s">
        <v>3027</v>
      </c>
      <c r="W1120" s="11">
        <v>2015</v>
      </c>
      <c r="X1120" s="1"/>
    </row>
    <row r="1121" spans="1:24" ht="76.5" customHeight="1" outlineLevel="1" x14ac:dyDescent="0.2">
      <c r="A1121" s="1" t="s">
        <v>5004</v>
      </c>
      <c r="B1121" s="24" t="s">
        <v>5277</v>
      </c>
      <c r="C1121" s="7" t="s">
        <v>3113</v>
      </c>
      <c r="D1121" s="7" t="s">
        <v>5606</v>
      </c>
      <c r="E1121" s="18" t="s">
        <v>5607</v>
      </c>
      <c r="F1121" s="16" t="s">
        <v>1339</v>
      </c>
      <c r="G1121" s="1" t="s">
        <v>1888</v>
      </c>
      <c r="H1121" s="17">
        <v>0.5</v>
      </c>
      <c r="I1121" s="18">
        <v>710000000</v>
      </c>
      <c r="J1121" s="4" t="s">
        <v>1931</v>
      </c>
      <c r="K1121" s="4" t="s">
        <v>5297</v>
      </c>
      <c r="L1121" s="4" t="s">
        <v>1027</v>
      </c>
      <c r="M1121" s="8" t="s">
        <v>3195</v>
      </c>
      <c r="N1121" s="8" t="s">
        <v>1890</v>
      </c>
      <c r="O1121" s="16" t="s">
        <v>2146</v>
      </c>
      <c r="P1121" s="8">
        <v>796</v>
      </c>
      <c r="Q1121" s="8" t="s">
        <v>3196</v>
      </c>
      <c r="R1121" s="10">
        <v>182</v>
      </c>
      <c r="S1121" s="10">
        <v>357</v>
      </c>
      <c r="T1121" s="10">
        <f t="shared" si="439"/>
        <v>64974</v>
      </c>
      <c r="U1121" s="10">
        <f t="shared" si="440"/>
        <v>72770.880000000005</v>
      </c>
      <c r="V1121" s="1" t="s">
        <v>3027</v>
      </c>
      <c r="W1121" s="11">
        <v>2015</v>
      </c>
      <c r="X1121" s="1"/>
    </row>
    <row r="1122" spans="1:24" ht="76.5" customHeight="1" outlineLevel="1" x14ac:dyDescent="0.2">
      <c r="A1122" s="1" t="s">
        <v>5005</v>
      </c>
      <c r="B1122" s="24" t="s">
        <v>5277</v>
      </c>
      <c r="C1122" s="7" t="s">
        <v>3114</v>
      </c>
      <c r="D1122" s="7" t="s">
        <v>5594</v>
      </c>
      <c r="E1122" s="18" t="s">
        <v>5597</v>
      </c>
      <c r="F1122" s="25" t="s">
        <v>1340</v>
      </c>
      <c r="G1122" s="1" t="s">
        <v>1888</v>
      </c>
      <c r="H1122" s="17">
        <v>0.5</v>
      </c>
      <c r="I1122" s="18">
        <v>710000000</v>
      </c>
      <c r="J1122" s="4" t="s">
        <v>1931</v>
      </c>
      <c r="K1122" s="4" t="s">
        <v>5297</v>
      </c>
      <c r="L1122" s="4" t="s">
        <v>1027</v>
      </c>
      <c r="M1122" s="8" t="s">
        <v>3195</v>
      </c>
      <c r="N1122" s="8" t="s">
        <v>1890</v>
      </c>
      <c r="O1122" s="16" t="s">
        <v>2146</v>
      </c>
      <c r="P1122" s="8">
        <v>796</v>
      </c>
      <c r="Q1122" s="8" t="s">
        <v>3196</v>
      </c>
      <c r="R1122" s="10">
        <v>1176</v>
      </c>
      <c r="S1122" s="10">
        <v>196</v>
      </c>
      <c r="T1122" s="10">
        <f t="shared" si="439"/>
        <v>230496</v>
      </c>
      <c r="U1122" s="10">
        <f t="shared" si="440"/>
        <v>258155.52000000002</v>
      </c>
      <c r="V1122" s="1" t="s">
        <v>3027</v>
      </c>
      <c r="W1122" s="11">
        <v>2015</v>
      </c>
      <c r="X1122" s="1"/>
    </row>
    <row r="1123" spans="1:24" ht="76.5" customHeight="1" outlineLevel="1" x14ac:dyDescent="0.2">
      <c r="A1123" s="1" t="s">
        <v>5006</v>
      </c>
      <c r="B1123" s="24" t="s">
        <v>5277</v>
      </c>
      <c r="C1123" s="7" t="s">
        <v>3121</v>
      </c>
      <c r="D1123" s="25" t="s">
        <v>5609</v>
      </c>
      <c r="E1123" s="25" t="s">
        <v>5669</v>
      </c>
      <c r="F1123" s="25" t="s">
        <v>1358</v>
      </c>
      <c r="G1123" s="1" t="s">
        <v>1888</v>
      </c>
      <c r="H1123" s="17">
        <v>0.5</v>
      </c>
      <c r="I1123" s="18">
        <v>710000000</v>
      </c>
      <c r="J1123" s="4" t="s">
        <v>1931</v>
      </c>
      <c r="K1123" s="4" t="s">
        <v>5297</v>
      </c>
      <c r="L1123" s="4" t="s">
        <v>1027</v>
      </c>
      <c r="M1123" s="8" t="s">
        <v>3195</v>
      </c>
      <c r="N1123" s="8" t="s">
        <v>1890</v>
      </c>
      <c r="O1123" s="16" t="s">
        <v>2146</v>
      </c>
      <c r="P1123" s="1">
        <v>736</v>
      </c>
      <c r="Q1123" s="4" t="s">
        <v>5475</v>
      </c>
      <c r="R1123" s="10">
        <v>19848</v>
      </c>
      <c r="S1123" s="10">
        <v>71</v>
      </c>
      <c r="T1123" s="10">
        <f t="shared" si="439"/>
        <v>1409208</v>
      </c>
      <c r="U1123" s="10">
        <f t="shared" si="440"/>
        <v>1578312.9600000002</v>
      </c>
      <c r="V1123" s="1" t="s">
        <v>3027</v>
      </c>
      <c r="W1123" s="11">
        <v>2015</v>
      </c>
      <c r="X1123" s="1"/>
    </row>
    <row r="1124" spans="1:24" ht="76.5" customHeight="1" outlineLevel="1" x14ac:dyDescent="0.2">
      <c r="A1124" s="1" t="s">
        <v>5007</v>
      </c>
      <c r="B1124" s="24" t="s">
        <v>5277</v>
      </c>
      <c r="C1124" s="25" t="s">
        <v>1359</v>
      </c>
      <c r="D1124" s="25" t="s">
        <v>5614</v>
      </c>
      <c r="E1124" s="25" t="s">
        <v>5616</v>
      </c>
      <c r="F1124" s="25" t="s">
        <v>1360</v>
      </c>
      <c r="G1124" s="1" t="s">
        <v>1888</v>
      </c>
      <c r="H1124" s="17">
        <v>0.5</v>
      </c>
      <c r="I1124" s="18">
        <v>710000000</v>
      </c>
      <c r="J1124" s="4" t="s">
        <v>1931</v>
      </c>
      <c r="K1124" s="4" t="s">
        <v>5297</v>
      </c>
      <c r="L1124" s="4" t="s">
        <v>1027</v>
      </c>
      <c r="M1124" s="8" t="s">
        <v>3195</v>
      </c>
      <c r="N1124" s="8" t="s">
        <v>1890</v>
      </c>
      <c r="O1124" s="16" t="s">
        <v>2146</v>
      </c>
      <c r="P1124" s="8">
        <v>796</v>
      </c>
      <c r="Q1124" s="8" t="s">
        <v>3196</v>
      </c>
      <c r="R1124" s="10">
        <v>39336</v>
      </c>
      <c r="S1124" s="10">
        <v>8</v>
      </c>
      <c r="T1124" s="10">
        <f t="shared" si="439"/>
        <v>314688</v>
      </c>
      <c r="U1124" s="10">
        <f t="shared" si="440"/>
        <v>352450.56000000006</v>
      </c>
      <c r="V1124" s="1" t="s">
        <v>3027</v>
      </c>
      <c r="W1124" s="11">
        <v>2015</v>
      </c>
      <c r="X1124" s="1"/>
    </row>
    <row r="1125" spans="1:24" ht="76.5" customHeight="1" outlineLevel="1" x14ac:dyDescent="0.2">
      <c r="A1125" s="1" t="s">
        <v>5008</v>
      </c>
      <c r="B1125" s="24" t="s">
        <v>5277</v>
      </c>
      <c r="C1125" s="25" t="s">
        <v>1359</v>
      </c>
      <c r="D1125" s="25" t="s">
        <v>5614</v>
      </c>
      <c r="E1125" s="25" t="s">
        <v>5616</v>
      </c>
      <c r="F1125" s="25" t="s">
        <v>1361</v>
      </c>
      <c r="G1125" s="1" t="s">
        <v>1888</v>
      </c>
      <c r="H1125" s="17">
        <v>0.5</v>
      </c>
      <c r="I1125" s="18">
        <v>710000000</v>
      </c>
      <c r="J1125" s="4" t="s">
        <v>1931</v>
      </c>
      <c r="K1125" s="4" t="s">
        <v>5297</v>
      </c>
      <c r="L1125" s="4" t="s">
        <v>1027</v>
      </c>
      <c r="M1125" s="8" t="s">
        <v>3195</v>
      </c>
      <c r="N1125" s="8" t="s">
        <v>1890</v>
      </c>
      <c r="O1125" s="16" t="s">
        <v>2146</v>
      </c>
      <c r="P1125" s="8">
        <v>796</v>
      </c>
      <c r="Q1125" s="8" t="s">
        <v>3196</v>
      </c>
      <c r="R1125" s="10">
        <v>14560</v>
      </c>
      <c r="S1125" s="10">
        <v>8</v>
      </c>
      <c r="T1125" s="10">
        <f t="shared" si="439"/>
        <v>116480</v>
      </c>
      <c r="U1125" s="10">
        <f t="shared" si="440"/>
        <v>130457.60000000001</v>
      </c>
      <c r="V1125" s="1" t="s">
        <v>3027</v>
      </c>
      <c r="W1125" s="11">
        <v>2015</v>
      </c>
      <c r="X1125" s="1"/>
    </row>
    <row r="1126" spans="1:24" ht="76.5" customHeight="1" outlineLevel="1" x14ac:dyDescent="0.2">
      <c r="A1126" s="1" t="s">
        <v>5009</v>
      </c>
      <c r="B1126" s="24" t="s">
        <v>5277</v>
      </c>
      <c r="C1126" s="25" t="s">
        <v>1359</v>
      </c>
      <c r="D1126" s="25" t="s">
        <v>5614</v>
      </c>
      <c r="E1126" s="25" t="s">
        <v>5616</v>
      </c>
      <c r="F1126" s="25" t="s">
        <v>1362</v>
      </c>
      <c r="G1126" s="1" t="s">
        <v>1888</v>
      </c>
      <c r="H1126" s="17">
        <v>0.5</v>
      </c>
      <c r="I1126" s="18">
        <v>710000000</v>
      </c>
      <c r="J1126" s="4" t="s">
        <v>1931</v>
      </c>
      <c r="K1126" s="4" t="s">
        <v>5297</v>
      </c>
      <c r="L1126" s="4" t="s">
        <v>1027</v>
      </c>
      <c r="M1126" s="8" t="s">
        <v>3195</v>
      </c>
      <c r="N1126" s="8" t="s">
        <v>1890</v>
      </c>
      <c r="O1126" s="16" t="s">
        <v>2146</v>
      </c>
      <c r="P1126" s="8">
        <v>796</v>
      </c>
      <c r="Q1126" s="8" t="s">
        <v>3196</v>
      </c>
      <c r="R1126" s="10">
        <v>5432</v>
      </c>
      <c r="S1126" s="10">
        <v>25</v>
      </c>
      <c r="T1126" s="10">
        <f t="shared" si="439"/>
        <v>135800</v>
      </c>
      <c r="U1126" s="10">
        <f t="shared" si="440"/>
        <v>152096</v>
      </c>
      <c r="V1126" s="1" t="s">
        <v>3027</v>
      </c>
      <c r="W1126" s="11">
        <v>2015</v>
      </c>
      <c r="X1126" s="1"/>
    </row>
    <row r="1127" spans="1:24" ht="76.5" customHeight="1" outlineLevel="1" x14ac:dyDescent="0.2">
      <c r="A1127" s="1" t="s">
        <v>5010</v>
      </c>
      <c r="B1127" s="24" t="s">
        <v>5277</v>
      </c>
      <c r="C1127" s="7" t="s">
        <v>5130</v>
      </c>
      <c r="D1127" s="7" t="s">
        <v>5677</v>
      </c>
      <c r="E1127" s="18" t="s">
        <v>5678</v>
      </c>
      <c r="F1127" s="25" t="s">
        <v>5679</v>
      </c>
      <c r="G1127" s="1" t="s">
        <v>1888</v>
      </c>
      <c r="H1127" s="17">
        <v>0.5</v>
      </c>
      <c r="I1127" s="18">
        <v>710000000</v>
      </c>
      <c r="J1127" s="4" t="s">
        <v>1931</v>
      </c>
      <c r="K1127" s="4" t="s">
        <v>5297</v>
      </c>
      <c r="L1127" s="4" t="s">
        <v>1027</v>
      </c>
      <c r="M1127" s="8" t="s">
        <v>3195</v>
      </c>
      <c r="N1127" s="8" t="s">
        <v>1890</v>
      </c>
      <c r="O1127" s="8" t="s">
        <v>1935</v>
      </c>
      <c r="P1127" s="1" t="s">
        <v>3010</v>
      </c>
      <c r="Q1127" s="4" t="s">
        <v>3009</v>
      </c>
      <c r="R1127" s="10">
        <v>2400</v>
      </c>
      <c r="S1127" s="10">
        <v>125</v>
      </c>
      <c r="T1127" s="10">
        <f t="shared" si="439"/>
        <v>300000</v>
      </c>
      <c r="U1127" s="10">
        <f t="shared" si="440"/>
        <v>336000.00000000006</v>
      </c>
      <c r="V1127" s="1"/>
      <c r="W1127" s="11">
        <v>2015</v>
      </c>
      <c r="X1127" s="1"/>
    </row>
    <row r="1128" spans="1:24" ht="76.5" customHeight="1" outlineLevel="1" x14ac:dyDescent="0.2">
      <c r="A1128" s="1" t="s">
        <v>5011</v>
      </c>
      <c r="B1128" s="24" t="s">
        <v>5277</v>
      </c>
      <c r="C1128" s="7" t="s">
        <v>3131</v>
      </c>
      <c r="D1128" s="7" t="s">
        <v>5619</v>
      </c>
      <c r="E1128" s="18" t="s">
        <v>5620</v>
      </c>
      <c r="F1128" s="25" t="s">
        <v>2357</v>
      </c>
      <c r="G1128" s="1" t="s">
        <v>1888</v>
      </c>
      <c r="H1128" s="17">
        <v>0.5</v>
      </c>
      <c r="I1128" s="18">
        <v>710000000</v>
      </c>
      <c r="J1128" s="4" t="s">
        <v>1931</v>
      </c>
      <c r="K1128" s="4" t="s">
        <v>5297</v>
      </c>
      <c r="L1128" s="4" t="s">
        <v>1027</v>
      </c>
      <c r="M1128" s="8" t="s">
        <v>3195</v>
      </c>
      <c r="N1128" s="8" t="s">
        <v>1890</v>
      </c>
      <c r="O1128" s="8" t="s">
        <v>1935</v>
      </c>
      <c r="P1128" s="1">
        <v>778</v>
      </c>
      <c r="Q1128" s="4" t="s">
        <v>3327</v>
      </c>
      <c r="R1128" s="10">
        <v>192</v>
      </c>
      <c r="S1128" s="10">
        <v>232</v>
      </c>
      <c r="T1128" s="10">
        <f t="shared" si="439"/>
        <v>44544</v>
      </c>
      <c r="U1128" s="10">
        <f t="shared" si="440"/>
        <v>49889.280000000006</v>
      </c>
      <c r="V1128" s="1"/>
      <c r="W1128" s="11">
        <v>2015</v>
      </c>
      <c r="X1128" s="1"/>
    </row>
    <row r="1129" spans="1:24" ht="76.5" customHeight="1" outlineLevel="1" x14ac:dyDescent="0.2">
      <c r="A1129" s="1" t="s">
        <v>5012</v>
      </c>
      <c r="B1129" s="24" t="s">
        <v>5277</v>
      </c>
      <c r="C1129" s="7" t="s">
        <v>3126</v>
      </c>
      <c r="D1129" s="7" t="s">
        <v>5245</v>
      </c>
      <c r="E1129" s="18" t="s">
        <v>5617</v>
      </c>
      <c r="F1129" s="25" t="s">
        <v>5680</v>
      </c>
      <c r="G1129" s="1" t="s">
        <v>1888</v>
      </c>
      <c r="H1129" s="17">
        <v>0.5</v>
      </c>
      <c r="I1129" s="18">
        <v>710000000</v>
      </c>
      <c r="J1129" s="4" t="s">
        <v>1931</v>
      </c>
      <c r="K1129" s="4" t="s">
        <v>5297</v>
      </c>
      <c r="L1129" s="4" t="s">
        <v>1027</v>
      </c>
      <c r="M1129" s="8" t="s">
        <v>3195</v>
      </c>
      <c r="N1129" s="8" t="s">
        <v>1890</v>
      </c>
      <c r="O1129" s="16" t="s">
        <v>2146</v>
      </c>
      <c r="P1129" s="1">
        <v>715</v>
      </c>
      <c r="Q1129" s="4" t="s">
        <v>5618</v>
      </c>
      <c r="R1129" s="10">
        <v>882</v>
      </c>
      <c r="S1129" s="10">
        <v>140</v>
      </c>
      <c r="T1129" s="10">
        <f t="shared" si="439"/>
        <v>123480</v>
      </c>
      <c r="U1129" s="10">
        <f t="shared" si="440"/>
        <v>138297.60000000001</v>
      </c>
      <c r="V1129" s="1" t="s">
        <v>3027</v>
      </c>
      <c r="W1129" s="11">
        <v>2015</v>
      </c>
      <c r="X1129" s="1"/>
    </row>
    <row r="1130" spans="1:24" ht="76.5" customHeight="1" outlineLevel="1" x14ac:dyDescent="0.2">
      <c r="A1130" s="1" t="s">
        <v>5013</v>
      </c>
      <c r="B1130" s="24" t="s">
        <v>5277</v>
      </c>
      <c r="C1130" s="25" t="s">
        <v>1363</v>
      </c>
      <c r="D1130" s="25" t="s">
        <v>5758</v>
      </c>
      <c r="E1130" s="25" t="s">
        <v>1364</v>
      </c>
      <c r="F1130" s="25"/>
      <c r="G1130" s="1" t="s">
        <v>1888</v>
      </c>
      <c r="H1130" s="17">
        <v>0.5</v>
      </c>
      <c r="I1130" s="18">
        <v>710000000</v>
      </c>
      <c r="J1130" s="4" t="s">
        <v>1931</v>
      </c>
      <c r="K1130" s="4" t="s">
        <v>5297</v>
      </c>
      <c r="L1130" s="4" t="s">
        <v>1027</v>
      </c>
      <c r="M1130" s="8" t="s">
        <v>3195</v>
      </c>
      <c r="N1130" s="8" t="s">
        <v>1890</v>
      </c>
      <c r="O1130" s="8" t="s">
        <v>1935</v>
      </c>
      <c r="P1130" s="1">
        <v>715</v>
      </c>
      <c r="Q1130" s="4" t="s">
        <v>5618</v>
      </c>
      <c r="R1130" s="10">
        <v>220</v>
      </c>
      <c r="S1130" s="10">
        <v>240</v>
      </c>
      <c r="T1130" s="10">
        <f t="shared" si="439"/>
        <v>52800</v>
      </c>
      <c r="U1130" s="10">
        <f t="shared" si="440"/>
        <v>59136.000000000007</v>
      </c>
      <c r="V1130" s="1"/>
      <c r="W1130" s="11">
        <v>2015</v>
      </c>
      <c r="X1130" s="1"/>
    </row>
    <row r="1131" spans="1:24" ht="76.5" customHeight="1" outlineLevel="1" x14ac:dyDescent="0.2">
      <c r="A1131" s="1" t="s">
        <v>5014</v>
      </c>
      <c r="B1131" s="24" t="s">
        <v>5277</v>
      </c>
      <c r="C1131" s="7" t="s">
        <v>1826</v>
      </c>
      <c r="D1131" s="7" t="s">
        <v>5683</v>
      </c>
      <c r="E1131" s="18" t="s">
        <v>5631</v>
      </c>
      <c r="F1131" s="7" t="s">
        <v>1308</v>
      </c>
      <c r="G1131" s="1" t="s">
        <v>1888</v>
      </c>
      <c r="H1131" s="17">
        <v>0.5</v>
      </c>
      <c r="I1131" s="18">
        <v>710000000</v>
      </c>
      <c r="J1131" s="4" t="s">
        <v>1931</v>
      </c>
      <c r="K1131" s="4" t="s">
        <v>5297</v>
      </c>
      <c r="L1131" s="4" t="s">
        <v>1027</v>
      </c>
      <c r="M1131" s="8" t="s">
        <v>3195</v>
      </c>
      <c r="N1131" s="8" t="s">
        <v>1890</v>
      </c>
      <c r="O1131" s="16" t="s">
        <v>2146</v>
      </c>
      <c r="P1131" s="8">
        <v>796</v>
      </c>
      <c r="Q1131" s="8" t="s">
        <v>3196</v>
      </c>
      <c r="R1131" s="10">
        <v>27</v>
      </c>
      <c r="S1131" s="10">
        <v>380.5</v>
      </c>
      <c r="T1131" s="10">
        <f t="shared" si="439"/>
        <v>10273.5</v>
      </c>
      <c r="U1131" s="10">
        <f t="shared" si="440"/>
        <v>11506.320000000002</v>
      </c>
      <c r="V1131" s="1" t="s">
        <v>3027</v>
      </c>
      <c r="W1131" s="11">
        <v>2015</v>
      </c>
      <c r="X1131" s="1"/>
    </row>
    <row r="1132" spans="1:24" ht="76.5" customHeight="1" outlineLevel="1" x14ac:dyDescent="0.2">
      <c r="A1132" s="1" t="s">
        <v>5015</v>
      </c>
      <c r="B1132" s="24" t="s">
        <v>5277</v>
      </c>
      <c r="C1132" s="7" t="s">
        <v>1827</v>
      </c>
      <c r="D1132" s="7" t="s">
        <v>3133</v>
      </c>
      <c r="E1132" s="18" t="s">
        <v>5633</v>
      </c>
      <c r="F1132" s="25"/>
      <c r="G1132" s="1" t="s">
        <v>1888</v>
      </c>
      <c r="H1132" s="17">
        <v>0.5</v>
      </c>
      <c r="I1132" s="18">
        <v>710000000</v>
      </c>
      <c r="J1132" s="4" t="s">
        <v>1931</v>
      </c>
      <c r="K1132" s="4" t="s">
        <v>5297</v>
      </c>
      <c r="L1132" s="4" t="s">
        <v>1027</v>
      </c>
      <c r="M1132" s="8" t="s">
        <v>3195</v>
      </c>
      <c r="N1132" s="8" t="s">
        <v>1890</v>
      </c>
      <c r="O1132" s="8" t="s">
        <v>1935</v>
      </c>
      <c r="P1132" s="8">
        <v>796</v>
      </c>
      <c r="Q1132" s="8" t="s">
        <v>3196</v>
      </c>
      <c r="R1132" s="10">
        <v>11</v>
      </c>
      <c r="S1132" s="10">
        <v>377.22</v>
      </c>
      <c r="T1132" s="10">
        <f t="shared" si="439"/>
        <v>4149.42</v>
      </c>
      <c r="U1132" s="10">
        <f t="shared" si="440"/>
        <v>4647.3504000000003</v>
      </c>
      <c r="V1132" s="8"/>
      <c r="W1132" s="11">
        <v>2015</v>
      </c>
      <c r="X1132" s="1"/>
    </row>
    <row r="1133" spans="1:24" ht="76.5" customHeight="1" outlineLevel="1" x14ac:dyDescent="0.2">
      <c r="A1133" s="1" t="s">
        <v>5016</v>
      </c>
      <c r="B1133" s="24" t="s">
        <v>5277</v>
      </c>
      <c r="C1133" s="4" t="s">
        <v>1831</v>
      </c>
      <c r="D1133" s="1" t="s">
        <v>1832</v>
      </c>
      <c r="E1133" s="4" t="s">
        <v>5636</v>
      </c>
      <c r="F1133" s="25" t="s">
        <v>1365</v>
      </c>
      <c r="G1133" s="1" t="s">
        <v>1888</v>
      </c>
      <c r="H1133" s="17">
        <v>0.5</v>
      </c>
      <c r="I1133" s="18">
        <v>710000000</v>
      </c>
      <c r="J1133" s="4" t="s">
        <v>1931</v>
      </c>
      <c r="K1133" s="4" t="s">
        <v>5297</v>
      </c>
      <c r="L1133" s="4" t="s">
        <v>1027</v>
      </c>
      <c r="M1133" s="8" t="s">
        <v>3195</v>
      </c>
      <c r="N1133" s="8" t="s">
        <v>1890</v>
      </c>
      <c r="O1133" s="8" t="s">
        <v>1935</v>
      </c>
      <c r="P1133" s="8">
        <v>796</v>
      </c>
      <c r="Q1133" s="8" t="s">
        <v>3196</v>
      </c>
      <c r="R1133" s="10">
        <v>11</v>
      </c>
      <c r="S1133" s="10">
        <v>316.05</v>
      </c>
      <c r="T1133" s="10">
        <f t="shared" si="439"/>
        <v>3476.55</v>
      </c>
      <c r="U1133" s="10">
        <f t="shared" si="440"/>
        <v>3893.7360000000008</v>
      </c>
      <c r="V1133" s="8"/>
      <c r="W1133" s="11">
        <v>2015</v>
      </c>
      <c r="X1133" s="1"/>
    </row>
    <row r="1134" spans="1:24" ht="76.5" customHeight="1" outlineLevel="1" x14ac:dyDescent="0.2">
      <c r="A1134" s="1" t="s">
        <v>5017</v>
      </c>
      <c r="B1134" s="24" t="s">
        <v>5277</v>
      </c>
      <c r="C1134" s="25" t="s">
        <v>3413</v>
      </c>
      <c r="D1134" s="25" t="s">
        <v>5541</v>
      </c>
      <c r="E1134" s="25" t="s">
        <v>5700</v>
      </c>
      <c r="F1134" s="25" t="s">
        <v>2274</v>
      </c>
      <c r="G1134" s="1" t="s">
        <v>1888</v>
      </c>
      <c r="H1134" s="17">
        <v>0.5</v>
      </c>
      <c r="I1134" s="18">
        <v>710000000</v>
      </c>
      <c r="J1134" s="4" t="s">
        <v>1931</v>
      </c>
      <c r="K1134" s="4" t="s">
        <v>5297</v>
      </c>
      <c r="L1134" s="4" t="s">
        <v>1027</v>
      </c>
      <c r="M1134" s="8" t="s">
        <v>3195</v>
      </c>
      <c r="N1134" s="8" t="s">
        <v>1890</v>
      </c>
      <c r="O1134" s="8" t="s">
        <v>1935</v>
      </c>
      <c r="P1134" s="8">
        <v>796</v>
      </c>
      <c r="Q1134" s="8" t="s">
        <v>3196</v>
      </c>
      <c r="R1134" s="10">
        <v>11</v>
      </c>
      <c r="S1134" s="10">
        <v>473.95</v>
      </c>
      <c r="T1134" s="10">
        <f t="shared" si="439"/>
        <v>5213.45</v>
      </c>
      <c r="U1134" s="10">
        <f t="shared" si="440"/>
        <v>5839.0640000000003</v>
      </c>
      <c r="V1134" s="8"/>
      <c r="W1134" s="11">
        <v>2015</v>
      </c>
      <c r="X1134" s="1"/>
    </row>
    <row r="1135" spans="1:24" ht="76.5" customHeight="1" outlineLevel="1" x14ac:dyDescent="0.2">
      <c r="A1135" s="1" t="s">
        <v>5018</v>
      </c>
      <c r="B1135" s="24" t="s">
        <v>5277</v>
      </c>
      <c r="C1135" s="25" t="s">
        <v>3413</v>
      </c>
      <c r="D1135" s="25" t="s">
        <v>5541</v>
      </c>
      <c r="E1135" s="25" t="s">
        <v>5700</v>
      </c>
      <c r="F1135" s="25" t="s">
        <v>2275</v>
      </c>
      <c r="G1135" s="1" t="s">
        <v>1888</v>
      </c>
      <c r="H1135" s="17">
        <v>0.5</v>
      </c>
      <c r="I1135" s="18">
        <v>710000000</v>
      </c>
      <c r="J1135" s="4" t="s">
        <v>1931</v>
      </c>
      <c r="K1135" s="4" t="s">
        <v>5297</v>
      </c>
      <c r="L1135" s="4" t="s">
        <v>1027</v>
      </c>
      <c r="M1135" s="8" t="s">
        <v>3195</v>
      </c>
      <c r="N1135" s="8" t="s">
        <v>1890</v>
      </c>
      <c r="O1135" s="8" t="s">
        <v>1935</v>
      </c>
      <c r="P1135" s="8">
        <v>796</v>
      </c>
      <c r="Q1135" s="8" t="s">
        <v>3196</v>
      </c>
      <c r="R1135" s="10">
        <v>11</v>
      </c>
      <c r="S1135" s="10">
        <v>331.4</v>
      </c>
      <c r="T1135" s="10">
        <f t="shared" si="439"/>
        <v>3645.3999999999996</v>
      </c>
      <c r="U1135" s="10">
        <f t="shared" si="440"/>
        <v>4082.848</v>
      </c>
      <c r="V1135" s="8"/>
      <c r="W1135" s="11">
        <v>2015</v>
      </c>
      <c r="X1135" s="1"/>
    </row>
    <row r="1136" spans="1:24" ht="76.5" customHeight="1" outlineLevel="1" x14ac:dyDescent="0.2">
      <c r="A1136" s="1" t="s">
        <v>5019</v>
      </c>
      <c r="B1136" s="24" t="s">
        <v>5277</v>
      </c>
      <c r="C1136" s="7" t="s">
        <v>1822</v>
      </c>
      <c r="D1136" s="7" t="s">
        <v>5529</v>
      </c>
      <c r="E1136" s="18" t="s">
        <v>5530</v>
      </c>
      <c r="F1136" s="25"/>
      <c r="G1136" s="1" t="s">
        <v>1888</v>
      </c>
      <c r="H1136" s="17">
        <v>0.5</v>
      </c>
      <c r="I1136" s="18">
        <v>710000000</v>
      </c>
      <c r="J1136" s="4" t="s">
        <v>1931</v>
      </c>
      <c r="K1136" s="4" t="s">
        <v>5297</v>
      </c>
      <c r="L1136" s="4" t="s">
        <v>1027</v>
      </c>
      <c r="M1136" s="8" t="s">
        <v>3195</v>
      </c>
      <c r="N1136" s="8" t="s">
        <v>1890</v>
      </c>
      <c r="O1136" s="8" t="s">
        <v>1935</v>
      </c>
      <c r="P1136" s="8">
        <v>796</v>
      </c>
      <c r="Q1136" s="8" t="s">
        <v>3196</v>
      </c>
      <c r="R1136" s="10">
        <v>11</v>
      </c>
      <c r="S1136" s="10">
        <v>548</v>
      </c>
      <c r="T1136" s="10">
        <f t="shared" si="439"/>
        <v>6028</v>
      </c>
      <c r="U1136" s="10">
        <f t="shared" si="440"/>
        <v>6751.3600000000006</v>
      </c>
      <c r="V1136" s="8"/>
      <c r="W1136" s="11">
        <v>2015</v>
      </c>
      <c r="X1136" s="1"/>
    </row>
    <row r="1137" spans="1:24" ht="76.5" customHeight="1" outlineLevel="1" x14ac:dyDescent="0.2">
      <c r="A1137" s="1" t="s">
        <v>5020</v>
      </c>
      <c r="B1137" s="24" t="s">
        <v>5277</v>
      </c>
      <c r="C1137" s="7" t="s">
        <v>3123</v>
      </c>
      <c r="D1137" s="7" t="s">
        <v>5610</v>
      </c>
      <c r="E1137" s="18" t="s">
        <v>5611</v>
      </c>
      <c r="F1137" s="25" t="s">
        <v>1343</v>
      </c>
      <c r="G1137" s="1" t="s">
        <v>1888</v>
      </c>
      <c r="H1137" s="17">
        <v>0.5</v>
      </c>
      <c r="I1137" s="18">
        <v>710000000</v>
      </c>
      <c r="J1137" s="4" t="s">
        <v>1931</v>
      </c>
      <c r="K1137" s="4" t="s">
        <v>5297</v>
      </c>
      <c r="L1137" s="4" t="s">
        <v>1027</v>
      </c>
      <c r="M1137" s="8" t="s">
        <v>3195</v>
      </c>
      <c r="N1137" s="8" t="s">
        <v>1890</v>
      </c>
      <c r="O1137" s="16" t="s">
        <v>2146</v>
      </c>
      <c r="P1137" s="1">
        <v>778</v>
      </c>
      <c r="Q1137" s="4" t="s">
        <v>3327</v>
      </c>
      <c r="R1137" s="10">
        <v>1188</v>
      </c>
      <c r="S1137" s="10">
        <v>200</v>
      </c>
      <c r="T1137" s="10">
        <f t="shared" si="439"/>
        <v>237600</v>
      </c>
      <c r="U1137" s="10">
        <f t="shared" si="440"/>
        <v>266112</v>
      </c>
      <c r="V1137" s="1" t="s">
        <v>3027</v>
      </c>
      <c r="W1137" s="11">
        <v>2015</v>
      </c>
      <c r="X1137" s="1"/>
    </row>
    <row r="1138" spans="1:24" ht="76.5" customHeight="1" outlineLevel="1" x14ac:dyDescent="0.2">
      <c r="A1138" s="1" t="s">
        <v>5021</v>
      </c>
      <c r="B1138" s="24" t="s">
        <v>5277</v>
      </c>
      <c r="C1138" s="7" t="s">
        <v>3116</v>
      </c>
      <c r="D1138" s="7" t="s">
        <v>5604</v>
      </c>
      <c r="E1138" s="18" t="s">
        <v>5605</v>
      </c>
      <c r="F1138" s="25" t="s">
        <v>1353</v>
      </c>
      <c r="G1138" s="1" t="s">
        <v>1888</v>
      </c>
      <c r="H1138" s="17">
        <v>0.5</v>
      </c>
      <c r="I1138" s="18">
        <v>710000000</v>
      </c>
      <c r="J1138" s="4" t="s">
        <v>1931</v>
      </c>
      <c r="K1138" s="4" t="s">
        <v>5297</v>
      </c>
      <c r="L1138" s="4" t="s">
        <v>1027</v>
      </c>
      <c r="M1138" s="8" t="s">
        <v>3195</v>
      </c>
      <c r="N1138" s="8" t="s">
        <v>1890</v>
      </c>
      <c r="O1138" s="16" t="s">
        <v>2146</v>
      </c>
      <c r="P1138" s="1">
        <v>868</v>
      </c>
      <c r="Q1138" s="4" t="s">
        <v>5521</v>
      </c>
      <c r="R1138" s="10">
        <v>40</v>
      </c>
      <c r="S1138" s="10">
        <v>332</v>
      </c>
      <c r="T1138" s="10">
        <f t="shared" si="439"/>
        <v>13280</v>
      </c>
      <c r="U1138" s="10">
        <f t="shared" si="440"/>
        <v>14873.600000000002</v>
      </c>
      <c r="V1138" s="1" t="s">
        <v>3027</v>
      </c>
      <c r="W1138" s="11">
        <v>2015</v>
      </c>
      <c r="X1138" s="1"/>
    </row>
    <row r="1139" spans="1:24" ht="76.5" customHeight="1" outlineLevel="1" x14ac:dyDescent="0.2">
      <c r="A1139" s="1" t="s">
        <v>5022</v>
      </c>
      <c r="B1139" s="15" t="s">
        <v>5277</v>
      </c>
      <c r="C1139" s="55" t="s">
        <v>4131</v>
      </c>
      <c r="D1139" s="16" t="s">
        <v>4132</v>
      </c>
      <c r="E1139" s="24" t="s">
        <v>5731</v>
      </c>
      <c r="F1139" s="4" t="s">
        <v>5746</v>
      </c>
      <c r="G1139" s="4" t="s">
        <v>1888</v>
      </c>
      <c r="H1139" s="22">
        <v>0.4</v>
      </c>
      <c r="I1139" s="18">
        <v>710000000</v>
      </c>
      <c r="J1139" s="4" t="s">
        <v>1931</v>
      </c>
      <c r="K1139" s="4" t="s">
        <v>5706</v>
      </c>
      <c r="L1139" s="4" t="s">
        <v>1889</v>
      </c>
      <c r="M1139" s="8" t="s">
        <v>3195</v>
      </c>
      <c r="N1139" s="4" t="s">
        <v>1890</v>
      </c>
      <c r="O1139" s="16" t="s">
        <v>2146</v>
      </c>
      <c r="P1139" s="8">
        <v>796</v>
      </c>
      <c r="Q1139" s="8" t="s">
        <v>3196</v>
      </c>
      <c r="R1139" s="10">
        <v>1997</v>
      </c>
      <c r="S1139" s="19">
        <v>955.36</v>
      </c>
      <c r="T1139" s="10">
        <v>0</v>
      </c>
      <c r="U1139" s="10">
        <f t="shared" si="440"/>
        <v>0</v>
      </c>
      <c r="V1139" s="11" t="s">
        <v>3027</v>
      </c>
      <c r="W1139" s="11">
        <v>2015</v>
      </c>
      <c r="X1139" s="1">
        <v>6</v>
      </c>
    </row>
    <row r="1140" spans="1:24" ht="76.5" customHeight="1" outlineLevel="1" x14ac:dyDescent="0.2">
      <c r="A1140" s="1" t="s">
        <v>7567</v>
      </c>
      <c r="B1140" s="15" t="s">
        <v>5277</v>
      </c>
      <c r="C1140" s="55" t="s">
        <v>4131</v>
      </c>
      <c r="D1140" s="16" t="s">
        <v>4132</v>
      </c>
      <c r="E1140" s="24" t="s">
        <v>5731</v>
      </c>
      <c r="F1140" s="4" t="s">
        <v>7568</v>
      </c>
      <c r="G1140" s="4" t="s">
        <v>1888</v>
      </c>
      <c r="H1140" s="22">
        <v>0.4</v>
      </c>
      <c r="I1140" s="18">
        <v>710000000</v>
      </c>
      <c r="J1140" s="4" t="s">
        <v>1931</v>
      </c>
      <c r="K1140" s="4" t="s">
        <v>5706</v>
      </c>
      <c r="L1140" s="4" t="s">
        <v>1889</v>
      </c>
      <c r="M1140" s="8" t="s">
        <v>3195</v>
      </c>
      <c r="N1140" s="4" t="s">
        <v>1890</v>
      </c>
      <c r="O1140" s="16" t="s">
        <v>2146</v>
      </c>
      <c r="P1140" s="8">
        <v>796</v>
      </c>
      <c r="Q1140" s="8" t="s">
        <v>3196</v>
      </c>
      <c r="R1140" s="10">
        <v>1997</v>
      </c>
      <c r="S1140" s="19">
        <v>955.36</v>
      </c>
      <c r="T1140" s="10">
        <f t="shared" ref="T1140" si="441">S1140*R1140</f>
        <v>1907853.92</v>
      </c>
      <c r="U1140" s="10">
        <f t="shared" ref="U1140" si="442">T1140*1.12</f>
        <v>2136796.3903999999</v>
      </c>
      <c r="V1140" s="11" t="s">
        <v>3027</v>
      </c>
      <c r="W1140" s="11">
        <v>2015</v>
      </c>
      <c r="X1140" s="20"/>
    </row>
    <row r="1141" spans="1:24" ht="116.25" customHeight="1" outlineLevel="1" x14ac:dyDescent="0.2">
      <c r="A1141" s="1" t="s">
        <v>5023</v>
      </c>
      <c r="B1141" s="15" t="s">
        <v>5277</v>
      </c>
      <c r="C1141" s="24" t="s">
        <v>4126</v>
      </c>
      <c r="D1141" s="24" t="s">
        <v>4127</v>
      </c>
      <c r="E1141" s="24" t="s">
        <v>5726</v>
      </c>
      <c r="F1141" s="4" t="s">
        <v>5747</v>
      </c>
      <c r="G1141" s="4" t="s">
        <v>1888</v>
      </c>
      <c r="H1141" s="22">
        <v>0.4</v>
      </c>
      <c r="I1141" s="18">
        <v>710000000</v>
      </c>
      <c r="J1141" s="4" t="s">
        <v>1931</v>
      </c>
      <c r="K1141" s="4" t="s">
        <v>5706</v>
      </c>
      <c r="L1141" s="4" t="s">
        <v>1889</v>
      </c>
      <c r="M1141" s="8" t="s">
        <v>3195</v>
      </c>
      <c r="N1141" s="4" t="s">
        <v>1890</v>
      </c>
      <c r="O1141" s="16" t="s">
        <v>2146</v>
      </c>
      <c r="P1141" s="8">
        <v>796</v>
      </c>
      <c r="Q1141" s="8" t="s">
        <v>3196</v>
      </c>
      <c r="R1141" s="10">
        <v>1997</v>
      </c>
      <c r="S1141" s="19">
        <v>955.36</v>
      </c>
      <c r="T1141" s="10">
        <f t="shared" si="439"/>
        <v>1907853.92</v>
      </c>
      <c r="U1141" s="10">
        <f t="shared" si="440"/>
        <v>2136796.3903999999</v>
      </c>
      <c r="V1141" s="11" t="s">
        <v>3027</v>
      </c>
      <c r="W1141" s="11">
        <v>2015</v>
      </c>
      <c r="X1141" s="20"/>
    </row>
    <row r="1142" spans="1:24" ht="76.5" customHeight="1" outlineLevel="1" x14ac:dyDescent="0.2">
      <c r="A1142" s="1" t="s">
        <v>5024</v>
      </c>
      <c r="B1142" s="15" t="s">
        <v>5277</v>
      </c>
      <c r="C1142" s="7" t="s">
        <v>1366</v>
      </c>
      <c r="D1142" s="24" t="s">
        <v>1367</v>
      </c>
      <c r="E1142" s="24" t="s">
        <v>6460</v>
      </c>
      <c r="F1142" s="7"/>
      <c r="G1142" s="4" t="s">
        <v>1888</v>
      </c>
      <c r="H1142" s="17">
        <v>0.4</v>
      </c>
      <c r="I1142" s="18">
        <v>710000000</v>
      </c>
      <c r="J1142" s="4" t="s">
        <v>1931</v>
      </c>
      <c r="K1142" s="4" t="s">
        <v>5706</v>
      </c>
      <c r="L1142" s="4" t="s">
        <v>1889</v>
      </c>
      <c r="M1142" s="8" t="s">
        <v>3195</v>
      </c>
      <c r="N1142" s="4" t="s">
        <v>1890</v>
      </c>
      <c r="O1142" s="16" t="s">
        <v>2146</v>
      </c>
      <c r="P1142" s="29">
        <v>839</v>
      </c>
      <c r="Q1142" s="4" t="s">
        <v>5413</v>
      </c>
      <c r="R1142" s="10">
        <v>16</v>
      </c>
      <c r="S1142" s="19">
        <v>5803.5</v>
      </c>
      <c r="T1142" s="10">
        <v>0</v>
      </c>
      <c r="U1142" s="10">
        <f t="shared" si="440"/>
        <v>0</v>
      </c>
      <c r="V1142" s="11" t="s">
        <v>3027</v>
      </c>
      <c r="W1142" s="11">
        <v>2015</v>
      </c>
      <c r="X1142" s="1">
        <v>6</v>
      </c>
    </row>
    <row r="1143" spans="1:24" ht="99.75" customHeight="1" outlineLevel="1" x14ac:dyDescent="0.2">
      <c r="A1143" s="1" t="s">
        <v>7382</v>
      </c>
      <c r="B1143" s="15" t="s">
        <v>5277</v>
      </c>
      <c r="C1143" s="7" t="s">
        <v>1366</v>
      </c>
      <c r="D1143" s="24" t="s">
        <v>1367</v>
      </c>
      <c r="E1143" s="24" t="s">
        <v>6460</v>
      </c>
      <c r="F1143" s="7" t="s">
        <v>7383</v>
      </c>
      <c r="G1143" s="4" t="s">
        <v>1888</v>
      </c>
      <c r="H1143" s="17">
        <v>0.4</v>
      </c>
      <c r="I1143" s="18">
        <v>710000000</v>
      </c>
      <c r="J1143" s="4" t="s">
        <v>1931</v>
      </c>
      <c r="K1143" s="4" t="s">
        <v>5706</v>
      </c>
      <c r="L1143" s="4" t="s">
        <v>1889</v>
      </c>
      <c r="M1143" s="8" t="s">
        <v>3195</v>
      </c>
      <c r="N1143" s="4" t="s">
        <v>1890</v>
      </c>
      <c r="O1143" s="16" t="s">
        <v>2146</v>
      </c>
      <c r="P1143" s="29">
        <v>839</v>
      </c>
      <c r="Q1143" s="4" t="s">
        <v>5413</v>
      </c>
      <c r="R1143" s="10">
        <v>16</v>
      </c>
      <c r="S1143" s="19">
        <v>5803.5</v>
      </c>
      <c r="T1143" s="10">
        <v>0</v>
      </c>
      <c r="U1143" s="10">
        <f t="shared" ref="U1143" si="443">T1143*1.12</f>
        <v>0</v>
      </c>
      <c r="V1143" s="11" t="s">
        <v>3027</v>
      </c>
      <c r="W1143" s="11">
        <v>2015</v>
      </c>
      <c r="X1143" s="1">
        <v>11</v>
      </c>
    </row>
    <row r="1144" spans="1:24" ht="99.75" customHeight="1" outlineLevel="1" x14ac:dyDescent="0.2">
      <c r="A1144" s="1" t="s">
        <v>8746</v>
      </c>
      <c r="B1144" s="15" t="s">
        <v>5277</v>
      </c>
      <c r="C1144" s="7" t="s">
        <v>1366</v>
      </c>
      <c r="D1144" s="24" t="s">
        <v>1367</v>
      </c>
      <c r="E1144" s="24" t="s">
        <v>6460</v>
      </c>
      <c r="F1144" s="7" t="s">
        <v>7383</v>
      </c>
      <c r="G1144" s="4" t="s">
        <v>1888</v>
      </c>
      <c r="H1144" s="17">
        <v>0.4</v>
      </c>
      <c r="I1144" s="18">
        <v>710000000</v>
      </c>
      <c r="J1144" s="4" t="s">
        <v>1931</v>
      </c>
      <c r="K1144" s="4" t="s">
        <v>6167</v>
      </c>
      <c r="L1144" s="4" t="s">
        <v>1889</v>
      </c>
      <c r="M1144" s="8" t="s">
        <v>3195</v>
      </c>
      <c r="N1144" s="4" t="s">
        <v>1890</v>
      </c>
      <c r="O1144" s="16" t="s">
        <v>2146</v>
      </c>
      <c r="P1144" s="29">
        <v>839</v>
      </c>
      <c r="Q1144" s="4" t="s">
        <v>5413</v>
      </c>
      <c r="R1144" s="10">
        <v>16</v>
      </c>
      <c r="S1144" s="19">
        <v>5803.5</v>
      </c>
      <c r="T1144" s="10">
        <v>0</v>
      </c>
      <c r="U1144" s="10">
        <f t="shared" ref="U1144" si="444">T1144*1.12</f>
        <v>0</v>
      </c>
      <c r="V1144" s="11" t="s">
        <v>3027</v>
      </c>
      <c r="W1144" s="11">
        <v>2015</v>
      </c>
      <c r="X1144" s="1">
        <v>11.22</v>
      </c>
    </row>
    <row r="1145" spans="1:24" ht="99.75" customHeight="1" outlineLevel="1" x14ac:dyDescent="0.2">
      <c r="A1145" s="1" t="s">
        <v>9007</v>
      </c>
      <c r="B1145" s="15" t="s">
        <v>5277</v>
      </c>
      <c r="C1145" s="7" t="s">
        <v>1366</v>
      </c>
      <c r="D1145" s="24" t="s">
        <v>1367</v>
      </c>
      <c r="E1145" s="24" t="s">
        <v>6460</v>
      </c>
      <c r="F1145" s="7" t="s">
        <v>7383</v>
      </c>
      <c r="G1145" s="4" t="s">
        <v>1888</v>
      </c>
      <c r="H1145" s="17">
        <v>0.4</v>
      </c>
      <c r="I1145" s="18">
        <v>710000000</v>
      </c>
      <c r="J1145" s="4" t="s">
        <v>1931</v>
      </c>
      <c r="K1145" s="4" t="s">
        <v>8982</v>
      </c>
      <c r="L1145" s="4" t="s">
        <v>1889</v>
      </c>
      <c r="M1145" s="8" t="s">
        <v>3195</v>
      </c>
      <c r="N1145" s="4" t="s">
        <v>1890</v>
      </c>
      <c r="O1145" s="16" t="s">
        <v>2146</v>
      </c>
      <c r="P1145" s="29">
        <v>839</v>
      </c>
      <c r="Q1145" s="4" t="s">
        <v>5413</v>
      </c>
      <c r="R1145" s="10">
        <v>16</v>
      </c>
      <c r="S1145" s="19">
        <v>5803.5</v>
      </c>
      <c r="T1145" s="10">
        <f t="shared" ref="T1145" si="445">S1145*R1145</f>
        <v>92856</v>
      </c>
      <c r="U1145" s="10">
        <f t="shared" ref="U1145" si="446">T1145*1.12</f>
        <v>103998.72000000002</v>
      </c>
      <c r="V1145" s="11"/>
      <c r="W1145" s="11">
        <v>2015</v>
      </c>
      <c r="X1145" s="20"/>
    </row>
    <row r="1146" spans="1:24" ht="76.5" customHeight="1" outlineLevel="1" x14ac:dyDescent="0.2">
      <c r="A1146" s="1" t="s">
        <v>5025</v>
      </c>
      <c r="B1146" s="15" t="s">
        <v>5277</v>
      </c>
      <c r="C1146" s="7" t="s">
        <v>1368</v>
      </c>
      <c r="D1146" s="7" t="s">
        <v>1369</v>
      </c>
      <c r="E1146" s="7" t="s">
        <v>1370</v>
      </c>
      <c r="F1146" s="7"/>
      <c r="G1146" s="4" t="s">
        <v>1888</v>
      </c>
      <c r="H1146" s="17">
        <v>0.4</v>
      </c>
      <c r="I1146" s="18">
        <v>710000000</v>
      </c>
      <c r="J1146" s="4" t="s">
        <v>1931</v>
      </c>
      <c r="K1146" s="4" t="s">
        <v>5706</v>
      </c>
      <c r="L1146" s="4" t="s">
        <v>1889</v>
      </c>
      <c r="M1146" s="8" t="s">
        <v>3195</v>
      </c>
      <c r="N1146" s="4" t="s">
        <v>1890</v>
      </c>
      <c r="O1146" s="16" t="s">
        <v>2146</v>
      </c>
      <c r="P1146" s="29">
        <v>839</v>
      </c>
      <c r="Q1146" s="4" t="s">
        <v>5413</v>
      </c>
      <c r="R1146" s="10">
        <v>123</v>
      </c>
      <c r="S1146" s="19">
        <v>4928.67</v>
      </c>
      <c r="T1146" s="10">
        <v>0</v>
      </c>
      <c r="U1146" s="10">
        <f t="shared" si="440"/>
        <v>0</v>
      </c>
      <c r="V1146" s="11" t="s">
        <v>3027</v>
      </c>
      <c r="W1146" s="11">
        <v>2015</v>
      </c>
      <c r="X1146" s="1" t="s">
        <v>6565</v>
      </c>
    </row>
    <row r="1147" spans="1:24" ht="76.5" customHeight="1" outlineLevel="1" x14ac:dyDescent="0.2">
      <c r="A1147" s="1" t="s">
        <v>5026</v>
      </c>
      <c r="B1147" s="15" t="s">
        <v>5277</v>
      </c>
      <c r="C1147" s="7" t="s">
        <v>4134</v>
      </c>
      <c r="D1147" s="7" t="s">
        <v>5733</v>
      </c>
      <c r="E1147" s="7" t="s">
        <v>5734</v>
      </c>
      <c r="F1147" s="1"/>
      <c r="G1147" s="4" t="s">
        <v>1888</v>
      </c>
      <c r="H1147" s="17">
        <v>0.4</v>
      </c>
      <c r="I1147" s="18">
        <v>710000000</v>
      </c>
      <c r="J1147" s="4" t="s">
        <v>1931</v>
      </c>
      <c r="K1147" s="4" t="s">
        <v>5706</v>
      </c>
      <c r="L1147" s="4" t="s">
        <v>1889</v>
      </c>
      <c r="M1147" s="8" t="s">
        <v>3195</v>
      </c>
      <c r="N1147" s="4" t="s">
        <v>1890</v>
      </c>
      <c r="O1147" s="16" t="s">
        <v>2146</v>
      </c>
      <c r="P1147" s="8">
        <v>796</v>
      </c>
      <c r="Q1147" s="8" t="s">
        <v>3196</v>
      </c>
      <c r="R1147" s="10">
        <v>5</v>
      </c>
      <c r="S1147" s="19">
        <v>3571.25</v>
      </c>
      <c r="T1147" s="10">
        <v>0</v>
      </c>
      <c r="U1147" s="10">
        <f t="shared" si="440"/>
        <v>0</v>
      </c>
      <c r="V1147" s="11" t="s">
        <v>3027</v>
      </c>
      <c r="W1147" s="11">
        <v>2015</v>
      </c>
      <c r="X1147" s="1">
        <v>6</v>
      </c>
    </row>
    <row r="1148" spans="1:24" ht="76.5" customHeight="1" outlineLevel="1" x14ac:dyDescent="0.2">
      <c r="A1148" s="1" t="s">
        <v>7384</v>
      </c>
      <c r="B1148" s="15" t="s">
        <v>5277</v>
      </c>
      <c r="C1148" s="7" t="s">
        <v>4134</v>
      </c>
      <c r="D1148" s="7" t="s">
        <v>5733</v>
      </c>
      <c r="E1148" s="7" t="s">
        <v>5734</v>
      </c>
      <c r="F1148" s="7" t="s">
        <v>7386</v>
      </c>
      <c r="G1148" s="4" t="s">
        <v>1888</v>
      </c>
      <c r="H1148" s="17">
        <v>0.4</v>
      </c>
      <c r="I1148" s="18">
        <v>710000000</v>
      </c>
      <c r="J1148" s="4" t="s">
        <v>1931</v>
      </c>
      <c r="K1148" s="4" t="s">
        <v>5706</v>
      </c>
      <c r="L1148" s="4" t="s">
        <v>1889</v>
      </c>
      <c r="M1148" s="8" t="s">
        <v>3195</v>
      </c>
      <c r="N1148" s="4" t="s">
        <v>1890</v>
      </c>
      <c r="O1148" s="16" t="s">
        <v>2146</v>
      </c>
      <c r="P1148" s="8">
        <v>796</v>
      </c>
      <c r="Q1148" s="8" t="s">
        <v>3196</v>
      </c>
      <c r="R1148" s="10">
        <v>5</v>
      </c>
      <c r="S1148" s="19">
        <v>3571.25</v>
      </c>
      <c r="T1148" s="10">
        <v>0</v>
      </c>
      <c r="U1148" s="10">
        <f t="shared" ref="U1148" si="447">T1148*1.12</f>
        <v>0</v>
      </c>
      <c r="V1148" s="11" t="s">
        <v>3027</v>
      </c>
      <c r="W1148" s="11">
        <v>2015</v>
      </c>
      <c r="X1148" s="1">
        <v>11</v>
      </c>
    </row>
    <row r="1149" spans="1:24" ht="76.5" customHeight="1" outlineLevel="1" x14ac:dyDescent="0.2">
      <c r="A1149" s="1" t="s">
        <v>8747</v>
      </c>
      <c r="B1149" s="15" t="s">
        <v>5277</v>
      </c>
      <c r="C1149" s="7" t="s">
        <v>4134</v>
      </c>
      <c r="D1149" s="7" t="s">
        <v>5733</v>
      </c>
      <c r="E1149" s="7" t="s">
        <v>5734</v>
      </c>
      <c r="F1149" s="7" t="s">
        <v>7386</v>
      </c>
      <c r="G1149" s="4" t="s">
        <v>1888</v>
      </c>
      <c r="H1149" s="17">
        <v>0.4</v>
      </c>
      <c r="I1149" s="18">
        <v>710000000</v>
      </c>
      <c r="J1149" s="4" t="s">
        <v>1931</v>
      </c>
      <c r="K1149" s="4" t="s">
        <v>6167</v>
      </c>
      <c r="L1149" s="4" t="s">
        <v>1889</v>
      </c>
      <c r="M1149" s="8" t="s">
        <v>3195</v>
      </c>
      <c r="N1149" s="4" t="s">
        <v>1890</v>
      </c>
      <c r="O1149" s="16" t="s">
        <v>2146</v>
      </c>
      <c r="P1149" s="8">
        <v>796</v>
      </c>
      <c r="Q1149" s="8" t="s">
        <v>3196</v>
      </c>
      <c r="R1149" s="10">
        <v>5</v>
      </c>
      <c r="S1149" s="19">
        <v>3571.25</v>
      </c>
      <c r="T1149" s="10">
        <v>0</v>
      </c>
      <c r="U1149" s="10">
        <f t="shared" ref="U1149" si="448">T1149*1.12</f>
        <v>0</v>
      </c>
      <c r="V1149" s="11" t="s">
        <v>3027</v>
      </c>
      <c r="W1149" s="11">
        <v>2015</v>
      </c>
      <c r="X1149" s="1">
        <v>11.22</v>
      </c>
    </row>
    <row r="1150" spans="1:24" ht="76.5" customHeight="1" outlineLevel="1" x14ac:dyDescent="0.2">
      <c r="A1150" s="1" t="s">
        <v>9008</v>
      </c>
      <c r="B1150" s="15" t="s">
        <v>5277</v>
      </c>
      <c r="C1150" s="7" t="s">
        <v>4134</v>
      </c>
      <c r="D1150" s="7" t="s">
        <v>5733</v>
      </c>
      <c r="E1150" s="7" t="s">
        <v>5734</v>
      </c>
      <c r="F1150" s="7" t="s">
        <v>7386</v>
      </c>
      <c r="G1150" s="4" t="s">
        <v>1888</v>
      </c>
      <c r="H1150" s="17">
        <v>0.4</v>
      </c>
      <c r="I1150" s="18">
        <v>710000000</v>
      </c>
      <c r="J1150" s="4" t="s">
        <v>1931</v>
      </c>
      <c r="K1150" s="4" t="s">
        <v>8982</v>
      </c>
      <c r="L1150" s="4" t="s">
        <v>1889</v>
      </c>
      <c r="M1150" s="8" t="s">
        <v>3195</v>
      </c>
      <c r="N1150" s="4" t="s">
        <v>1890</v>
      </c>
      <c r="O1150" s="16" t="s">
        <v>2146</v>
      </c>
      <c r="P1150" s="8">
        <v>796</v>
      </c>
      <c r="Q1150" s="8" t="s">
        <v>3196</v>
      </c>
      <c r="R1150" s="10">
        <v>5</v>
      </c>
      <c r="S1150" s="19">
        <v>3571.25</v>
      </c>
      <c r="T1150" s="10">
        <f t="shared" ref="T1150" si="449">S1150*R1150</f>
        <v>17856.25</v>
      </c>
      <c r="U1150" s="10">
        <f t="shared" ref="U1150" si="450">T1150*1.12</f>
        <v>19999.000000000004</v>
      </c>
      <c r="V1150" s="11"/>
      <c r="W1150" s="11">
        <v>2015</v>
      </c>
      <c r="X1150" s="20"/>
    </row>
    <row r="1151" spans="1:24" ht="76.5" customHeight="1" outlineLevel="1" x14ac:dyDescent="0.2">
      <c r="A1151" s="1" t="s">
        <v>5027</v>
      </c>
      <c r="B1151" s="15" t="s">
        <v>5277</v>
      </c>
      <c r="C1151" s="7" t="s">
        <v>4135</v>
      </c>
      <c r="D1151" s="7" t="s">
        <v>5733</v>
      </c>
      <c r="E1151" s="7" t="s">
        <v>5735</v>
      </c>
      <c r="F1151" s="30"/>
      <c r="G1151" s="4" t="s">
        <v>1888</v>
      </c>
      <c r="H1151" s="17">
        <v>0.4</v>
      </c>
      <c r="I1151" s="18">
        <v>710000000</v>
      </c>
      <c r="J1151" s="4" t="s">
        <v>1931</v>
      </c>
      <c r="K1151" s="4" t="s">
        <v>5706</v>
      </c>
      <c r="L1151" s="4" t="s">
        <v>1889</v>
      </c>
      <c r="M1151" s="8" t="s">
        <v>3195</v>
      </c>
      <c r="N1151" s="4" t="s">
        <v>1890</v>
      </c>
      <c r="O1151" s="16" t="s">
        <v>2146</v>
      </c>
      <c r="P1151" s="8">
        <v>796</v>
      </c>
      <c r="Q1151" s="8" t="s">
        <v>3196</v>
      </c>
      <c r="R1151" s="10">
        <v>5</v>
      </c>
      <c r="S1151" s="19">
        <v>3571.25</v>
      </c>
      <c r="T1151" s="10">
        <v>0</v>
      </c>
      <c r="U1151" s="10">
        <f t="shared" si="440"/>
        <v>0</v>
      </c>
      <c r="V1151" s="11" t="s">
        <v>3027</v>
      </c>
      <c r="W1151" s="11">
        <v>2015</v>
      </c>
      <c r="X1151" s="1">
        <v>6</v>
      </c>
    </row>
    <row r="1152" spans="1:24" ht="76.5" customHeight="1" outlineLevel="1" x14ac:dyDescent="0.2">
      <c r="A1152" s="1" t="s">
        <v>7387</v>
      </c>
      <c r="B1152" s="15" t="s">
        <v>5277</v>
      </c>
      <c r="C1152" s="7" t="s">
        <v>4135</v>
      </c>
      <c r="D1152" s="7" t="s">
        <v>5733</v>
      </c>
      <c r="E1152" s="7" t="s">
        <v>5735</v>
      </c>
      <c r="F1152" s="7" t="s">
        <v>7391</v>
      </c>
      <c r="G1152" s="4" t="s">
        <v>1888</v>
      </c>
      <c r="H1152" s="17">
        <v>0.4</v>
      </c>
      <c r="I1152" s="18">
        <v>710000000</v>
      </c>
      <c r="J1152" s="4" t="s">
        <v>1931</v>
      </c>
      <c r="K1152" s="4" t="s">
        <v>5706</v>
      </c>
      <c r="L1152" s="4" t="s">
        <v>1889</v>
      </c>
      <c r="M1152" s="8" t="s">
        <v>3195</v>
      </c>
      <c r="N1152" s="4" t="s">
        <v>1890</v>
      </c>
      <c r="O1152" s="16" t="s">
        <v>2146</v>
      </c>
      <c r="P1152" s="8">
        <v>796</v>
      </c>
      <c r="Q1152" s="8" t="s">
        <v>3196</v>
      </c>
      <c r="R1152" s="10">
        <v>5</v>
      </c>
      <c r="S1152" s="19">
        <v>3571.25</v>
      </c>
      <c r="T1152" s="10">
        <v>0</v>
      </c>
      <c r="U1152" s="10">
        <f t="shared" ref="U1152" si="451">T1152*1.12</f>
        <v>0</v>
      </c>
      <c r="V1152" s="11" t="s">
        <v>3027</v>
      </c>
      <c r="W1152" s="11">
        <v>2015</v>
      </c>
      <c r="X1152" s="1">
        <v>11</v>
      </c>
    </row>
    <row r="1153" spans="1:24" ht="76.5" customHeight="1" outlineLevel="1" x14ac:dyDescent="0.2">
      <c r="A1153" s="1" t="s">
        <v>8748</v>
      </c>
      <c r="B1153" s="15" t="s">
        <v>5277</v>
      </c>
      <c r="C1153" s="7" t="s">
        <v>4135</v>
      </c>
      <c r="D1153" s="7" t="s">
        <v>5733</v>
      </c>
      <c r="E1153" s="7" t="s">
        <v>5735</v>
      </c>
      <c r="F1153" s="7" t="s">
        <v>7391</v>
      </c>
      <c r="G1153" s="4" t="s">
        <v>1888</v>
      </c>
      <c r="H1153" s="17">
        <v>0.4</v>
      </c>
      <c r="I1153" s="18">
        <v>710000000</v>
      </c>
      <c r="J1153" s="4" t="s">
        <v>1931</v>
      </c>
      <c r="K1153" s="4" t="s">
        <v>6167</v>
      </c>
      <c r="L1153" s="4" t="s">
        <v>1889</v>
      </c>
      <c r="M1153" s="8" t="s">
        <v>3195</v>
      </c>
      <c r="N1153" s="4" t="s">
        <v>1890</v>
      </c>
      <c r="O1153" s="16" t="s">
        <v>2146</v>
      </c>
      <c r="P1153" s="8">
        <v>796</v>
      </c>
      <c r="Q1153" s="8" t="s">
        <v>3196</v>
      </c>
      <c r="R1153" s="10">
        <v>5</v>
      </c>
      <c r="S1153" s="19">
        <v>3571.25</v>
      </c>
      <c r="T1153" s="10">
        <v>0</v>
      </c>
      <c r="U1153" s="10">
        <f t="shared" ref="U1153" si="452">T1153*1.12</f>
        <v>0</v>
      </c>
      <c r="V1153" s="11" t="s">
        <v>3027</v>
      </c>
      <c r="W1153" s="11">
        <v>2015</v>
      </c>
      <c r="X1153" s="1">
        <v>11.22</v>
      </c>
    </row>
    <row r="1154" spans="1:24" ht="76.5" customHeight="1" outlineLevel="1" x14ac:dyDescent="0.2">
      <c r="A1154" s="1" t="s">
        <v>9009</v>
      </c>
      <c r="B1154" s="15" t="s">
        <v>5277</v>
      </c>
      <c r="C1154" s="7" t="s">
        <v>4135</v>
      </c>
      <c r="D1154" s="7" t="s">
        <v>5733</v>
      </c>
      <c r="E1154" s="7" t="s">
        <v>5735</v>
      </c>
      <c r="F1154" s="7" t="s">
        <v>7391</v>
      </c>
      <c r="G1154" s="4" t="s">
        <v>1888</v>
      </c>
      <c r="H1154" s="17">
        <v>0.4</v>
      </c>
      <c r="I1154" s="18">
        <v>710000000</v>
      </c>
      <c r="J1154" s="4" t="s">
        <v>1931</v>
      </c>
      <c r="K1154" s="4" t="s">
        <v>8982</v>
      </c>
      <c r="L1154" s="4" t="s">
        <v>1889</v>
      </c>
      <c r="M1154" s="8" t="s">
        <v>3195</v>
      </c>
      <c r="N1154" s="4" t="s">
        <v>1890</v>
      </c>
      <c r="O1154" s="16" t="s">
        <v>2146</v>
      </c>
      <c r="P1154" s="8">
        <v>796</v>
      </c>
      <c r="Q1154" s="8" t="s">
        <v>3196</v>
      </c>
      <c r="R1154" s="10">
        <v>5</v>
      </c>
      <c r="S1154" s="19">
        <v>3571.25</v>
      </c>
      <c r="T1154" s="10">
        <f t="shared" ref="T1154" si="453">S1154*R1154</f>
        <v>17856.25</v>
      </c>
      <c r="U1154" s="10">
        <f t="shared" ref="U1154" si="454">T1154*1.12</f>
        <v>19999.000000000004</v>
      </c>
      <c r="V1154" s="11"/>
      <c r="W1154" s="11">
        <v>2015</v>
      </c>
      <c r="X1154" s="20"/>
    </row>
    <row r="1155" spans="1:24" ht="76.5" customHeight="1" outlineLevel="1" x14ac:dyDescent="0.2">
      <c r="A1155" s="1" t="s">
        <v>5028</v>
      </c>
      <c r="B1155" s="15" t="s">
        <v>5277</v>
      </c>
      <c r="C1155" s="7" t="s">
        <v>4136</v>
      </c>
      <c r="D1155" s="7" t="s">
        <v>3787</v>
      </c>
      <c r="E1155" s="7" t="s">
        <v>5736</v>
      </c>
      <c r="F1155" s="30"/>
      <c r="G1155" s="4" t="s">
        <v>1888</v>
      </c>
      <c r="H1155" s="17">
        <v>0.4</v>
      </c>
      <c r="I1155" s="18">
        <v>710000000</v>
      </c>
      <c r="J1155" s="4" t="s">
        <v>1931</v>
      </c>
      <c r="K1155" s="4" t="s">
        <v>5706</v>
      </c>
      <c r="L1155" s="4" t="s">
        <v>1889</v>
      </c>
      <c r="M1155" s="8" t="s">
        <v>3195</v>
      </c>
      <c r="N1155" s="4" t="s">
        <v>1890</v>
      </c>
      <c r="O1155" s="16" t="s">
        <v>2146</v>
      </c>
      <c r="P1155" s="8">
        <v>796</v>
      </c>
      <c r="Q1155" s="8" t="s">
        <v>3196</v>
      </c>
      <c r="R1155" s="10">
        <v>5</v>
      </c>
      <c r="S1155" s="19">
        <v>2678.7</v>
      </c>
      <c r="T1155" s="10">
        <v>0</v>
      </c>
      <c r="U1155" s="10">
        <f t="shared" si="440"/>
        <v>0</v>
      </c>
      <c r="V1155" s="11" t="s">
        <v>3027</v>
      </c>
      <c r="W1155" s="11">
        <v>2015</v>
      </c>
      <c r="X1155" s="1">
        <v>6</v>
      </c>
    </row>
    <row r="1156" spans="1:24" ht="76.5" customHeight="1" outlineLevel="1" x14ac:dyDescent="0.2">
      <c r="A1156" s="1" t="s">
        <v>7388</v>
      </c>
      <c r="B1156" s="15" t="s">
        <v>5277</v>
      </c>
      <c r="C1156" s="7" t="s">
        <v>4136</v>
      </c>
      <c r="D1156" s="7" t="s">
        <v>3787</v>
      </c>
      <c r="E1156" s="7" t="s">
        <v>5736</v>
      </c>
      <c r="F1156" s="7" t="s">
        <v>7389</v>
      </c>
      <c r="G1156" s="4" t="s">
        <v>1888</v>
      </c>
      <c r="H1156" s="17">
        <v>0.4</v>
      </c>
      <c r="I1156" s="18">
        <v>710000000</v>
      </c>
      <c r="J1156" s="4" t="s">
        <v>1931</v>
      </c>
      <c r="K1156" s="4" t="s">
        <v>5706</v>
      </c>
      <c r="L1156" s="4" t="s">
        <v>1889</v>
      </c>
      <c r="M1156" s="8" t="s">
        <v>3195</v>
      </c>
      <c r="N1156" s="4" t="s">
        <v>1890</v>
      </c>
      <c r="O1156" s="16" t="s">
        <v>2146</v>
      </c>
      <c r="P1156" s="8">
        <v>796</v>
      </c>
      <c r="Q1156" s="8" t="s">
        <v>3196</v>
      </c>
      <c r="R1156" s="10">
        <v>5</v>
      </c>
      <c r="S1156" s="19">
        <v>2678.7</v>
      </c>
      <c r="T1156" s="10">
        <v>0</v>
      </c>
      <c r="U1156" s="10">
        <f t="shared" ref="U1156" si="455">T1156*1.12</f>
        <v>0</v>
      </c>
      <c r="V1156" s="11" t="s">
        <v>3027</v>
      </c>
      <c r="W1156" s="11">
        <v>2015</v>
      </c>
      <c r="X1156" s="1">
        <v>11</v>
      </c>
    </row>
    <row r="1157" spans="1:24" ht="76.5" customHeight="1" outlineLevel="1" x14ac:dyDescent="0.2">
      <c r="A1157" s="1" t="s">
        <v>8749</v>
      </c>
      <c r="B1157" s="15" t="s">
        <v>5277</v>
      </c>
      <c r="C1157" s="7" t="s">
        <v>4136</v>
      </c>
      <c r="D1157" s="7" t="s">
        <v>3787</v>
      </c>
      <c r="E1157" s="7" t="s">
        <v>5736</v>
      </c>
      <c r="F1157" s="7" t="s">
        <v>7389</v>
      </c>
      <c r="G1157" s="4" t="s">
        <v>1888</v>
      </c>
      <c r="H1157" s="17">
        <v>0.4</v>
      </c>
      <c r="I1157" s="18">
        <v>710000000</v>
      </c>
      <c r="J1157" s="4" t="s">
        <v>1931</v>
      </c>
      <c r="K1157" s="4" t="s">
        <v>6167</v>
      </c>
      <c r="L1157" s="4" t="s">
        <v>1889</v>
      </c>
      <c r="M1157" s="8" t="s">
        <v>3195</v>
      </c>
      <c r="N1157" s="4" t="s">
        <v>1890</v>
      </c>
      <c r="O1157" s="16" t="s">
        <v>2146</v>
      </c>
      <c r="P1157" s="8">
        <v>796</v>
      </c>
      <c r="Q1157" s="8" t="s">
        <v>3196</v>
      </c>
      <c r="R1157" s="10">
        <v>5</v>
      </c>
      <c r="S1157" s="19">
        <v>2678.7</v>
      </c>
      <c r="T1157" s="10">
        <v>0</v>
      </c>
      <c r="U1157" s="10">
        <f t="shared" ref="U1157" si="456">T1157*1.12</f>
        <v>0</v>
      </c>
      <c r="V1157" s="11" t="s">
        <v>3027</v>
      </c>
      <c r="W1157" s="11">
        <v>2015</v>
      </c>
      <c r="X1157" s="1">
        <v>11.22</v>
      </c>
    </row>
    <row r="1158" spans="1:24" ht="76.5" customHeight="1" outlineLevel="1" x14ac:dyDescent="0.2">
      <c r="A1158" s="1" t="s">
        <v>9010</v>
      </c>
      <c r="B1158" s="15" t="s">
        <v>5277</v>
      </c>
      <c r="C1158" s="7" t="s">
        <v>4136</v>
      </c>
      <c r="D1158" s="7" t="s">
        <v>3787</v>
      </c>
      <c r="E1158" s="7" t="s">
        <v>5736</v>
      </c>
      <c r="F1158" s="7" t="s">
        <v>7389</v>
      </c>
      <c r="G1158" s="4" t="s">
        <v>1888</v>
      </c>
      <c r="H1158" s="17">
        <v>0.4</v>
      </c>
      <c r="I1158" s="18">
        <v>710000000</v>
      </c>
      <c r="J1158" s="4" t="s">
        <v>1931</v>
      </c>
      <c r="K1158" s="4" t="s">
        <v>8982</v>
      </c>
      <c r="L1158" s="4" t="s">
        <v>1889</v>
      </c>
      <c r="M1158" s="8" t="s">
        <v>3195</v>
      </c>
      <c r="N1158" s="4" t="s">
        <v>1890</v>
      </c>
      <c r="O1158" s="16" t="s">
        <v>2146</v>
      </c>
      <c r="P1158" s="8">
        <v>796</v>
      </c>
      <c r="Q1158" s="8" t="s">
        <v>3196</v>
      </c>
      <c r="R1158" s="10">
        <v>5</v>
      </c>
      <c r="S1158" s="19">
        <v>2678.7</v>
      </c>
      <c r="T1158" s="10">
        <f t="shared" ref="T1158" si="457">S1158*R1158</f>
        <v>13393.5</v>
      </c>
      <c r="U1158" s="10">
        <f t="shared" ref="U1158" si="458">T1158*1.12</f>
        <v>15000.720000000001</v>
      </c>
      <c r="V1158" s="11"/>
      <c r="W1158" s="11">
        <v>2015</v>
      </c>
      <c r="X1158" s="20"/>
    </row>
    <row r="1159" spans="1:24" ht="76.5" customHeight="1" outlineLevel="1" x14ac:dyDescent="0.2">
      <c r="A1159" s="1" t="s">
        <v>5029</v>
      </c>
      <c r="B1159" s="15" t="s">
        <v>5277</v>
      </c>
      <c r="C1159" s="7" t="s">
        <v>4137</v>
      </c>
      <c r="D1159" s="7" t="s">
        <v>3787</v>
      </c>
      <c r="E1159" s="7" t="s">
        <v>5737</v>
      </c>
      <c r="F1159" s="30"/>
      <c r="G1159" s="4" t="s">
        <v>1888</v>
      </c>
      <c r="H1159" s="17">
        <v>0.4</v>
      </c>
      <c r="I1159" s="18">
        <v>710000000</v>
      </c>
      <c r="J1159" s="4" t="s">
        <v>1931</v>
      </c>
      <c r="K1159" s="4" t="s">
        <v>5706</v>
      </c>
      <c r="L1159" s="4" t="s">
        <v>1889</v>
      </c>
      <c r="M1159" s="8" t="s">
        <v>3195</v>
      </c>
      <c r="N1159" s="4" t="s">
        <v>1890</v>
      </c>
      <c r="O1159" s="16" t="s">
        <v>2146</v>
      </c>
      <c r="P1159" s="8">
        <v>796</v>
      </c>
      <c r="Q1159" s="8" t="s">
        <v>3196</v>
      </c>
      <c r="R1159" s="10">
        <v>5</v>
      </c>
      <c r="S1159" s="19">
        <v>2678.7</v>
      </c>
      <c r="T1159" s="10">
        <v>0</v>
      </c>
      <c r="U1159" s="10">
        <f t="shared" si="440"/>
        <v>0</v>
      </c>
      <c r="V1159" s="11" t="s">
        <v>3027</v>
      </c>
      <c r="W1159" s="11">
        <v>2015</v>
      </c>
      <c r="X1159" s="1">
        <v>6</v>
      </c>
    </row>
    <row r="1160" spans="1:24" ht="76.5" customHeight="1" outlineLevel="1" x14ac:dyDescent="0.2">
      <c r="A1160" s="1" t="s">
        <v>7390</v>
      </c>
      <c r="B1160" s="15" t="s">
        <v>5277</v>
      </c>
      <c r="C1160" s="7" t="s">
        <v>4137</v>
      </c>
      <c r="D1160" s="7" t="s">
        <v>3787</v>
      </c>
      <c r="E1160" s="7" t="s">
        <v>5737</v>
      </c>
      <c r="F1160" s="7" t="s">
        <v>7389</v>
      </c>
      <c r="G1160" s="4" t="s">
        <v>1888</v>
      </c>
      <c r="H1160" s="17">
        <v>0.4</v>
      </c>
      <c r="I1160" s="18">
        <v>710000000</v>
      </c>
      <c r="J1160" s="4" t="s">
        <v>1931</v>
      </c>
      <c r="K1160" s="4" t="s">
        <v>5706</v>
      </c>
      <c r="L1160" s="4" t="s">
        <v>1889</v>
      </c>
      <c r="M1160" s="8" t="s">
        <v>3195</v>
      </c>
      <c r="N1160" s="4" t="s">
        <v>1890</v>
      </c>
      <c r="O1160" s="16" t="s">
        <v>2146</v>
      </c>
      <c r="P1160" s="8">
        <v>796</v>
      </c>
      <c r="Q1160" s="8" t="s">
        <v>3196</v>
      </c>
      <c r="R1160" s="10">
        <v>5</v>
      </c>
      <c r="S1160" s="19">
        <v>2678.7</v>
      </c>
      <c r="T1160" s="10">
        <v>0</v>
      </c>
      <c r="U1160" s="10">
        <f t="shared" ref="U1160" si="459">T1160*1.12</f>
        <v>0</v>
      </c>
      <c r="V1160" s="11" t="s">
        <v>3027</v>
      </c>
      <c r="W1160" s="11">
        <v>2015</v>
      </c>
      <c r="X1160" s="1">
        <v>11</v>
      </c>
    </row>
    <row r="1161" spans="1:24" ht="76.5" customHeight="1" outlineLevel="1" x14ac:dyDescent="0.2">
      <c r="A1161" s="1" t="s">
        <v>8750</v>
      </c>
      <c r="B1161" s="15" t="s">
        <v>5277</v>
      </c>
      <c r="C1161" s="7" t="s">
        <v>4137</v>
      </c>
      <c r="D1161" s="7" t="s">
        <v>3787</v>
      </c>
      <c r="E1161" s="7" t="s">
        <v>5737</v>
      </c>
      <c r="F1161" s="7" t="s">
        <v>7389</v>
      </c>
      <c r="G1161" s="4" t="s">
        <v>1888</v>
      </c>
      <c r="H1161" s="17">
        <v>0.4</v>
      </c>
      <c r="I1161" s="18">
        <v>710000000</v>
      </c>
      <c r="J1161" s="4" t="s">
        <v>1931</v>
      </c>
      <c r="K1161" s="4" t="s">
        <v>6167</v>
      </c>
      <c r="L1161" s="4" t="s">
        <v>1889</v>
      </c>
      <c r="M1161" s="8" t="s">
        <v>3195</v>
      </c>
      <c r="N1161" s="4" t="s">
        <v>1890</v>
      </c>
      <c r="O1161" s="16" t="s">
        <v>2146</v>
      </c>
      <c r="P1161" s="8">
        <v>796</v>
      </c>
      <c r="Q1161" s="8" t="s">
        <v>3196</v>
      </c>
      <c r="R1161" s="10">
        <v>5</v>
      </c>
      <c r="S1161" s="19">
        <v>2678.7</v>
      </c>
      <c r="T1161" s="10">
        <v>0</v>
      </c>
      <c r="U1161" s="10">
        <f t="shared" ref="U1161" si="460">T1161*1.12</f>
        <v>0</v>
      </c>
      <c r="V1161" s="11" t="s">
        <v>3027</v>
      </c>
      <c r="W1161" s="11">
        <v>2015</v>
      </c>
      <c r="X1161" s="1">
        <v>11.22</v>
      </c>
    </row>
    <row r="1162" spans="1:24" ht="76.5" customHeight="1" outlineLevel="1" x14ac:dyDescent="0.2">
      <c r="A1162" s="1" t="s">
        <v>9011</v>
      </c>
      <c r="B1162" s="15" t="s">
        <v>5277</v>
      </c>
      <c r="C1162" s="7" t="s">
        <v>4137</v>
      </c>
      <c r="D1162" s="7" t="s">
        <v>3787</v>
      </c>
      <c r="E1162" s="7" t="s">
        <v>5737</v>
      </c>
      <c r="F1162" s="7" t="s">
        <v>7389</v>
      </c>
      <c r="G1162" s="4" t="s">
        <v>1888</v>
      </c>
      <c r="H1162" s="17">
        <v>0.4</v>
      </c>
      <c r="I1162" s="18">
        <v>710000000</v>
      </c>
      <c r="J1162" s="4" t="s">
        <v>1931</v>
      </c>
      <c r="K1162" s="4" t="s">
        <v>8982</v>
      </c>
      <c r="L1162" s="4" t="s">
        <v>1889</v>
      </c>
      <c r="M1162" s="8" t="s">
        <v>3195</v>
      </c>
      <c r="N1162" s="4" t="s">
        <v>1890</v>
      </c>
      <c r="O1162" s="16" t="s">
        <v>2146</v>
      </c>
      <c r="P1162" s="8">
        <v>796</v>
      </c>
      <c r="Q1162" s="8" t="s">
        <v>3196</v>
      </c>
      <c r="R1162" s="10">
        <v>5</v>
      </c>
      <c r="S1162" s="19">
        <v>2678.7</v>
      </c>
      <c r="T1162" s="10">
        <f t="shared" ref="T1162" si="461">S1162*R1162</f>
        <v>13393.5</v>
      </c>
      <c r="U1162" s="10">
        <f t="shared" ref="U1162" si="462">T1162*1.12</f>
        <v>15000.720000000001</v>
      </c>
      <c r="V1162" s="11"/>
      <c r="W1162" s="11">
        <v>2015</v>
      </c>
      <c r="X1162" s="20"/>
    </row>
    <row r="1163" spans="1:24" ht="105" customHeight="1" outlineLevel="1" x14ac:dyDescent="0.2">
      <c r="A1163" s="1" t="s">
        <v>5030</v>
      </c>
      <c r="B1163" s="15" t="s">
        <v>5277</v>
      </c>
      <c r="C1163" s="4" t="s">
        <v>6461</v>
      </c>
      <c r="D1163" s="4" t="s">
        <v>6462</v>
      </c>
      <c r="E1163" s="4" t="s">
        <v>6463</v>
      </c>
      <c r="F1163" s="1"/>
      <c r="G1163" s="4" t="s">
        <v>1888</v>
      </c>
      <c r="H1163" s="17">
        <v>0.4</v>
      </c>
      <c r="I1163" s="18">
        <v>710000000</v>
      </c>
      <c r="J1163" s="4" t="s">
        <v>1931</v>
      </c>
      <c r="K1163" s="4" t="s">
        <v>5706</v>
      </c>
      <c r="L1163" s="4" t="s">
        <v>1889</v>
      </c>
      <c r="M1163" s="8" t="s">
        <v>3195</v>
      </c>
      <c r="N1163" s="4" t="s">
        <v>1890</v>
      </c>
      <c r="O1163" s="16" t="s">
        <v>2146</v>
      </c>
      <c r="P1163" s="8">
        <v>796</v>
      </c>
      <c r="Q1163" s="8" t="s">
        <v>3196</v>
      </c>
      <c r="R1163" s="10">
        <f>10+4</f>
        <v>14</v>
      </c>
      <c r="S1163" s="19">
        <v>546.29</v>
      </c>
      <c r="T1163" s="10">
        <v>0</v>
      </c>
      <c r="U1163" s="10">
        <f t="shared" si="440"/>
        <v>0</v>
      </c>
      <c r="V1163" s="11" t="s">
        <v>3027</v>
      </c>
      <c r="W1163" s="11">
        <v>2015</v>
      </c>
      <c r="X1163" s="1">
        <v>6</v>
      </c>
    </row>
    <row r="1164" spans="1:24" ht="105" customHeight="1" outlineLevel="1" x14ac:dyDescent="0.2">
      <c r="A1164" s="1" t="s">
        <v>7392</v>
      </c>
      <c r="B1164" s="15" t="s">
        <v>5277</v>
      </c>
      <c r="C1164" s="4" t="s">
        <v>6461</v>
      </c>
      <c r="D1164" s="4" t="s">
        <v>6462</v>
      </c>
      <c r="E1164" s="4" t="s">
        <v>6463</v>
      </c>
      <c r="F1164" s="7" t="s">
        <v>7393</v>
      </c>
      <c r="G1164" s="4" t="s">
        <v>1888</v>
      </c>
      <c r="H1164" s="17">
        <v>0.4</v>
      </c>
      <c r="I1164" s="18">
        <v>710000000</v>
      </c>
      <c r="J1164" s="4" t="s">
        <v>1931</v>
      </c>
      <c r="K1164" s="4" t="s">
        <v>5706</v>
      </c>
      <c r="L1164" s="4" t="s">
        <v>1889</v>
      </c>
      <c r="M1164" s="8" t="s">
        <v>3195</v>
      </c>
      <c r="N1164" s="4" t="s">
        <v>1890</v>
      </c>
      <c r="O1164" s="16" t="s">
        <v>2146</v>
      </c>
      <c r="P1164" s="8">
        <v>796</v>
      </c>
      <c r="Q1164" s="8" t="s">
        <v>3196</v>
      </c>
      <c r="R1164" s="10">
        <f>10+4</f>
        <v>14</v>
      </c>
      <c r="S1164" s="19">
        <v>546.29</v>
      </c>
      <c r="T1164" s="10">
        <v>0</v>
      </c>
      <c r="U1164" s="10">
        <f t="shared" ref="U1164" si="463">T1164*1.12</f>
        <v>0</v>
      </c>
      <c r="V1164" s="11" t="s">
        <v>3027</v>
      </c>
      <c r="W1164" s="11">
        <v>2015</v>
      </c>
      <c r="X1164" s="1">
        <v>11</v>
      </c>
    </row>
    <row r="1165" spans="1:24" ht="105" customHeight="1" outlineLevel="1" x14ac:dyDescent="0.2">
      <c r="A1165" s="1" t="s">
        <v>8751</v>
      </c>
      <c r="B1165" s="15" t="s">
        <v>5277</v>
      </c>
      <c r="C1165" s="4" t="s">
        <v>6461</v>
      </c>
      <c r="D1165" s="4" t="s">
        <v>6462</v>
      </c>
      <c r="E1165" s="4" t="s">
        <v>6463</v>
      </c>
      <c r="F1165" s="7" t="s">
        <v>7393</v>
      </c>
      <c r="G1165" s="4" t="s">
        <v>1888</v>
      </c>
      <c r="H1165" s="17">
        <v>0.4</v>
      </c>
      <c r="I1165" s="18">
        <v>710000000</v>
      </c>
      <c r="J1165" s="4" t="s">
        <v>1931</v>
      </c>
      <c r="K1165" s="4" t="s">
        <v>6167</v>
      </c>
      <c r="L1165" s="4" t="s">
        <v>1889</v>
      </c>
      <c r="M1165" s="8" t="s">
        <v>3195</v>
      </c>
      <c r="N1165" s="4" t="s">
        <v>1890</v>
      </c>
      <c r="O1165" s="16" t="s">
        <v>2146</v>
      </c>
      <c r="P1165" s="8">
        <v>796</v>
      </c>
      <c r="Q1165" s="8" t="s">
        <v>3196</v>
      </c>
      <c r="R1165" s="10">
        <f>10+4</f>
        <v>14</v>
      </c>
      <c r="S1165" s="19">
        <v>546.29</v>
      </c>
      <c r="T1165" s="10">
        <v>0</v>
      </c>
      <c r="U1165" s="10">
        <f t="shared" ref="U1165" si="464">T1165*1.12</f>
        <v>0</v>
      </c>
      <c r="V1165" s="11" t="s">
        <v>3027</v>
      </c>
      <c r="W1165" s="11">
        <v>2015</v>
      </c>
      <c r="X1165" s="1">
        <v>11.22</v>
      </c>
    </row>
    <row r="1166" spans="1:24" ht="105" customHeight="1" outlineLevel="1" x14ac:dyDescent="0.2">
      <c r="A1166" s="1" t="s">
        <v>9012</v>
      </c>
      <c r="B1166" s="15" t="s">
        <v>5277</v>
      </c>
      <c r="C1166" s="4" t="s">
        <v>6461</v>
      </c>
      <c r="D1166" s="4" t="s">
        <v>6462</v>
      </c>
      <c r="E1166" s="4" t="s">
        <v>6463</v>
      </c>
      <c r="F1166" s="7" t="s">
        <v>7393</v>
      </c>
      <c r="G1166" s="4" t="s">
        <v>1888</v>
      </c>
      <c r="H1166" s="17">
        <v>0.4</v>
      </c>
      <c r="I1166" s="18">
        <v>710000000</v>
      </c>
      <c r="J1166" s="4" t="s">
        <v>1931</v>
      </c>
      <c r="K1166" s="4" t="s">
        <v>8982</v>
      </c>
      <c r="L1166" s="4" t="s">
        <v>1889</v>
      </c>
      <c r="M1166" s="8" t="s">
        <v>3195</v>
      </c>
      <c r="N1166" s="4" t="s">
        <v>1890</v>
      </c>
      <c r="O1166" s="16" t="s">
        <v>2146</v>
      </c>
      <c r="P1166" s="8">
        <v>796</v>
      </c>
      <c r="Q1166" s="8" t="s">
        <v>3196</v>
      </c>
      <c r="R1166" s="10">
        <f>10+4</f>
        <v>14</v>
      </c>
      <c r="S1166" s="19">
        <v>546.29</v>
      </c>
      <c r="T1166" s="10">
        <f t="shared" ref="T1166" si="465">S1166*R1166</f>
        <v>7648.0599999999995</v>
      </c>
      <c r="U1166" s="10">
        <f t="shared" ref="U1166" si="466">T1166*1.12</f>
        <v>8565.8271999999997</v>
      </c>
      <c r="V1166" s="11"/>
      <c r="W1166" s="11">
        <v>2015</v>
      </c>
      <c r="X1166" s="20"/>
    </row>
    <row r="1167" spans="1:24" ht="76.5" customHeight="1" outlineLevel="1" x14ac:dyDescent="0.2">
      <c r="A1167" s="1" t="s">
        <v>5031</v>
      </c>
      <c r="B1167" s="15" t="s">
        <v>5277</v>
      </c>
      <c r="C1167" s="31" t="s">
        <v>4138</v>
      </c>
      <c r="D1167" s="31" t="s">
        <v>5738</v>
      </c>
      <c r="E1167" s="31" t="s">
        <v>5738</v>
      </c>
      <c r="F1167" s="7" t="s">
        <v>5739</v>
      </c>
      <c r="G1167" s="4" t="s">
        <v>1888</v>
      </c>
      <c r="H1167" s="17">
        <v>0.4</v>
      </c>
      <c r="I1167" s="18">
        <v>710000000</v>
      </c>
      <c r="J1167" s="4" t="s">
        <v>1931</v>
      </c>
      <c r="K1167" s="4" t="s">
        <v>5706</v>
      </c>
      <c r="L1167" s="4" t="s">
        <v>1889</v>
      </c>
      <c r="M1167" s="8" t="s">
        <v>3195</v>
      </c>
      <c r="N1167" s="4" t="s">
        <v>1890</v>
      </c>
      <c r="O1167" s="16" t="s">
        <v>2146</v>
      </c>
      <c r="P1167" s="8">
        <v>796</v>
      </c>
      <c r="Q1167" s="8" t="s">
        <v>3196</v>
      </c>
      <c r="R1167" s="10">
        <f>6+2</f>
        <v>8</v>
      </c>
      <c r="S1167" s="19">
        <v>3346.63</v>
      </c>
      <c r="T1167" s="10">
        <v>0</v>
      </c>
      <c r="U1167" s="10">
        <f t="shared" si="440"/>
        <v>0</v>
      </c>
      <c r="V1167" s="11" t="s">
        <v>3027</v>
      </c>
      <c r="W1167" s="11">
        <v>2015</v>
      </c>
      <c r="X1167" s="1">
        <v>6</v>
      </c>
    </row>
    <row r="1168" spans="1:24" ht="76.5" customHeight="1" outlineLevel="1" x14ac:dyDescent="0.2">
      <c r="A1168" s="1" t="s">
        <v>7394</v>
      </c>
      <c r="B1168" s="15" t="s">
        <v>5277</v>
      </c>
      <c r="C1168" s="31" t="s">
        <v>4138</v>
      </c>
      <c r="D1168" s="31" t="s">
        <v>5738</v>
      </c>
      <c r="E1168" s="31" t="s">
        <v>5738</v>
      </c>
      <c r="F1168" s="7" t="s">
        <v>7395</v>
      </c>
      <c r="G1168" s="4" t="s">
        <v>1888</v>
      </c>
      <c r="H1168" s="17">
        <v>0.4</v>
      </c>
      <c r="I1168" s="18">
        <v>710000000</v>
      </c>
      <c r="J1168" s="4" t="s">
        <v>1931</v>
      </c>
      <c r="K1168" s="4" t="s">
        <v>5706</v>
      </c>
      <c r="L1168" s="4" t="s">
        <v>1889</v>
      </c>
      <c r="M1168" s="8" t="s">
        <v>3195</v>
      </c>
      <c r="N1168" s="4" t="s">
        <v>1890</v>
      </c>
      <c r="O1168" s="16" t="s">
        <v>2146</v>
      </c>
      <c r="P1168" s="8">
        <v>796</v>
      </c>
      <c r="Q1168" s="8" t="s">
        <v>3196</v>
      </c>
      <c r="R1168" s="10">
        <f>6+2</f>
        <v>8</v>
      </c>
      <c r="S1168" s="19">
        <v>3346.63</v>
      </c>
      <c r="T1168" s="10">
        <v>0</v>
      </c>
      <c r="U1168" s="10">
        <f t="shared" ref="U1168" si="467">T1168*1.12</f>
        <v>0</v>
      </c>
      <c r="V1168" s="11" t="s">
        <v>3027</v>
      </c>
      <c r="W1168" s="11">
        <v>2015</v>
      </c>
      <c r="X1168" s="1">
        <v>11</v>
      </c>
    </row>
    <row r="1169" spans="1:24" ht="76.5" customHeight="1" outlineLevel="1" x14ac:dyDescent="0.2">
      <c r="A1169" s="1" t="s">
        <v>8752</v>
      </c>
      <c r="B1169" s="15" t="s">
        <v>5277</v>
      </c>
      <c r="C1169" s="31" t="s">
        <v>4138</v>
      </c>
      <c r="D1169" s="31" t="s">
        <v>5738</v>
      </c>
      <c r="E1169" s="31" t="s">
        <v>5738</v>
      </c>
      <c r="F1169" s="7" t="s">
        <v>7395</v>
      </c>
      <c r="G1169" s="4" t="s">
        <v>1888</v>
      </c>
      <c r="H1169" s="17">
        <v>0.4</v>
      </c>
      <c r="I1169" s="18">
        <v>710000000</v>
      </c>
      <c r="J1169" s="4" t="s">
        <v>1931</v>
      </c>
      <c r="K1169" s="4" t="s">
        <v>6167</v>
      </c>
      <c r="L1169" s="4" t="s">
        <v>1889</v>
      </c>
      <c r="M1169" s="8" t="s">
        <v>3195</v>
      </c>
      <c r="N1169" s="4" t="s">
        <v>1890</v>
      </c>
      <c r="O1169" s="16" t="s">
        <v>2146</v>
      </c>
      <c r="P1169" s="8">
        <v>796</v>
      </c>
      <c r="Q1169" s="8" t="s">
        <v>3196</v>
      </c>
      <c r="R1169" s="10">
        <f>6+2</f>
        <v>8</v>
      </c>
      <c r="S1169" s="19">
        <v>3346.63</v>
      </c>
      <c r="T1169" s="10">
        <v>0</v>
      </c>
      <c r="U1169" s="10">
        <f t="shared" ref="U1169" si="468">T1169*1.12</f>
        <v>0</v>
      </c>
      <c r="V1169" s="11" t="s">
        <v>3027</v>
      </c>
      <c r="W1169" s="11">
        <v>2015</v>
      </c>
      <c r="X1169" s="1">
        <v>11.22</v>
      </c>
    </row>
    <row r="1170" spans="1:24" ht="76.5" customHeight="1" outlineLevel="1" x14ac:dyDescent="0.2">
      <c r="A1170" s="1" t="s">
        <v>9013</v>
      </c>
      <c r="B1170" s="15" t="s">
        <v>5277</v>
      </c>
      <c r="C1170" s="31" t="s">
        <v>4138</v>
      </c>
      <c r="D1170" s="31" t="s">
        <v>5738</v>
      </c>
      <c r="E1170" s="31" t="s">
        <v>5738</v>
      </c>
      <c r="F1170" s="7" t="s">
        <v>7395</v>
      </c>
      <c r="G1170" s="4" t="s">
        <v>1888</v>
      </c>
      <c r="H1170" s="17">
        <v>0.4</v>
      </c>
      <c r="I1170" s="18">
        <v>710000000</v>
      </c>
      <c r="J1170" s="4" t="s">
        <v>1931</v>
      </c>
      <c r="K1170" s="4" t="s">
        <v>8982</v>
      </c>
      <c r="L1170" s="4" t="s">
        <v>1889</v>
      </c>
      <c r="M1170" s="8" t="s">
        <v>3195</v>
      </c>
      <c r="N1170" s="4" t="s">
        <v>1890</v>
      </c>
      <c r="O1170" s="16" t="s">
        <v>2146</v>
      </c>
      <c r="P1170" s="8">
        <v>796</v>
      </c>
      <c r="Q1170" s="8" t="s">
        <v>3196</v>
      </c>
      <c r="R1170" s="10">
        <f>6+2</f>
        <v>8</v>
      </c>
      <c r="S1170" s="19">
        <v>3346.63</v>
      </c>
      <c r="T1170" s="10">
        <f t="shared" ref="T1170" si="469">S1170*R1170</f>
        <v>26773.040000000001</v>
      </c>
      <c r="U1170" s="10">
        <f t="shared" ref="U1170" si="470">T1170*1.12</f>
        <v>29985.804800000005</v>
      </c>
      <c r="V1170" s="11"/>
      <c r="W1170" s="11">
        <v>2015</v>
      </c>
      <c r="X1170" s="20"/>
    </row>
    <row r="1171" spans="1:24" ht="76.5" customHeight="1" outlineLevel="1" x14ac:dyDescent="0.2">
      <c r="A1171" s="1" t="s">
        <v>5032</v>
      </c>
      <c r="B1171" s="32" t="s">
        <v>5277</v>
      </c>
      <c r="C1171" s="16" t="s">
        <v>3771</v>
      </c>
      <c r="D1171" s="16" t="s">
        <v>6174</v>
      </c>
      <c r="E1171" s="16" t="s">
        <v>6175</v>
      </c>
      <c r="F1171" s="16" t="s">
        <v>6176</v>
      </c>
      <c r="G1171" s="1" t="s">
        <v>3187</v>
      </c>
      <c r="H1171" s="17">
        <v>0.4</v>
      </c>
      <c r="I1171" s="1">
        <v>710000000</v>
      </c>
      <c r="J1171" s="4" t="s">
        <v>1931</v>
      </c>
      <c r="K1171" s="4" t="s">
        <v>5706</v>
      </c>
      <c r="L1171" s="4" t="s">
        <v>1889</v>
      </c>
      <c r="M1171" s="8" t="s">
        <v>3195</v>
      </c>
      <c r="N1171" s="4" t="s">
        <v>1890</v>
      </c>
      <c r="O1171" s="16" t="s">
        <v>2146</v>
      </c>
      <c r="P1171" s="8">
        <v>715</v>
      </c>
      <c r="Q1171" s="16" t="s">
        <v>5247</v>
      </c>
      <c r="R1171" s="10">
        <v>8</v>
      </c>
      <c r="S1171" s="26">
        <v>4500</v>
      </c>
      <c r="T1171" s="10">
        <v>0</v>
      </c>
      <c r="U1171" s="10">
        <f t="shared" si="440"/>
        <v>0</v>
      </c>
      <c r="V1171" s="33" t="s">
        <v>3027</v>
      </c>
      <c r="W1171" s="11">
        <v>2015</v>
      </c>
      <c r="X1171" s="1">
        <v>6.7</v>
      </c>
    </row>
    <row r="1172" spans="1:24" ht="76.5" customHeight="1" outlineLevel="1" x14ac:dyDescent="0.2">
      <c r="A1172" s="1" t="s">
        <v>7396</v>
      </c>
      <c r="B1172" s="32" t="s">
        <v>5277</v>
      </c>
      <c r="C1172" s="16" t="s">
        <v>3771</v>
      </c>
      <c r="D1172" s="16" t="s">
        <v>6174</v>
      </c>
      <c r="E1172" s="16" t="s">
        <v>6175</v>
      </c>
      <c r="F1172" s="16" t="s">
        <v>7397</v>
      </c>
      <c r="G1172" s="4" t="s">
        <v>1888</v>
      </c>
      <c r="H1172" s="17">
        <v>0.4</v>
      </c>
      <c r="I1172" s="1">
        <v>710000000</v>
      </c>
      <c r="J1172" s="4" t="s">
        <v>1931</v>
      </c>
      <c r="K1172" s="4" t="s">
        <v>5706</v>
      </c>
      <c r="L1172" s="4" t="s">
        <v>1889</v>
      </c>
      <c r="M1172" s="8" t="s">
        <v>3195</v>
      </c>
      <c r="N1172" s="4" t="s">
        <v>1890</v>
      </c>
      <c r="O1172" s="16" t="s">
        <v>2146</v>
      </c>
      <c r="P1172" s="8">
        <v>715</v>
      </c>
      <c r="Q1172" s="16" t="s">
        <v>5247</v>
      </c>
      <c r="R1172" s="10">
        <v>8</v>
      </c>
      <c r="S1172" s="26">
        <v>4500</v>
      </c>
      <c r="T1172" s="10">
        <v>0</v>
      </c>
      <c r="U1172" s="10">
        <f t="shared" ref="U1172" si="471">T1172*1.12</f>
        <v>0</v>
      </c>
      <c r="V1172" s="33" t="s">
        <v>3027</v>
      </c>
      <c r="W1172" s="11">
        <v>2015</v>
      </c>
      <c r="X1172" s="1">
        <v>11</v>
      </c>
    </row>
    <row r="1173" spans="1:24" ht="76.5" customHeight="1" outlineLevel="1" x14ac:dyDescent="0.2">
      <c r="A1173" s="1" t="s">
        <v>8753</v>
      </c>
      <c r="B1173" s="32" t="s">
        <v>5277</v>
      </c>
      <c r="C1173" s="16" t="s">
        <v>3771</v>
      </c>
      <c r="D1173" s="16" t="s">
        <v>6174</v>
      </c>
      <c r="E1173" s="16" t="s">
        <v>6175</v>
      </c>
      <c r="F1173" s="16" t="s">
        <v>7397</v>
      </c>
      <c r="G1173" s="4" t="s">
        <v>1888</v>
      </c>
      <c r="H1173" s="17">
        <v>0.4</v>
      </c>
      <c r="I1173" s="1">
        <v>710000000</v>
      </c>
      <c r="J1173" s="4" t="s">
        <v>1931</v>
      </c>
      <c r="K1173" s="4" t="s">
        <v>6167</v>
      </c>
      <c r="L1173" s="4" t="s">
        <v>1889</v>
      </c>
      <c r="M1173" s="8" t="s">
        <v>3195</v>
      </c>
      <c r="N1173" s="4" t="s">
        <v>1890</v>
      </c>
      <c r="O1173" s="16" t="s">
        <v>2146</v>
      </c>
      <c r="P1173" s="8">
        <v>715</v>
      </c>
      <c r="Q1173" s="16" t="s">
        <v>5247</v>
      </c>
      <c r="R1173" s="10">
        <v>8</v>
      </c>
      <c r="S1173" s="26">
        <v>4500</v>
      </c>
      <c r="T1173" s="10">
        <v>0</v>
      </c>
      <c r="U1173" s="10">
        <f t="shared" ref="U1173" si="472">T1173*1.12</f>
        <v>0</v>
      </c>
      <c r="V1173" s="33" t="s">
        <v>3027</v>
      </c>
      <c r="W1173" s="11">
        <v>2015</v>
      </c>
      <c r="X1173" s="1">
        <v>11.22</v>
      </c>
    </row>
    <row r="1174" spans="1:24" ht="76.5" customHeight="1" outlineLevel="1" x14ac:dyDescent="0.2">
      <c r="A1174" s="1" t="s">
        <v>9014</v>
      </c>
      <c r="B1174" s="32" t="s">
        <v>5277</v>
      </c>
      <c r="C1174" s="16" t="s">
        <v>3771</v>
      </c>
      <c r="D1174" s="16" t="s">
        <v>6174</v>
      </c>
      <c r="E1174" s="16" t="s">
        <v>6175</v>
      </c>
      <c r="F1174" s="16" t="s">
        <v>7397</v>
      </c>
      <c r="G1174" s="4" t="s">
        <v>1888</v>
      </c>
      <c r="H1174" s="17">
        <v>0.4</v>
      </c>
      <c r="I1174" s="1">
        <v>710000000</v>
      </c>
      <c r="J1174" s="4" t="s">
        <v>1931</v>
      </c>
      <c r="K1174" s="4" t="s">
        <v>8982</v>
      </c>
      <c r="L1174" s="4" t="s">
        <v>1889</v>
      </c>
      <c r="M1174" s="8" t="s">
        <v>3195</v>
      </c>
      <c r="N1174" s="4" t="s">
        <v>1890</v>
      </c>
      <c r="O1174" s="16" t="s">
        <v>2146</v>
      </c>
      <c r="P1174" s="8">
        <v>715</v>
      </c>
      <c r="Q1174" s="16" t="s">
        <v>5247</v>
      </c>
      <c r="R1174" s="10">
        <v>8</v>
      </c>
      <c r="S1174" s="26">
        <v>4500</v>
      </c>
      <c r="T1174" s="10">
        <f t="shared" ref="T1174" si="473">S1174*R1174</f>
        <v>36000</v>
      </c>
      <c r="U1174" s="10">
        <f t="shared" ref="U1174" si="474">T1174*1.12</f>
        <v>40320.000000000007</v>
      </c>
      <c r="V1174" s="33"/>
      <c r="W1174" s="11">
        <v>2015</v>
      </c>
      <c r="X1174" s="1"/>
    </row>
    <row r="1175" spans="1:24" ht="76.5" customHeight="1" outlineLevel="1" x14ac:dyDescent="0.2">
      <c r="A1175" s="1" t="s">
        <v>5033</v>
      </c>
      <c r="B1175" s="15" t="s">
        <v>5277</v>
      </c>
      <c r="C1175" s="16" t="s">
        <v>4143</v>
      </c>
      <c r="D1175" s="16" t="s">
        <v>5744</v>
      </c>
      <c r="E1175" s="16" t="s">
        <v>5745</v>
      </c>
      <c r="F1175" s="30"/>
      <c r="G1175" s="4" t="s">
        <v>1888</v>
      </c>
      <c r="H1175" s="17">
        <v>0.4</v>
      </c>
      <c r="I1175" s="18">
        <v>710000000</v>
      </c>
      <c r="J1175" s="4" t="s">
        <v>1931</v>
      </c>
      <c r="K1175" s="4" t="s">
        <v>5706</v>
      </c>
      <c r="L1175" s="4" t="s">
        <v>1889</v>
      </c>
      <c r="M1175" s="8" t="s">
        <v>3195</v>
      </c>
      <c r="N1175" s="4" t="s">
        <v>1890</v>
      </c>
      <c r="O1175" s="16" t="s">
        <v>2146</v>
      </c>
      <c r="P1175" s="4">
        <v>715</v>
      </c>
      <c r="Q1175" s="4" t="s">
        <v>5618</v>
      </c>
      <c r="R1175" s="10">
        <v>8</v>
      </c>
      <c r="S1175" s="19">
        <v>4500</v>
      </c>
      <c r="T1175" s="10">
        <v>0</v>
      </c>
      <c r="U1175" s="10">
        <f t="shared" si="440"/>
        <v>0</v>
      </c>
      <c r="V1175" s="11" t="s">
        <v>3027</v>
      </c>
      <c r="W1175" s="11">
        <v>2015</v>
      </c>
      <c r="X1175" s="1">
        <v>6</v>
      </c>
    </row>
    <row r="1176" spans="1:24" ht="76.5" customHeight="1" outlineLevel="1" x14ac:dyDescent="0.2">
      <c r="A1176" s="1" t="s">
        <v>7398</v>
      </c>
      <c r="B1176" s="15" t="s">
        <v>5277</v>
      </c>
      <c r="C1176" s="16" t="s">
        <v>4143</v>
      </c>
      <c r="D1176" s="16" t="s">
        <v>5744</v>
      </c>
      <c r="E1176" s="16" t="s">
        <v>5745</v>
      </c>
      <c r="F1176" s="16" t="s">
        <v>7397</v>
      </c>
      <c r="G1176" s="4" t="s">
        <v>1888</v>
      </c>
      <c r="H1176" s="17">
        <v>0.4</v>
      </c>
      <c r="I1176" s="18">
        <v>710000000</v>
      </c>
      <c r="J1176" s="4" t="s">
        <v>1931</v>
      </c>
      <c r="K1176" s="4" t="s">
        <v>5706</v>
      </c>
      <c r="L1176" s="4" t="s">
        <v>1889</v>
      </c>
      <c r="M1176" s="8" t="s">
        <v>3195</v>
      </c>
      <c r="N1176" s="4" t="s">
        <v>1890</v>
      </c>
      <c r="O1176" s="16" t="s">
        <v>2146</v>
      </c>
      <c r="P1176" s="4">
        <v>715</v>
      </c>
      <c r="Q1176" s="4" t="s">
        <v>5618</v>
      </c>
      <c r="R1176" s="10">
        <v>8</v>
      </c>
      <c r="S1176" s="19">
        <v>4500</v>
      </c>
      <c r="T1176" s="10">
        <v>0</v>
      </c>
      <c r="U1176" s="10">
        <f t="shared" ref="U1176" si="475">T1176*1.12</f>
        <v>0</v>
      </c>
      <c r="V1176" s="11" t="s">
        <v>3027</v>
      </c>
      <c r="W1176" s="11">
        <v>2015</v>
      </c>
      <c r="X1176" s="1">
        <v>11</v>
      </c>
    </row>
    <row r="1177" spans="1:24" ht="76.5" customHeight="1" outlineLevel="1" x14ac:dyDescent="0.2">
      <c r="A1177" s="1" t="s">
        <v>8754</v>
      </c>
      <c r="B1177" s="15" t="s">
        <v>5277</v>
      </c>
      <c r="C1177" s="16" t="s">
        <v>4143</v>
      </c>
      <c r="D1177" s="16" t="s">
        <v>5744</v>
      </c>
      <c r="E1177" s="16" t="s">
        <v>5745</v>
      </c>
      <c r="F1177" s="16" t="s">
        <v>7397</v>
      </c>
      <c r="G1177" s="4" t="s">
        <v>1888</v>
      </c>
      <c r="H1177" s="17">
        <v>0.4</v>
      </c>
      <c r="I1177" s="18">
        <v>710000000</v>
      </c>
      <c r="J1177" s="4" t="s">
        <v>1931</v>
      </c>
      <c r="K1177" s="4" t="s">
        <v>6167</v>
      </c>
      <c r="L1177" s="4" t="s">
        <v>1889</v>
      </c>
      <c r="M1177" s="8" t="s">
        <v>3195</v>
      </c>
      <c r="N1177" s="4" t="s">
        <v>1890</v>
      </c>
      <c r="O1177" s="16" t="s">
        <v>2146</v>
      </c>
      <c r="P1177" s="4">
        <v>715</v>
      </c>
      <c r="Q1177" s="4" t="s">
        <v>5618</v>
      </c>
      <c r="R1177" s="10">
        <v>8</v>
      </c>
      <c r="S1177" s="19">
        <v>4500</v>
      </c>
      <c r="T1177" s="10">
        <v>0</v>
      </c>
      <c r="U1177" s="10">
        <f t="shared" ref="U1177" si="476">T1177*1.12</f>
        <v>0</v>
      </c>
      <c r="V1177" s="11" t="s">
        <v>3027</v>
      </c>
      <c r="W1177" s="11">
        <v>2015</v>
      </c>
      <c r="X1177" s="1">
        <v>11.22</v>
      </c>
    </row>
    <row r="1178" spans="1:24" ht="76.5" customHeight="1" outlineLevel="1" x14ac:dyDescent="0.2">
      <c r="A1178" s="1" t="s">
        <v>9015</v>
      </c>
      <c r="B1178" s="15" t="s">
        <v>5277</v>
      </c>
      <c r="C1178" s="16" t="s">
        <v>4143</v>
      </c>
      <c r="D1178" s="16" t="s">
        <v>5744</v>
      </c>
      <c r="E1178" s="16" t="s">
        <v>5745</v>
      </c>
      <c r="F1178" s="16" t="s">
        <v>7397</v>
      </c>
      <c r="G1178" s="4" t="s">
        <v>1888</v>
      </c>
      <c r="H1178" s="17">
        <v>0.4</v>
      </c>
      <c r="I1178" s="18">
        <v>710000000</v>
      </c>
      <c r="J1178" s="4" t="s">
        <v>1931</v>
      </c>
      <c r="K1178" s="4" t="s">
        <v>8982</v>
      </c>
      <c r="L1178" s="4" t="s">
        <v>1889</v>
      </c>
      <c r="M1178" s="8" t="s">
        <v>3195</v>
      </c>
      <c r="N1178" s="4" t="s">
        <v>1890</v>
      </c>
      <c r="O1178" s="16" t="s">
        <v>2146</v>
      </c>
      <c r="P1178" s="4">
        <v>715</v>
      </c>
      <c r="Q1178" s="4" t="s">
        <v>5618</v>
      </c>
      <c r="R1178" s="10">
        <v>8</v>
      </c>
      <c r="S1178" s="19">
        <v>4500</v>
      </c>
      <c r="T1178" s="10">
        <f t="shared" ref="T1178" si="477">S1178*R1178</f>
        <v>36000</v>
      </c>
      <c r="U1178" s="10">
        <f t="shared" ref="U1178" si="478">T1178*1.12</f>
        <v>40320.000000000007</v>
      </c>
      <c r="V1178" s="11"/>
      <c r="W1178" s="11">
        <v>2015</v>
      </c>
      <c r="X1178" s="20"/>
    </row>
    <row r="1179" spans="1:24" ht="76.5" customHeight="1" outlineLevel="1" x14ac:dyDescent="0.2">
      <c r="A1179" s="1" t="s">
        <v>5034</v>
      </c>
      <c r="B1179" s="15" t="s">
        <v>5277</v>
      </c>
      <c r="C1179" s="16" t="s">
        <v>1371</v>
      </c>
      <c r="D1179" s="16" t="s">
        <v>1372</v>
      </c>
      <c r="E1179" s="16" t="s">
        <v>1373</v>
      </c>
      <c r="F1179" s="7" t="s">
        <v>1374</v>
      </c>
      <c r="G1179" s="4" t="s">
        <v>1888</v>
      </c>
      <c r="H1179" s="17">
        <v>0.4</v>
      </c>
      <c r="I1179" s="18">
        <v>710000000</v>
      </c>
      <c r="J1179" s="4" t="s">
        <v>1931</v>
      </c>
      <c r="K1179" s="4" t="s">
        <v>5706</v>
      </c>
      <c r="L1179" s="4" t="s">
        <v>1889</v>
      </c>
      <c r="M1179" s="8" t="s">
        <v>3195</v>
      </c>
      <c r="N1179" s="4" t="s">
        <v>1890</v>
      </c>
      <c r="O1179" s="16" t="s">
        <v>2146</v>
      </c>
      <c r="P1179" s="8">
        <v>796</v>
      </c>
      <c r="Q1179" s="8" t="s">
        <v>3196</v>
      </c>
      <c r="R1179" s="10">
        <v>3</v>
      </c>
      <c r="S1179" s="19">
        <v>1071.33</v>
      </c>
      <c r="T1179" s="10">
        <v>0</v>
      </c>
      <c r="U1179" s="10">
        <f t="shared" si="440"/>
        <v>0</v>
      </c>
      <c r="V1179" s="11" t="s">
        <v>3027</v>
      </c>
      <c r="W1179" s="11">
        <v>2015</v>
      </c>
      <c r="X1179" s="1">
        <v>11</v>
      </c>
    </row>
    <row r="1180" spans="1:24" ht="76.5" customHeight="1" outlineLevel="1" x14ac:dyDescent="0.2">
      <c r="A1180" s="1" t="s">
        <v>8755</v>
      </c>
      <c r="B1180" s="15" t="s">
        <v>5277</v>
      </c>
      <c r="C1180" s="16" t="s">
        <v>1371</v>
      </c>
      <c r="D1180" s="16" t="s">
        <v>1372</v>
      </c>
      <c r="E1180" s="16" t="s">
        <v>1373</v>
      </c>
      <c r="F1180" s="7" t="s">
        <v>1374</v>
      </c>
      <c r="G1180" s="4" t="s">
        <v>1888</v>
      </c>
      <c r="H1180" s="17">
        <v>0.4</v>
      </c>
      <c r="I1180" s="18">
        <v>710000000</v>
      </c>
      <c r="J1180" s="4" t="s">
        <v>1931</v>
      </c>
      <c r="K1180" s="4" t="s">
        <v>6167</v>
      </c>
      <c r="L1180" s="4" t="s">
        <v>1889</v>
      </c>
      <c r="M1180" s="8" t="s">
        <v>3195</v>
      </c>
      <c r="N1180" s="4" t="s">
        <v>1890</v>
      </c>
      <c r="O1180" s="16" t="s">
        <v>2146</v>
      </c>
      <c r="P1180" s="8">
        <v>796</v>
      </c>
      <c r="Q1180" s="8" t="s">
        <v>3196</v>
      </c>
      <c r="R1180" s="10">
        <v>3</v>
      </c>
      <c r="S1180" s="19">
        <v>1071.33</v>
      </c>
      <c r="T1180" s="10">
        <v>0</v>
      </c>
      <c r="U1180" s="10">
        <f t="shared" ref="U1180" si="479">T1180*1.12</f>
        <v>0</v>
      </c>
      <c r="V1180" s="11" t="s">
        <v>3027</v>
      </c>
      <c r="W1180" s="11">
        <v>2015</v>
      </c>
      <c r="X1180" s="1">
        <v>11.22</v>
      </c>
    </row>
    <row r="1181" spans="1:24" ht="76.5" customHeight="1" outlineLevel="1" x14ac:dyDescent="0.2">
      <c r="A1181" s="1" t="s">
        <v>9016</v>
      </c>
      <c r="B1181" s="15" t="s">
        <v>5277</v>
      </c>
      <c r="C1181" s="16" t="s">
        <v>1371</v>
      </c>
      <c r="D1181" s="16" t="s">
        <v>1372</v>
      </c>
      <c r="E1181" s="16" t="s">
        <v>1373</v>
      </c>
      <c r="F1181" s="7" t="s">
        <v>1374</v>
      </c>
      <c r="G1181" s="4" t="s">
        <v>1888</v>
      </c>
      <c r="H1181" s="17">
        <v>0.4</v>
      </c>
      <c r="I1181" s="18">
        <v>710000000</v>
      </c>
      <c r="J1181" s="4" t="s">
        <v>1931</v>
      </c>
      <c r="K1181" s="4" t="s">
        <v>8982</v>
      </c>
      <c r="L1181" s="4" t="s">
        <v>1889</v>
      </c>
      <c r="M1181" s="8" t="s">
        <v>3195</v>
      </c>
      <c r="N1181" s="4" t="s">
        <v>1890</v>
      </c>
      <c r="O1181" s="16" t="s">
        <v>2146</v>
      </c>
      <c r="P1181" s="8">
        <v>796</v>
      </c>
      <c r="Q1181" s="8" t="s">
        <v>3196</v>
      </c>
      <c r="R1181" s="10">
        <v>3</v>
      </c>
      <c r="S1181" s="19">
        <v>1071.33</v>
      </c>
      <c r="T1181" s="10">
        <f t="shared" ref="T1181" si="480">S1181*R1181</f>
        <v>3213.99</v>
      </c>
      <c r="U1181" s="10">
        <f t="shared" ref="U1181" si="481">T1181*1.12</f>
        <v>3599.6687999999999</v>
      </c>
      <c r="V1181" s="11"/>
      <c r="W1181" s="11">
        <v>2015</v>
      </c>
      <c r="X1181" s="20"/>
    </row>
    <row r="1182" spans="1:24" ht="76.5" customHeight="1" outlineLevel="1" x14ac:dyDescent="0.2">
      <c r="A1182" s="1" t="s">
        <v>5035</v>
      </c>
      <c r="B1182" s="15" t="s">
        <v>5277</v>
      </c>
      <c r="C1182" s="7" t="s">
        <v>4141</v>
      </c>
      <c r="D1182" s="7" t="s">
        <v>5740</v>
      </c>
      <c r="E1182" s="7" t="s">
        <v>5741</v>
      </c>
      <c r="F1182" s="30"/>
      <c r="G1182" s="4" t="s">
        <v>1888</v>
      </c>
      <c r="H1182" s="17">
        <v>0.4</v>
      </c>
      <c r="I1182" s="18">
        <v>710000000</v>
      </c>
      <c r="J1182" s="4" t="s">
        <v>1931</v>
      </c>
      <c r="K1182" s="4" t="s">
        <v>5706</v>
      </c>
      <c r="L1182" s="4" t="s">
        <v>1889</v>
      </c>
      <c r="M1182" s="8" t="s">
        <v>3195</v>
      </c>
      <c r="N1182" s="4" t="s">
        <v>1890</v>
      </c>
      <c r="O1182" s="16" t="s">
        <v>2146</v>
      </c>
      <c r="P1182" s="27">
        <v>839</v>
      </c>
      <c r="Q1182" s="4" t="s">
        <v>5419</v>
      </c>
      <c r="R1182" s="10">
        <v>4</v>
      </c>
      <c r="S1182" s="19">
        <v>3857</v>
      </c>
      <c r="T1182" s="10">
        <v>0</v>
      </c>
      <c r="U1182" s="10">
        <f t="shared" si="440"/>
        <v>0</v>
      </c>
      <c r="V1182" s="11" t="s">
        <v>3027</v>
      </c>
      <c r="W1182" s="11">
        <v>2015</v>
      </c>
      <c r="X1182" s="1">
        <v>6</v>
      </c>
    </row>
    <row r="1183" spans="1:24" ht="76.5" customHeight="1" outlineLevel="1" x14ac:dyDescent="0.2">
      <c r="A1183" s="1" t="s">
        <v>7399</v>
      </c>
      <c r="B1183" s="15" t="s">
        <v>5277</v>
      </c>
      <c r="C1183" s="7" t="s">
        <v>4141</v>
      </c>
      <c r="D1183" s="7" t="s">
        <v>5740</v>
      </c>
      <c r="E1183" s="7" t="s">
        <v>5741</v>
      </c>
      <c r="F1183" s="7" t="s">
        <v>7400</v>
      </c>
      <c r="G1183" s="4" t="s">
        <v>1888</v>
      </c>
      <c r="H1183" s="17">
        <v>0.4</v>
      </c>
      <c r="I1183" s="18">
        <v>710000000</v>
      </c>
      <c r="J1183" s="4" t="s">
        <v>1931</v>
      </c>
      <c r="K1183" s="4" t="s">
        <v>5706</v>
      </c>
      <c r="L1183" s="4" t="s">
        <v>1889</v>
      </c>
      <c r="M1183" s="8" t="s">
        <v>3195</v>
      </c>
      <c r="N1183" s="4" t="s">
        <v>1890</v>
      </c>
      <c r="O1183" s="16" t="s">
        <v>2146</v>
      </c>
      <c r="P1183" s="27">
        <v>839</v>
      </c>
      <c r="Q1183" s="4" t="s">
        <v>5419</v>
      </c>
      <c r="R1183" s="10">
        <v>4</v>
      </c>
      <c r="S1183" s="19">
        <v>3857</v>
      </c>
      <c r="T1183" s="10">
        <v>0</v>
      </c>
      <c r="U1183" s="10">
        <f t="shared" ref="U1183" si="482">T1183*1.12</f>
        <v>0</v>
      </c>
      <c r="V1183" s="11" t="s">
        <v>3027</v>
      </c>
      <c r="W1183" s="11">
        <v>2015</v>
      </c>
      <c r="X1183" s="1">
        <v>11</v>
      </c>
    </row>
    <row r="1184" spans="1:24" ht="76.5" customHeight="1" outlineLevel="1" x14ac:dyDescent="0.2">
      <c r="A1184" s="1" t="s">
        <v>8756</v>
      </c>
      <c r="B1184" s="15" t="s">
        <v>5277</v>
      </c>
      <c r="C1184" s="7" t="s">
        <v>4141</v>
      </c>
      <c r="D1184" s="7" t="s">
        <v>5740</v>
      </c>
      <c r="E1184" s="7" t="s">
        <v>5741</v>
      </c>
      <c r="F1184" s="7" t="s">
        <v>7400</v>
      </c>
      <c r="G1184" s="4" t="s">
        <v>1888</v>
      </c>
      <c r="H1184" s="17">
        <v>0.4</v>
      </c>
      <c r="I1184" s="18">
        <v>710000000</v>
      </c>
      <c r="J1184" s="4" t="s">
        <v>1931</v>
      </c>
      <c r="K1184" s="4" t="s">
        <v>6167</v>
      </c>
      <c r="L1184" s="4" t="s">
        <v>1889</v>
      </c>
      <c r="M1184" s="8" t="s">
        <v>3195</v>
      </c>
      <c r="N1184" s="4" t="s">
        <v>1890</v>
      </c>
      <c r="O1184" s="16" t="s">
        <v>2146</v>
      </c>
      <c r="P1184" s="27">
        <v>839</v>
      </c>
      <c r="Q1184" s="4" t="s">
        <v>5419</v>
      </c>
      <c r="R1184" s="10">
        <v>4</v>
      </c>
      <c r="S1184" s="19">
        <v>3857</v>
      </c>
      <c r="T1184" s="10">
        <v>0</v>
      </c>
      <c r="U1184" s="10">
        <f t="shared" ref="U1184" si="483">T1184*1.12</f>
        <v>0</v>
      </c>
      <c r="V1184" s="11" t="s">
        <v>3027</v>
      </c>
      <c r="W1184" s="11">
        <v>2015</v>
      </c>
      <c r="X1184" s="1">
        <v>11.22</v>
      </c>
    </row>
    <row r="1185" spans="1:25" ht="76.5" customHeight="1" outlineLevel="1" x14ac:dyDescent="0.2">
      <c r="A1185" s="1" t="s">
        <v>9017</v>
      </c>
      <c r="B1185" s="15" t="s">
        <v>5277</v>
      </c>
      <c r="C1185" s="7" t="s">
        <v>4141</v>
      </c>
      <c r="D1185" s="7" t="s">
        <v>5740</v>
      </c>
      <c r="E1185" s="7" t="s">
        <v>5741</v>
      </c>
      <c r="F1185" s="7" t="s">
        <v>7400</v>
      </c>
      <c r="G1185" s="4" t="s">
        <v>1888</v>
      </c>
      <c r="H1185" s="17">
        <v>0.4</v>
      </c>
      <c r="I1185" s="18">
        <v>710000000</v>
      </c>
      <c r="J1185" s="4" t="s">
        <v>1931</v>
      </c>
      <c r="K1185" s="4" t="s">
        <v>8982</v>
      </c>
      <c r="L1185" s="4" t="s">
        <v>1889</v>
      </c>
      <c r="M1185" s="8" t="s">
        <v>3195</v>
      </c>
      <c r="N1185" s="4" t="s">
        <v>1890</v>
      </c>
      <c r="O1185" s="16" t="s">
        <v>2146</v>
      </c>
      <c r="P1185" s="27">
        <v>839</v>
      </c>
      <c r="Q1185" s="4" t="s">
        <v>5419</v>
      </c>
      <c r="R1185" s="10">
        <v>4</v>
      </c>
      <c r="S1185" s="19">
        <v>3857</v>
      </c>
      <c r="T1185" s="10">
        <f t="shared" ref="T1185" si="484">S1185*R1185</f>
        <v>15428</v>
      </c>
      <c r="U1185" s="10">
        <f t="shared" ref="U1185" si="485">T1185*1.12</f>
        <v>17279.36</v>
      </c>
      <c r="V1185" s="11"/>
      <c r="W1185" s="11">
        <v>2015</v>
      </c>
      <c r="X1185" s="20"/>
    </row>
    <row r="1186" spans="1:25" ht="76.5" customHeight="1" outlineLevel="1" x14ac:dyDescent="0.2">
      <c r="A1186" s="1" t="s">
        <v>5036</v>
      </c>
      <c r="B1186" s="15" t="s">
        <v>5277</v>
      </c>
      <c r="C1186" s="7" t="s">
        <v>4139</v>
      </c>
      <c r="D1186" s="7" t="s">
        <v>4140</v>
      </c>
      <c r="E1186" s="7" t="s">
        <v>6464</v>
      </c>
      <c r="F1186" s="1"/>
      <c r="G1186" s="4" t="s">
        <v>1888</v>
      </c>
      <c r="H1186" s="17">
        <v>0.4</v>
      </c>
      <c r="I1186" s="18">
        <v>710000000</v>
      </c>
      <c r="J1186" s="4" t="s">
        <v>1931</v>
      </c>
      <c r="K1186" s="4" t="s">
        <v>5706</v>
      </c>
      <c r="L1186" s="4" t="s">
        <v>1889</v>
      </c>
      <c r="M1186" s="8" t="s">
        <v>3195</v>
      </c>
      <c r="N1186" s="4" t="s">
        <v>1890</v>
      </c>
      <c r="O1186" s="16" t="s">
        <v>2146</v>
      </c>
      <c r="P1186" s="8">
        <v>796</v>
      </c>
      <c r="Q1186" s="8" t="s">
        <v>3196</v>
      </c>
      <c r="R1186" s="10">
        <f>3+2+2+2+2</f>
        <v>11</v>
      </c>
      <c r="S1186" s="19">
        <v>3857</v>
      </c>
      <c r="T1186" s="10">
        <v>0</v>
      </c>
      <c r="U1186" s="10">
        <f t="shared" si="440"/>
        <v>0</v>
      </c>
      <c r="V1186" s="11" t="s">
        <v>3027</v>
      </c>
      <c r="W1186" s="11">
        <v>2015</v>
      </c>
      <c r="X1186" s="1">
        <v>6</v>
      </c>
    </row>
    <row r="1187" spans="1:25" ht="144" customHeight="1" outlineLevel="1" x14ac:dyDescent="0.2">
      <c r="A1187" s="1" t="s">
        <v>7401</v>
      </c>
      <c r="B1187" s="15" t="s">
        <v>5277</v>
      </c>
      <c r="C1187" s="7" t="s">
        <v>4139</v>
      </c>
      <c r="D1187" s="7" t="s">
        <v>4140</v>
      </c>
      <c r="E1187" s="7" t="s">
        <v>6464</v>
      </c>
      <c r="F1187" s="16" t="s">
        <v>7402</v>
      </c>
      <c r="G1187" s="4" t="s">
        <v>1888</v>
      </c>
      <c r="H1187" s="17">
        <v>0.4</v>
      </c>
      <c r="I1187" s="18">
        <v>710000000</v>
      </c>
      <c r="J1187" s="4" t="s">
        <v>1931</v>
      </c>
      <c r="K1187" s="4" t="s">
        <v>5706</v>
      </c>
      <c r="L1187" s="4" t="s">
        <v>1889</v>
      </c>
      <c r="M1187" s="8" t="s">
        <v>3195</v>
      </c>
      <c r="N1187" s="4" t="s">
        <v>1890</v>
      </c>
      <c r="O1187" s="16" t="s">
        <v>2146</v>
      </c>
      <c r="P1187" s="8">
        <v>796</v>
      </c>
      <c r="Q1187" s="8" t="s">
        <v>3196</v>
      </c>
      <c r="R1187" s="10">
        <f>3+2+2+2+2</f>
        <v>11</v>
      </c>
      <c r="S1187" s="19">
        <v>3857</v>
      </c>
      <c r="T1187" s="10">
        <v>0</v>
      </c>
      <c r="U1187" s="10">
        <f t="shared" ref="U1187" si="486">T1187*1.12</f>
        <v>0</v>
      </c>
      <c r="V1187" s="11" t="s">
        <v>3027</v>
      </c>
      <c r="W1187" s="11">
        <v>2015</v>
      </c>
      <c r="X1187" s="1">
        <v>11</v>
      </c>
    </row>
    <row r="1188" spans="1:25" ht="144" customHeight="1" outlineLevel="1" x14ac:dyDescent="0.2">
      <c r="A1188" s="1" t="s">
        <v>8757</v>
      </c>
      <c r="B1188" s="15" t="s">
        <v>5277</v>
      </c>
      <c r="C1188" s="7" t="s">
        <v>4139</v>
      </c>
      <c r="D1188" s="7" t="s">
        <v>4140</v>
      </c>
      <c r="E1188" s="7" t="s">
        <v>6464</v>
      </c>
      <c r="F1188" s="16" t="s">
        <v>7402</v>
      </c>
      <c r="G1188" s="4" t="s">
        <v>1888</v>
      </c>
      <c r="H1188" s="17">
        <v>0.4</v>
      </c>
      <c r="I1188" s="18">
        <v>710000000</v>
      </c>
      <c r="J1188" s="4" t="s">
        <v>1931</v>
      </c>
      <c r="K1188" s="4" t="s">
        <v>6167</v>
      </c>
      <c r="L1188" s="4" t="s">
        <v>1889</v>
      </c>
      <c r="M1188" s="8" t="s">
        <v>3195</v>
      </c>
      <c r="N1188" s="4" t="s">
        <v>1890</v>
      </c>
      <c r="O1188" s="16" t="s">
        <v>2146</v>
      </c>
      <c r="P1188" s="8">
        <v>796</v>
      </c>
      <c r="Q1188" s="8" t="s">
        <v>3196</v>
      </c>
      <c r="R1188" s="10">
        <f>3+2+2+2+2</f>
        <v>11</v>
      </c>
      <c r="S1188" s="19">
        <v>3857</v>
      </c>
      <c r="T1188" s="10">
        <v>0</v>
      </c>
      <c r="U1188" s="10">
        <f t="shared" ref="U1188" si="487">T1188*1.12</f>
        <v>0</v>
      </c>
      <c r="V1188" s="11" t="s">
        <v>3027</v>
      </c>
      <c r="W1188" s="11">
        <v>2015</v>
      </c>
      <c r="X1188" s="1">
        <v>11.22</v>
      </c>
    </row>
    <row r="1189" spans="1:25" ht="144" customHeight="1" outlineLevel="1" x14ac:dyDescent="0.2">
      <c r="A1189" s="1" t="s">
        <v>9018</v>
      </c>
      <c r="B1189" s="15" t="s">
        <v>5277</v>
      </c>
      <c r="C1189" s="7" t="s">
        <v>4139</v>
      </c>
      <c r="D1189" s="7" t="s">
        <v>4140</v>
      </c>
      <c r="E1189" s="7" t="s">
        <v>6464</v>
      </c>
      <c r="F1189" s="16" t="s">
        <v>7402</v>
      </c>
      <c r="G1189" s="4" t="s">
        <v>1888</v>
      </c>
      <c r="H1189" s="17">
        <v>0.4</v>
      </c>
      <c r="I1189" s="18">
        <v>710000000</v>
      </c>
      <c r="J1189" s="4" t="s">
        <v>1931</v>
      </c>
      <c r="K1189" s="4" t="s">
        <v>8982</v>
      </c>
      <c r="L1189" s="4" t="s">
        <v>1889</v>
      </c>
      <c r="M1189" s="8" t="s">
        <v>3195</v>
      </c>
      <c r="N1189" s="4" t="s">
        <v>1890</v>
      </c>
      <c r="O1189" s="16" t="s">
        <v>2146</v>
      </c>
      <c r="P1189" s="8">
        <v>796</v>
      </c>
      <c r="Q1189" s="8" t="s">
        <v>3196</v>
      </c>
      <c r="R1189" s="10">
        <f>3+2+2+2+2</f>
        <v>11</v>
      </c>
      <c r="S1189" s="19">
        <v>3857</v>
      </c>
      <c r="T1189" s="10">
        <f t="shared" ref="T1189" si="488">S1189*R1189</f>
        <v>42427</v>
      </c>
      <c r="U1189" s="10">
        <f t="shared" ref="U1189" si="489">T1189*1.12</f>
        <v>47518.240000000005</v>
      </c>
      <c r="V1189" s="11"/>
      <c r="W1189" s="11">
        <v>2015</v>
      </c>
      <c r="X1189" s="20"/>
    </row>
    <row r="1190" spans="1:25" ht="76.5" customHeight="1" outlineLevel="1" x14ac:dyDescent="0.2">
      <c r="A1190" s="1" t="s">
        <v>5037</v>
      </c>
      <c r="B1190" s="24" t="s">
        <v>5277</v>
      </c>
      <c r="C1190" s="7" t="s">
        <v>1820</v>
      </c>
      <c r="D1190" s="7" t="s">
        <v>5245</v>
      </c>
      <c r="E1190" s="18" t="s">
        <v>5246</v>
      </c>
      <c r="F1190" s="25"/>
      <c r="G1190" s="4" t="s">
        <v>1888</v>
      </c>
      <c r="H1190" s="17">
        <v>0.4</v>
      </c>
      <c r="I1190" s="18">
        <v>710000000</v>
      </c>
      <c r="J1190" s="4" t="s">
        <v>1931</v>
      </c>
      <c r="K1190" s="4" t="s">
        <v>5706</v>
      </c>
      <c r="L1190" s="4" t="s">
        <v>1889</v>
      </c>
      <c r="M1190" s="8" t="s">
        <v>3195</v>
      </c>
      <c r="N1190" s="8" t="s">
        <v>1890</v>
      </c>
      <c r="O1190" s="16" t="s">
        <v>2146</v>
      </c>
      <c r="P1190" s="1" t="s">
        <v>3418</v>
      </c>
      <c r="Q1190" s="4" t="s">
        <v>5247</v>
      </c>
      <c r="R1190" s="10">
        <v>277</v>
      </c>
      <c r="S1190" s="10">
        <v>104.18</v>
      </c>
      <c r="T1190" s="10">
        <f t="shared" si="439"/>
        <v>28857.86</v>
      </c>
      <c r="U1190" s="10">
        <f t="shared" si="440"/>
        <v>32320.803200000002</v>
      </c>
      <c r="V1190" s="8" t="s">
        <v>3027</v>
      </c>
      <c r="W1190" s="11">
        <v>2015</v>
      </c>
      <c r="X1190" s="1"/>
    </row>
    <row r="1191" spans="1:25" ht="76.5" customHeight="1" outlineLevel="1" x14ac:dyDescent="0.2">
      <c r="A1191" s="1" t="s">
        <v>5038</v>
      </c>
      <c r="B1191" s="15" t="s">
        <v>5277</v>
      </c>
      <c r="C1191" s="18" t="s">
        <v>6465</v>
      </c>
      <c r="D1191" s="18" t="s">
        <v>5716</v>
      </c>
      <c r="E1191" s="18" t="s">
        <v>1376</v>
      </c>
      <c r="F1191" s="7" t="s">
        <v>5718</v>
      </c>
      <c r="G1191" s="4" t="s">
        <v>1888</v>
      </c>
      <c r="H1191" s="17">
        <v>0.4</v>
      </c>
      <c r="I1191" s="18">
        <v>710000000</v>
      </c>
      <c r="J1191" s="4" t="s">
        <v>1931</v>
      </c>
      <c r="K1191" s="4" t="s">
        <v>5706</v>
      </c>
      <c r="L1191" s="4" t="s">
        <v>1889</v>
      </c>
      <c r="M1191" s="8" t="s">
        <v>3195</v>
      </c>
      <c r="N1191" s="4" t="s">
        <v>1890</v>
      </c>
      <c r="O1191" s="16" t="s">
        <v>2146</v>
      </c>
      <c r="P1191" s="27">
        <v>839</v>
      </c>
      <c r="Q1191" s="4" t="s">
        <v>5419</v>
      </c>
      <c r="R1191" s="26">
        <v>47</v>
      </c>
      <c r="S1191" s="19">
        <v>7071</v>
      </c>
      <c r="T1191" s="10">
        <v>0</v>
      </c>
      <c r="U1191" s="10">
        <f t="shared" si="440"/>
        <v>0</v>
      </c>
      <c r="V1191" s="11" t="s">
        <v>3027</v>
      </c>
      <c r="W1191" s="11">
        <v>2015</v>
      </c>
      <c r="X1191" s="1">
        <v>6</v>
      </c>
    </row>
    <row r="1192" spans="1:25" ht="89.25" customHeight="1" outlineLevel="1" x14ac:dyDescent="0.2">
      <c r="A1192" s="1" t="s">
        <v>7403</v>
      </c>
      <c r="B1192" s="15" t="s">
        <v>5277</v>
      </c>
      <c r="C1192" s="18" t="s">
        <v>6465</v>
      </c>
      <c r="D1192" s="18" t="s">
        <v>5716</v>
      </c>
      <c r="E1192" s="18" t="s">
        <v>1376</v>
      </c>
      <c r="F1192" s="7" t="s">
        <v>7404</v>
      </c>
      <c r="G1192" s="4" t="s">
        <v>1888</v>
      </c>
      <c r="H1192" s="17">
        <v>0.4</v>
      </c>
      <c r="I1192" s="18">
        <v>710000000</v>
      </c>
      <c r="J1192" s="4" t="s">
        <v>1931</v>
      </c>
      <c r="K1192" s="4" t="s">
        <v>5706</v>
      </c>
      <c r="L1192" s="4" t="s">
        <v>1889</v>
      </c>
      <c r="M1192" s="8" t="s">
        <v>3195</v>
      </c>
      <c r="N1192" s="4" t="s">
        <v>1890</v>
      </c>
      <c r="O1192" s="16" t="s">
        <v>2146</v>
      </c>
      <c r="P1192" s="27">
        <v>839</v>
      </c>
      <c r="Q1192" s="4" t="s">
        <v>5419</v>
      </c>
      <c r="R1192" s="26">
        <v>47</v>
      </c>
      <c r="S1192" s="19">
        <v>7071</v>
      </c>
      <c r="T1192" s="10">
        <f t="shared" ref="T1192" si="490">S1192*R1192</f>
        <v>332337</v>
      </c>
      <c r="U1192" s="10">
        <f t="shared" ref="U1192" si="491">T1192*1.12</f>
        <v>372217.44000000006</v>
      </c>
      <c r="V1192" s="11" t="s">
        <v>3027</v>
      </c>
      <c r="W1192" s="11">
        <v>2015</v>
      </c>
      <c r="X1192" s="20"/>
    </row>
    <row r="1193" spans="1:25" s="261" customFormat="1" ht="117" customHeight="1" outlineLevel="1" x14ac:dyDescent="0.2">
      <c r="A1193" s="1" t="s">
        <v>5039</v>
      </c>
      <c r="B1193" s="15" t="s">
        <v>5277</v>
      </c>
      <c r="C1193" s="7" t="s">
        <v>1375</v>
      </c>
      <c r="D1193" s="7" t="s">
        <v>6466</v>
      </c>
      <c r="E1193" s="7" t="s">
        <v>6467</v>
      </c>
      <c r="F1193" s="7" t="s">
        <v>5718</v>
      </c>
      <c r="G1193" s="4" t="s">
        <v>1888</v>
      </c>
      <c r="H1193" s="17">
        <v>0.4</v>
      </c>
      <c r="I1193" s="18">
        <v>710000000</v>
      </c>
      <c r="J1193" s="4" t="s">
        <v>1931</v>
      </c>
      <c r="K1193" s="4" t="s">
        <v>5706</v>
      </c>
      <c r="L1193" s="4" t="s">
        <v>1889</v>
      </c>
      <c r="M1193" s="8" t="s">
        <v>3195</v>
      </c>
      <c r="N1193" s="4" t="s">
        <v>1890</v>
      </c>
      <c r="O1193" s="16" t="s">
        <v>2146</v>
      </c>
      <c r="P1193" s="27">
        <v>839</v>
      </c>
      <c r="Q1193" s="4" t="s">
        <v>5419</v>
      </c>
      <c r="R1193" s="10">
        <v>25</v>
      </c>
      <c r="S1193" s="34">
        <v>4928.8</v>
      </c>
      <c r="T1193" s="10">
        <v>0</v>
      </c>
      <c r="U1193" s="10">
        <f t="shared" si="440"/>
        <v>0</v>
      </c>
      <c r="V1193" s="35" t="s">
        <v>3027</v>
      </c>
      <c r="W1193" s="11">
        <v>2015</v>
      </c>
      <c r="X1193" s="1">
        <v>6</v>
      </c>
    </row>
    <row r="1194" spans="1:25" s="261" customFormat="1" ht="134.25" customHeight="1" outlineLevel="1" x14ac:dyDescent="0.2">
      <c r="A1194" s="1" t="s">
        <v>7405</v>
      </c>
      <c r="B1194" s="15" t="s">
        <v>5277</v>
      </c>
      <c r="C1194" s="7" t="s">
        <v>1375</v>
      </c>
      <c r="D1194" s="7" t="s">
        <v>6466</v>
      </c>
      <c r="E1194" s="7" t="s">
        <v>6467</v>
      </c>
      <c r="F1194" s="7" t="s">
        <v>7404</v>
      </c>
      <c r="G1194" s="4" t="s">
        <v>1888</v>
      </c>
      <c r="H1194" s="17">
        <v>0.4</v>
      </c>
      <c r="I1194" s="18">
        <v>710000000</v>
      </c>
      <c r="J1194" s="4" t="s">
        <v>1931</v>
      </c>
      <c r="K1194" s="4" t="s">
        <v>5706</v>
      </c>
      <c r="L1194" s="4" t="s">
        <v>1889</v>
      </c>
      <c r="M1194" s="8" t="s">
        <v>3195</v>
      </c>
      <c r="N1194" s="4" t="s">
        <v>1890</v>
      </c>
      <c r="O1194" s="16" t="s">
        <v>2146</v>
      </c>
      <c r="P1194" s="27">
        <v>839</v>
      </c>
      <c r="Q1194" s="4" t="s">
        <v>5419</v>
      </c>
      <c r="R1194" s="10">
        <v>25</v>
      </c>
      <c r="S1194" s="34">
        <v>4928.8</v>
      </c>
      <c r="T1194" s="10">
        <f t="shared" ref="T1194" si="492">S1194*R1194</f>
        <v>123220</v>
      </c>
      <c r="U1194" s="10">
        <f t="shared" ref="U1194" si="493">T1194*1.12</f>
        <v>138006.40000000002</v>
      </c>
      <c r="V1194" s="35" t="s">
        <v>3027</v>
      </c>
      <c r="W1194" s="11">
        <v>2015</v>
      </c>
      <c r="X1194" s="36"/>
    </row>
    <row r="1195" spans="1:25" ht="76.5" customHeight="1" outlineLevel="1" x14ac:dyDescent="0.2">
      <c r="A1195" s="1" t="s">
        <v>5040</v>
      </c>
      <c r="B1195" s="24" t="s">
        <v>5277</v>
      </c>
      <c r="C1195" s="7" t="s">
        <v>4120</v>
      </c>
      <c r="D1195" s="7" t="s">
        <v>5716</v>
      </c>
      <c r="E1195" s="18" t="s">
        <v>5717</v>
      </c>
      <c r="F1195" s="25" t="s">
        <v>5718</v>
      </c>
      <c r="G1195" s="1" t="s">
        <v>1888</v>
      </c>
      <c r="H1195" s="17">
        <v>0.4</v>
      </c>
      <c r="I1195" s="18">
        <v>710000000</v>
      </c>
      <c r="J1195" s="4" t="s">
        <v>1931</v>
      </c>
      <c r="K1195" s="4" t="s">
        <v>5706</v>
      </c>
      <c r="L1195" s="4" t="s">
        <v>1889</v>
      </c>
      <c r="M1195" s="8" t="s">
        <v>3195</v>
      </c>
      <c r="N1195" s="8" t="s">
        <v>1890</v>
      </c>
      <c r="O1195" s="16" t="s">
        <v>2146</v>
      </c>
      <c r="P1195" s="1">
        <v>839</v>
      </c>
      <c r="Q1195" s="4" t="s">
        <v>5419</v>
      </c>
      <c r="R1195" s="10">
        <v>47</v>
      </c>
      <c r="S1195" s="10">
        <v>17105</v>
      </c>
      <c r="T1195" s="10">
        <v>0</v>
      </c>
      <c r="U1195" s="10">
        <f t="shared" si="440"/>
        <v>0</v>
      </c>
      <c r="V1195" s="8" t="s">
        <v>3027</v>
      </c>
      <c r="W1195" s="11">
        <v>2015</v>
      </c>
      <c r="X1195" s="8">
        <v>6</v>
      </c>
      <c r="Y1195" s="261"/>
    </row>
    <row r="1196" spans="1:25" ht="290.25" customHeight="1" outlineLevel="1" x14ac:dyDescent="0.2">
      <c r="A1196" s="1" t="s">
        <v>7406</v>
      </c>
      <c r="B1196" s="24" t="s">
        <v>5277</v>
      </c>
      <c r="C1196" s="7" t="s">
        <v>4120</v>
      </c>
      <c r="D1196" s="7" t="s">
        <v>5716</v>
      </c>
      <c r="E1196" s="18" t="s">
        <v>5717</v>
      </c>
      <c r="F1196" s="25" t="s">
        <v>7496</v>
      </c>
      <c r="G1196" s="1" t="s">
        <v>1888</v>
      </c>
      <c r="H1196" s="17">
        <v>0.4</v>
      </c>
      <c r="I1196" s="18">
        <v>710000000</v>
      </c>
      <c r="J1196" s="4" t="s">
        <v>1931</v>
      </c>
      <c r="K1196" s="4" t="s">
        <v>5706</v>
      </c>
      <c r="L1196" s="4" t="s">
        <v>1889</v>
      </c>
      <c r="M1196" s="8" t="s">
        <v>3195</v>
      </c>
      <c r="N1196" s="8" t="s">
        <v>1890</v>
      </c>
      <c r="O1196" s="16" t="s">
        <v>2146</v>
      </c>
      <c r="P1196" s="1">
        <v>839</v>
      </c>
      <c r="Q1196" s="4" t="s">
        <v>5419</v>
      </c>
      <c r="R1196" s="10">
        <v>47</v>
      </c>
      <c r="S1196" s="10">
        <v>17105</v>
      </c>
      <c r="T1196" s="10">
        <f t="shared" ref="T1196" si="494">S1196*R1196</f>
        <v>803935</v>
      </c>
      <c r="U1196" s="10">
        <f t="shared" ref="U1196" si="495">T1196*1.12</f>
        <v>900407.20000000007</v>
      </c>
      <c r="V1196" s="8" t="s">
        <v>3027</v>
      </c>
      <c r="W1196" s="11">
        <v>2015</v>
      </c>
      <c r="X1196" s="8"/>
    </row>
    <row r="1197" spans="1:25" ht="76.5" customHeight="1" outlineLevel="1" x14ac:dyDescent="0.2">
      <c r="A1197" s="1" t="s">
        <v>5041</v>
      </c>
      <c r="B1197" s="24" t="s">
        <v>5277</v>
      </c>
      <c r="C1197" s="7" t="s">
        <v>4142</v>
      </c>
      <c r="D1197" s="7" t="s">
        <v>5742</v>
      </c>
      <c r="E1197" s="18" t="s">
        <v>5725</v>
      </c>
      <c r="F1197" s="25" t="s">
        <v>5743</v>
      </c>
      <c r="G1197" s="4" t="s">
        <v>1888</v>
      </c>
      <c r="H1197" s="17">
        <v>0.4</v>
      </c>
      <c r="I1197" s="18">
        <v>710000000</v>
      </c>
      <c r="J1197" s="4" t="s">
        <v>1931</v>
      </c>
      <c r="K1197" s="4" t="s">
        <v>5706</v>
      </c>
      <c r="L1197" s="4" t="s">
        <v>1889</v>
      </c>
      <c r="M1197" s="8" t="s">
        <v>3195</v>
      </c>
      <c r="N1197" s="8" t="s">
        <v>1890</v>
      </c>
      <c r="O1197" s="16" t="s">
        <v>2146</v>
      </c>
      <c r="P1197" s="1">
        <v>715</v>
      </c>
      <c r="Q1197" s="4" t="s">
        <v>5618</v>
      </c>
      <c r="R1197" s="10">
        <v>48</v>
      </c>
      <c r="S1197" s="10">
        <v>3393</v>
      </c>
      <c r="T1197" s="10">
        <v>0</v>
      </c>
      <c r="U1197" s="10">
        <f t="shared" si="440"/>
        <v>0</v>
      </c>
      <c r="V1197" s="8" t="s">
        <v>3027</v>
      </c>
      <c r="W1197" s="11">
        <v>2015</v>
      </c>
      <c r="X1197" s="8">
        <v>6</v>
      </c>
    </row>
    <row r="1198" spans="1:25" ht="76.5" customHeight="1" outlineLevel="1" x14ac:dyDescent="0.2">
      <c r="A1198" s="1" t="s">
        <v>7407</v>
      </c>
      <c r="B1198" s="24" t="s">
        <v>5277</v>
      </c>
      <c r="C1198" s="7" t="s">
        <v>4142</v>
      </c>
      <c r="D1198" s="7" t="s">
        <v>5742</v>
      </c>
      <c r="E1198" s="18" t="s">
        <v>5725</v>
      </c>
      <c r="F1198" s="25" t="s">
        <v>7409</v>
      </c>
      <c r="G1198" s="4" t="s">
        <v>1888</v>
      </c>
      <c r="H1198" s="17">
        <v>0.4</v>
      </c>
      <c r="I1198" s="18">
        <v>710000000</v>
      </c>
      <c r="J1198" s="4" t="s">
        <v>1931</v>
      </c>
      <c r="K1198" s="4" t="s">
        <v>5706</v>
      </c>
      <c r="L1198" s="4" t="s">
        <v>1889</v>
      </c>
      <c r="M1198" s="8" t="s">
        <v>3195</v>
      </c>
      <c r="N1198" s="8" t="s">
        <v>1890</v>
      </c>
      <c r="O1198" s="16" t="s">
        <v>2146</v>
      </c>
      <c r="P1198" s="1">
        <v>715</v>
      </c>
      <c r="Q1198" s="4" t="s">
        <v>5618</v>
      </c>
      <c r="R1198" s="10">
        <v>48</v>
      </c>
      <c r="S1198" s="10">
        <v>3393</v>
      </c>
      <c r="T1198" s="10">
        <v>0</v>
      </c>
      <c r="U1198" s="10">
        <f t="shared" ref="U1198" si="496">T1198*1.12</f>
        <v>0</v>
      </c>
      <c r="V1198" s="8" t="s">
        <v>3027</v>
      </c>
      <c r="W1198" s="11">
        <v>2015</v>
      </c>
      <c r="X1198" s="8">
        <v>11</v>
      </c>
    </row>
    <row r="1199" spans="1:25" ht="76.5" customHeight="1" outlineLevel="1" x14ac:dyDescent="0.2">
      <c r="A1199" s="1" t="s">
        <v>8758</v>
      </c>
      <c r="B1199" s="24" t="s">
        <v>5277</v>
      </c>
      <c r="C1199" s="7" t="s">
        <v>4142</v>
      </c>
      <c r="D1199" s="7" t="s">
        <v>5742</v>
      </c>
      <c r="E1199" s="18" t="s">
        <v>5725</v>
      </c>
      <c r="F1199" s="25" t="s">
        <v>7409</v>
      </c>
      <c r="G1199" s="4" t="s">
        <v>1888</v>
      </c>
      <c r="H1199" s="17">
        <v>0.4</v>
      </c>
      <c r="I1199" s="18">
        <v>710000000</v>
      </c>
      <c r="J1199" s="4" t="s">
        <v>1931</v>
      </c>
      <c r="K1199" s="4" t="s">
        <v>6167</v>
      </c>
      <c r="L1199" s="4" t="s">
        <v>1889</v>
      </c>
      <c r="M1199" s="8" t="s">
        <v>3195</v>
      </c>
      <c r="N1199" s="8" t="s">
        <v>1890</v>
      </c>
      <c r="O1199" s="16" t="s">
        <v>2146</v>
      </c>
      <c r="P1199" s="1">
        <v>715</v>
      </c>
      <c r="Q1199" s="4" t="s">
        <v>5618</v>
      </c>
      <c r="R1199" s="10">
        <v>48</v>
      </c>
      <c r="S1199" s="10">
        <v>3393</v>
      </c>
      <c r="T1199" s="10">
        <v>0</v>
      </c>
      <c r="U1199" s="10">
        <f t="shared" ref="U1199" si="497">T1199*1.12</f>
        <v>0</v>
      </c>
      <c r="V1199" s="8" t="s">
        <v>3027</v>
      </c>
      <c r="W1199" s="11">
        <v>2015</v>
      </c>
      <c r="X1199" s="8">
        <v>11.22</v>
      </c>
    </row>
    <row r="1200" spans="1:25" ht="76.5" customHeight="1" outlineLevel="1" x14ac:dyDescent="0.2">
      <c r="A1200" s="1" t="s">
        <v>9019</v>
      </c>
      <c r="B1200" s="24" t="s">
        <v>5277</v>
      </c>
      <c r="C1200" s="7" t="s">
        <v>4142</v>
      </c>
      <c r="D1200" s="7" t="s">
        <v>5742</v>
      </c>
      <c r="E1200" s="18" t="s">
        <v>5725</v>
      </c>
      <c r="F1200" s="25" t="s">
        <v>7409</v>
      </c>
      <c r="G1200" s="4" t="s">
        <v>1888</v>
      </c>
      <c r="H1200" s="17">
        <v>0.4</v>
      </c>
      <c r="I1200" s="18">
        <v>710000000</v>
      </c>
      <c r="J1200" s="4" t="s">
        <v>1931</v>
      </c>
      <c r="K1200" s="4" t="s">
        <v>8982</v>
      </c>
      <c r="L1200" s="4" t="s">
        <v>1889</v>
      </c>
      <c r="M1200" s="8" t="s">
        <v>3195</v>
      </c>
      <c r="N1200" s="8" t="s">
        <v>1890</v>
      </c>
      <c r="O1200" s="16" t="s">
        <v>2146</v>
      </c>
      <c r="P1200" s="1">
        <v>715</v>
      </c>
      <c r="Q1200" s="4" t="s">
        <v>5618</v>
      </c>
      <c r="R1200" s="10">
        <v>48</v>
      </c>
      <c r="S1200" s="10">
        <v>3393</v>
      </c>
      <c r="T1200" s="10">
        <f t="shared" ref="T1200" si="498">S1200*R1200</f>
        <v>162864</v>
      </c>
      <c r="U1200" s="10">
        <f t="shared" ref="U1200" si="499">T1200*1.12</f>
        <v>182407.68000000002</v>
      </c>
      <c r="V1200" s="8"/>
      <c r="W1200" s="11">
        <v>2015</v>
      </c>
      <c r="X1200" s="8"/>
    </row>
    <row r="1201" spans="1:24" ht="89.25" customHeight="1" outlineLevel="1" x14ac:dyDescent="0.2">
      <c r="A1201" s="1" t="s">
        <v>5042</v>
      </c>
      <c r="B1201" s="24" t="s">
        <v>5277</v>
      </c>
      <c r="C1201" s="7" t="s">
        <v>4143</v>
      </c>
      <c r="D1201" s="7" t="s">
        <v>5744</v>
      </c>
      <c r="E1201" s="18" t="s">
        <v>5745</v>
      </c>
      <c r="F1201" s="25"/>
      <c r="G1201" s="4" t="s">
        <v>1888</v>
      </c>
      <c r="H1201" s="17">
        <v>0.4</v>
      </c>
      <c r="I1201" s="18">
        <v>710000000</v>
      </c>
      <c r="J1201" s="4" t="s">
        <v>1931</v>
      </c>
      <c r="K1201" s="4" t="s">
        <v>5706</v>
      </c>
      <c r="L1201" s="4" t="s">
        <v>1889</v>
      </c>
      <c r="M1201" s="8" t="s">
        <v>3195</v>
      </c>
      <c r="N1201" s="8" t="s">
        <v>1890</v>
      </c>
      <c r="O1201" s="16" t="s">
        <v>2146</v>
      </c>
      <c r="P1201" s="1">
        <v>715</v>
      </c>
      <c r="Q1201" s="4" t="s">
        <v>5618</v>
      </c>
      <c r="R1201" s="10">
        <v>18</v>
      </c>
      <c r="S1201" s="10">
        <v>3393</v>
      </c>
      <c r="T1201" s="10">
        <v>0</v>
      </c>
      <c r="U1201" s="10">
        <f t="shared" si="440"/>
        <v>0</v>
      </c>
      <c r="V1201" s="8" t="s">
        <v>3027</v>
      </c>
      <c r="W1201" s="11">
        <v>2015</v>
      </c>
      <c r="X1201" s="8">
        <v>6</v>
      </c>
    </row>
    <row r="1202" spans="1:24" ht="89.25" customHeight="1" outlineLevel="1" x14ac:dyDescent="0.2">
      <c r="A1202" s="1" t="s">
        <v>7408</v>
      </c>
      <c r="B1202" s="24" t="s">
        <v>5277</v>
      </c>
      <c r="C1202" s="7" t="s">
        <v>4143</v>
      </c>
      <c r="D1202" s="7" t="s">
        <v>5744</v>
      </c>
      <c r="E1202" s="18" t="s">
        <v>5745</v>
      </c>
      <c r="F1202" s="25" t="s">
        <v>7397</v>
      </c>
      <c r="G1202" s="4" t="s">
        <v>1888</v>
      </c>
      <c r="H1202" s="17">
        <v>0.4</v>
      </c>
      <c r="I1202" s="18">
        <v>710000000</v>
      </c>
      <c r="J1202" s="4" t="s">
        <v>1931</v>
      </c>
      <c r="K1202" s="4" t="s">
        <v>5706</v>
      </c>
      <c r="L1202" s="4" t="s">
        <v>1889</v>
      </c>
      <c r="M1202" s="8" t="s">
        <v>3195</v>
      </c>
      <c r="N1202" s="8" t="s">
        <v>1890</v>
      </c>
      <c r="O1202" s="16" t="s">
        <v>2146</v>
      </c>
      <c r="P1202" s="1">
        <v>715</v>
      </c>
      <c r="Q1202" s="4" t="s">
        <v>5618</v>
      </c>
      <c r="R1202" s="10">
        <v>18</v>
      </c>
      <c r="S1202" s="10">
        <v>3393</v>
      </c>
      <c r="T1202" s="10">
        <v>0</v>
      </c>
      <c r="U1202" s="10">
        <f t="shared" ref="U1202" si="500">T1202*1.12</f>
        <v>0</v>
      </c>
      <c r="V1202" s="8" t="s">
        <v>3027</v>
      </c>
      <c r="W1202" s="11">
        <v>2015</v>
      </c>
      <c r="X1202" s="8">
        <v>11</v>
      </c>
    </row>
    <row r="1203" spans="1:24" ht="89.25" customHeight="1" outlineLevel="1" x14ac:dyDescent="0.2">
      <c r="A1203" s="1" t="s">
        <v>8759</v>
      </c>
      <c r="B1203" s="24" t="s">
        <v>5277</v>
      </c>
      <c r="C1203" s="7" t="s">
        <v>4143</v>
      </c>
      <c r="D1203" s="7" t="s">
        <v>5744</v>
      </c>
      <c r="E1203" s="18" t="s">
        <v>5745</v>
      </c>
      <c r="F1203" s="25" t="s">
        <v>7397</v>
      </c>
      <c r="G1203" s="4" t="s">
        <v>1888</v>
      </c>
      <c r="H1203" s="17">
        <v>0.4</v>
      </c>
      <c r="I1203" s="18">
        <v>710000000</v>
      </c>
      <c r="J1203" s="4" t="s">
        <v>1931</v>
      </c>
      <c r="K1203" s="4" t="s">
        <v>6167</v>
      </c>
      <c r="L1203" s="4" t="s">
        <v>1889</v>
      </c>
      <c r="M1203" s="8" t="s">
        <v>3195</v>
      </c>
      <c r="N1203" s="8" t="s">
        <v>1890</v>
      </c>
      <c r="O1203" s="16" t="s">
        <v>2146</v>
      </c>
      <c r="P1203" s="1">
        <v>715</v>
      </c>
      <c r="Q1203" s="4" t="s">
        <v>5618</v>
      </c>
      <c r="R1203" s="10">
        <v>18</v>
      </c>
      <c r="S1203" s="10">
        <v>3393</v>
      </c>
      <c r="T1203" s="10">
        <v>0</v>
      </c>
      <c r="U1203" s="10">
        <f t="shared" ref="U1203" si="501">T1203*1.12</f>
        <v>0</v>
      </c>
      <c r="V1203" s="8" t="s">
        <v>3027</v>
      </c>
      <c r="W1203" s="11">
        <v>2015</v>
      </c>
      <c r="X1203" s="8">
        <v>11.22</v>
      </c>
    </row>
    <row r="1204" spans="1:24" ht="89.25" customHeight="1" outlineLevel="1" x14ac:dyDescent="0.2">
      <c r="A1204" s="1" t="s">
        <v>9020</v>
      </c>
      <c r="B1204" s="24" t="s">
        <v>5277</v>
      </c>
      <c r="C1204" s="7" t="s">
        <v>4143</v>
      </c>
      <c r="D1204" s="7" t="s">
        <v>5744</v>
      </c>
      <c r="E1204" s="18" t="s">
        <v>5745</v>
      </c>
      <c r="F1204" s="25" t="s">
        <v>7397</v>
      </c>
      <c r="G1204" s="4" t="s">
        <v>1888</v>
      </c>
      <c r="H1204" s="17">
        <v>0.4</v>
      </c>
      <c r="I1204" s="18">
        <v>710000000</v>
      </c>
      <c r="J1204" s="4" t="s">
        <v>1931</v>
      </c>
      <c r="K1204" s="4" t="s">
        <v>8982</v>
      </c>
      <c r="L1204" s="4" t="s">
        <v>1889</v>
      </c>
      <c r="M1204" s="8" t="s">
        <v>3195</v>
      </c>
      <c r="N1204" s="8" t="s">
        <v>1890</v>
      </c>
      <c r="O1204" s="16" t="s">
        <v>2146</v>
      </c>
      <c r="P1204" s="1">
        <v>715</v>
      </c>
      <c r="Q1204" s="4" t="s">
        <v>5618</v>
      </c>
      <c r="R1204" s="10">
        <v>18</v>
      </c>
      <c r="S1204" s="10">
        <v>3393</v>
      </c>
      <c r="T1204" s="10">
        <f t="shared" ref="T1204" si="502">S1204*R1204</f>
        <v>61074</v>
      </c>
      <c r="U1204" s="10">
        <f t="shared" ref="U1204" si="503">T1204*1.12</f>
        <v>68402.880000000005</v>
      </c>
      <c r="V1204" s="8"/>
      <c r="W1204" s="11">
        <v>2015</v>
      </c>
      <c r="X1204" s="8"/>
    </row>
    <row r="1205" spans="1:24" ht="76.5" customHeight="1" outlineLevel="1" x14ac:dyDescent="0.2">
      <c r="A1205" s="1" t="s">
        <v>5043</v>
      </c>
      <c r="B1205" s="24" t="s">
        <v>5277</v>
      </c>
      <c r="C1205" s="7" t="s">
        <v>3420</v>
      </c>
      <c r="D1205" s="7" t="s">
        <v>5245</v>
      </c>
      <c r="E1205" s="18" t="s">
        <v>1379</v>
      </c>
      <c r="F1205" s="25"/>
      <c r="G1205" s="4" t="s">
        <v>1888</v>
      </c>
      <c r="H1205" s="17">
        <v>0.4</v>
      </c>
      <c r="I1205" s="18">
        <v>710000000</v>
      </c>
      <c r="J1205" s="4" t="s">
        <v>1931</v>
      </c>
      <c r="K1205" s="4" t="s">
        <v>5706</v>
      </c>
      <c r="L1205" s="4" t="s">
        <v>1889</v>
      </c>
      <c r="M1205" s="8" t="s">
        <v>3195</v>
      </c>
      <c r="N1205" s="8" t="s">
        <v>1890</v>
      </c>
      <c r="O1205" s="16" t="s">
        <v>2146</v>
      </c>
      <c r="P1205" s="1">
        <v>715</v>
      </c>
      <c r="Q1205" s="4" t="s">
        <v>5618</v>
      </c>
      <c r="R1205" s="10">
        <v>340</v>
      </c>
      <c r="S1205" s="10">
        <v>142.88</v>
      </c>
      <c r="T1205" s="10">
        <v>0</v>
      </c>
      <c r="U1205" s="10">
        <f t="shared" si="440"/>
        <v>0</v>
      </c>
      <c r="V1205" s="8" t="s">
        <v>3027</v>
      </c>
      <c r="W1205" s="11">
        <v>2015</v>
      </c>
      <c r="X1205" s="8">
        <v>11</v>
      </c>
    </row>
    <row r="1206" spans="1:24" ht="76.5" customHeight="1" outlineLevel="1" x14ac:dyDescent="0.2">
      <c r="A1206" s="1" t="s">
        <v>8760</v>
      </c>
      <c r="B1206" s="24" t="s">
        <v>5277</v>
      </c>
      <c r="C1206" s="7" t="s">
        <v>3420</v>
      </c>
      <c r="D1206" s="7" t="s">
        <v>5245</v>
      </c>
      <c r="E1206" s="18" t="s">
        <v>1379</v>
      </c>
      <c r="F1206" s="25"/>
      <c r="G1206" s="4" t="s">
        <v>1888</v>
      </c>
      <c r="H1206" s="17">
        <v>0.4</v>
      </c>
      <c r="I1206" s="18">
        <v>710000000</v>
      </c>
      <c r="J1206" s="4" t="s">
        <v>1931</v>
      </c>
      <c r="K1206" s="4" t="s">
        <v>6167</v>
      </c>
      <c r="L1206" s="4" t="s">
        <v>1889</v>
      </c>
      <c r="M1206" s="8" t="s">
        <v>3195</v>
      </c>
      <c r="N1206" s="8" t="s">
        <v>1890</v>
      </c>
      <c r="O1206" s="16" t="s">
        <v>2146</v>
      </c>
      <c r="P1206" s="1">
        <v>715</v>
      </c>
      <c r="Q1206" s="4" t="s">
        <v>5618</v>
      </c>
      <c r="R1206" s="10">
        <v>340</v>
      </c>
      <c r="S1206" s="10">
        <v>142.88</v>
      </c>
      <c r="T1206" s="10">
        <v>0</v>
      </c>
      <c r="U1206" s="10">
        <f t="shared" ref="U1206" si="504">T1206*1.12</f>
        <v>0</v>
      </c>
      <c r="V1206" s="8" t="s">
        <v>3027</v>
      </c>
      <c r="W1206" s="11">
        <v>2015</v>
      </c>
      <c r="X1206" s="8">
        <v>11.22</v>
      </c>
    </row>
    <row r="1207" spans="1:24" ht="76.5" customHeight="1" outlineLevel="1" x14ac:dyDescent="0.2">
      <c r="A1207" s="1" t="s">
        <v>9021</v>
      </c>
      <c r="B1207" s="24" t="s">
        <v>5277</v>
      </c>
      <c r="C1207" s="7" t="s">
        <v>3420</v>
      </c>
      <c r="D1207" s="7" t="s">
        <v>5245</v>
      </c>
      <c r="E1207" s="18" t="s">
        <v>1379</v>
      </c>
      <c r="F1207" s="25"/>
      <c r="G1207" s="4" t="s">
        <v>1888</v>
      </c>
      <c r="H1207" s="17">
        <v>0.4</v>
      </c>
      <c r="I1207" s="18">
        <v>710000000</v>
      </c>
      <c r="J1207" s="4" t="s">
        <v>1931</v>
      </c>
      <c r="K1207" s="4" t="s">
        <v>8982</v>
      </c>
      <c r="L1207" s="4" t="s">
        <v>1889</v>
      </c>
      <c r="M1207" s="8" t="s">
        <v>3195</v>
      </c>
      <c r="N1207" s="8" t="s">
        <v>1890</v>
      </c>
      <c r="O1207" s="16" t="s">
        <v>2146</v>
      </c>
      <c r="P1207" s="1">
        <v>715</v>
      </c>
      <c r="Q1207" s="4" t="s">
        <v>5618</v>
      </c>
      <c r="R1207" s="10">
        <v>340</v>
      </c>
      <c r="S1207" s="10">
        <v>142.88</v>
      </c>
      <c r="T1207" s="10">
        <f t="shared" ref="T1207" si="505">S1207*R1207</f>
        <v>48579.199999999997</v>
      </c>
      <c r="U1207" s="10">
        <f t="shared" ref="U1207" si="506">T1207*1.12</f>
        <v>54408.704000000005</v>
      </c>
      <c r="V1207" s="8"/>
      <c r="W1207" s="11">
        <v>2015</v>
      </c>
      <c r="X1207" s="1"/>
    </row>
    <row r="1208" spans="1:24" ht="123" customHeight="1" outlineLevel="1" x14ac:dyDescent="0.2">
      <c r="A1208" s="1" t="s">
        <v>5044</v>
      </c>
      <c r="B1208" s="15" t="s">
        <v>5277</v>
      </c>
      <c r="C1208" s="18" t="s">
        <v>6465</v>
      </c>
      <c r="D1208" s="18" t="s">
        <v>5716</v>
      </c>
      <c r="E1208" s="18" t="s">
        <v>1376</v>
      </c>
      <c r="F1208" s="7" t="s">
        <v>5718</v>
      </c>
      <c r="G1208" s="4" t="s">
        <v>1888</v>
      </c>
      <c r="H1208" s="17">
        <v>0.4</v>
      </c>
      <c r="I1208" s="18">
        <v>710000000</v>
      </c>
      <c r="J1208" s="4" t="s">
        <v>1931</v>
      </c>
      <c r="K1208" s="4" t="s">
        <v>5706</v>
      </c>
      <c r="L1208" s="7" t="s">
        <v>1940</v>
      </c>
      <c r="M1208" s="8" t="s">
        <v>3195</v>
      </c>
      <c r="N1208" s="4" t="s">
        <v>1890</v>
      </c>
      <c r="O1208" s="16" t="s">
        <v>2146</v>
      </c>
      <c r="P1208" s="27">
        <v>839</v>
      </c>
      <c r="Q1208" s="4" t="s">
        <v>5419</v>
      </c>
      <c r="R1208" s="26">
        <v>447</v>
      </c>
      <c r="S1208" s="19">
        <v>7071</v>
      </c>
      <c r="T1208" s="10">
        <v>0</v>
      </c>
      <c r="U1208" s="10">
        <f t="shared" si="440"/>
        <v>0</v>
      </c>
      <c r="V1208" s="11" t="s">
        <v>3027</v>
      </c>
      <c r="W1208" s="11">
        <v>2015</v>
      </c>
      <c r="X1208" s="20" t="s">
        <v>6580</v>
      </c>
    </row>
    <row r="1209" spans="1:24" ht="76.5" customHeight="1" outlineLevel="1" x14ac:dyDescent="0.2">
      <c r="A1209" s="1" t="s">
        <v>6612</v>
      </c>
      <c r="B1209" s="15" t="s">
        <v>5277</v>
      </c>
      <c r="C1209" s="18" t="s">
        <v>6465</v>
      </c>
      <c r="D1209" s="18" t="s">
        <v>5716</v>
      </c>
      <c r="E1209" s="18" t="s">
        <v>1376</v>
      </c>
      <c r="F1209" s="7" t="s">
        <v>5718</v>
      </c>
      <c r="G1209" s="4" t="s">
        <v>1888</v>
      </c>
      <c r="H1209" s="17">
        <v>0.4</v>
      </c>
      <c r="I1209" s="18">
        <v>710000000</v>
      </c>
      <c r="J1209" s="4" t="s">
        <v>1931</v>
      </c>
      <c r="K1209" s="4" t="s">
        <v>5706</v>
      </c>
      <c r="L1209" s="7" t="s">
        <v>1940</v>
      </c>
      <c r="M1209" s="8" t="s">
        <v>3195</v>
      </c>
      <c r="N1209" s="4" t="s">
        <v>1890</v>
      </c>
      <c r="O1209" s="16" t="s">
        <v>2146</v>
      </c>
      <c r="P1209" s="27">
        <v>839</v>
      </c>
      <c r="Q1209" s="4" t="s">
        <v>5419</v>
      </c>
      <c r="R1209" s="26">
        <f>447-200</f>
        <v>247</v>
      </c>
      <c r="S1209" s="19">
        <v>8120.54</v>
      </c>
      <c r="T1209" s="10">
        <v>0</v>
      </c>
      <c r="U1209" s="10">
        <f t="shared" ref="U1209" si="507">T1209*1.12</f>
        <v>0</v>
      </c>
      <c r="V1209" s="11" t="s">
        <v>3027</v>
      </c>
      <c r="W1209" s="11">
        <v>2015</v>
      </c>
      <c r="X1209" s="1">
        <v>6</v>
      </c>
    </row>
    <row r="1210" spans="1:24" ht="128.25" customHeight="1" outlineLevel="1" x14ac:dyDescent="0.2">
      <c r="A1210" s="1" t="s">
        <v>7410</v>
      </c>
      <c r="B1210" s="15" t="s">
        <v>5277</v>
      </c>
      <c r="C1210" s="18" t="s">
        <v>6465</v>
      </c>
      <c r="D1210" s="18" t="s">
        <v>5716</v>
      </c>
      <c r="E1210" s="18" t="s">
        <v>1376</v>
      </c>
      <c r="F1210" s="7" t="s">
        <v>7404</v>
      </c>
      <c r="G1210" s="4" t="s">
        <v>1888</v>
      </c>
      <c r="H1210" s="17">
        <v>0.4</v>
      </c>
      <c r="I1210" s="18">
        <v>710000000</v>
      </c>
      <c r="J1210" s="4" t="s">
        <v>1931</v>
      </c>
      <c r="K1210" s="4" t="s">
        <v>5706</v>
      </c>
      <c r="L1210" s="7" t="s">
        <v>1940</v>
      </c>
      <c r="M1210" s="8" t="s">
        <v>3195</v>
      </c>
      <c r="N1210" s="4" t="s">
        <v>1890</v>
      </c>
      <c r="O1210" s="16" t="s">
        <v>2146</v>
      </c>
      <c r="P1210" s="27">
        <v>839</v>
      </c>
      <c r="Q1210" s="4" t="s">
        <v>5419</v>
      </c>
      <c r="R1210" s="26">
        <f>447-200</f>
        <v>247</v>
      </c>
      <c r="S1210" s="19">
        <v>8120.54</v>
      </c>
      <c r="T1210" s="10">
        <f t="shared" ref="T1210" si="508">S1210*R1210</f>
        <v>2005773.38</v>
      </c>
      <c r="U1210" s="10">
        <f t="shared" ref="U1210" si="509">T1210*1.12</f>
        <v>2246466.1856</v>
      </c>
      <c r="V1210" s="11" t="s">
        <v>3027</v>
      </c>
      <c r="W1210" s="11">
        <v>2015</v>
      </c>
      <c r="X1210" s="20"/>
    </row>
    <row r="1211" spans="1:24" ht="76.5" customHeight="1" outlineLevel="1" x14ac:dyDescent="0.2">
      <c r="A1211" s="1" t="s">
        <v>5045</v>
      </c>
      <c r="B1211" s="24" t="s">
        <v>5277</v>
      </c>
      <c r="C1211" s="7" t="s">
        <v>4120</v>
      </c>
      <c r="D1211" s="7" t="s">
        <v>5716</v>
      </c>
      <c r="E1211" s="18" t="s">
        <v>5717</v>
      </c>
      <c r="F1211" s="25" t="s">
        <v>5718</v>
      </c>
      <c r="G1211" s="1" t="s">
        <v>1888</v>
      </c>
      <c r="H1211" s="17">
        <v>0.4</v>
      </c>
      <c r="I1211" s="18">
        <v>710000000</v>
      </c>
      <c r="J1211" s="4" t="s">
        <v>1931</v>
      </c>
      <c r="K1211" s="4" t="s">
        <v>5706</v>
      </c>
      <c r="L1211" s="7" t="s">
        <v>1940</v>
      </c>
      <c r="M1211" s="8" t="s">
        <v>3195</v>
      </c>
      <c r="N1211" s="8" t="s">
        <v>1890</v>
      </c>
      <c r="O1211" s="16" t="s">
        <v>2146</v>
      </c>
      <c r="P1211" s="1">
        <v>839</v>
      </c>
      <c r="Q1211" s="4" t="s">
        <v>5419</v>
      </c>
      <c r="R1211" s="10">
        <v>169</v>
      </c>
      <c r="S1211" s="10">
        <v>17105</v>
      </c>
      <c r="T1211" s="10">
        <v>0</v>
      </c>
      <c r="U1211" s="10">
        <f t="shared" si="440"/>
        <v>0</v>
      </c>
      <c r="V1211" s="8" t="s">
        <v>3027</v>
      </c>
      <c r="W1211" s="11">
        <v>2015</v>
      </c>
      <c r="X1211" s="8">
        <v>6</v>
      </c>
    </row>
    <row r="1212" spans="1:24" ht="299.25" customHeight="1" outlineLevel="1" x14ac:dyDescent="0.2">
      <c r="A1212" s="1" t="s">
        <v>7495</v>
      </c>
      <c r="B1212" s="24" t="s">
        <v>5277</v>
      </c>
      <c r="C1212" s="7" t="s">
        <v>4120</v>
      </c>
      <c r="D1212" s="7" t="s">
        <v>5716</v>
      </c>
      <c r="E1212" s="18" t="s">
        <v>5717</v>
      </c>
      <c r="F1212" s="25" t="s">
        <v>7496</v>
      </c>
      <c r="G1212" s="1" t="s">
        <v>1888</v>
      </c>
      <c r="H1212" s="17">
        <v>0.4</v>
      </c>
      <c r="I1212" s="18">
        <v>710000000</v>
      </c>
      <c r="J1212" s="4" t="s">
        <v>1931</v>
      </c>
      <c r="K1212" s="4" t="s">
        <v>5706</v>
      </c>
      <c r="L1212" s="7" t="s">
        <v>1940</v>
      </c>
      <c r="M1212" s="8" t="s">
        <v>3195</v>
      </c>
      <c r="N1212" s="8" t="s">
        <v>1890</v>
      </c>
      <c r="O1212" s="16" t="s">
        <v>2146</v>
      </c>
      <c r="P1212" s="1">
        <v>839</v>
      </c>
      <c r="Q1212" s="4" t="s">
        <v>5419</v>
      </c>
      <c r="R1212" s="10">
        <v>169</v>
      </c>
      <c r="S1212" s="10">
        <v>17105</v>
      </c>
      <c r="T1212" s="10">
        <f t="shared" ref="T1212" si="510">S1212*R1212</f>
        <v>2890745</v>
      </c>
      <c r="U1212" s="10">
        <f t="shared" ref="U1212" si="511">T1212*1.12</f>
        <v>3237634.4000000004</v>
      </c>
      <c r="V1212" s="8" t="s">
        <v>3027</v>
      </c>
      <c r="W1212" s="11">
        <v>2015</v>
      </c>
      <c r="X1212" s="8"/>
    </row>
    <row r="1213" spans="1:24" s="261" customFormat="1" ht="76.5" customHeight="1" outlineLevel="1" x14ac:dyDescent="0.2">
      <c r="A1213" s="1" t="s">
        <v>5046</v>
      </c>
      <c r="B1213" s="15" t="s">
        <v>5277</v>
      </c>
      <c r="C1213" s="18" t="s">
        <v>1375</v>
      </c>
      <c r="D1213" s="18" t="s">
        <v>6466</v>
      </c>
      <c r="E1213" s="18" t="s">
        <v>6467</v>
      </c>
      <c r="F1213" s="18" t="s">
        <v>5718</v>
      </c>
      <c r="G1213" s="4" t="s">
        <v>1888</v>
      </c>
      <c r="H1213" s="17">
        <v>0.4</v>
      </c>
      <c r="I1213" s="18">
        <v>710000000</v>
      </c>
      <c r="J1213" s="4" t="s">
        <v>1931</v>
      </c>
      <c r="K1213" s="4" t="s">
        <v>5706</v>
      </c>
      <c r="L1213" s="7" t="s">
        <v>1940</v>
      </c>
      <c r="M1213" s="8" t="s">
        <v>3195</v>
      </c>
      <c r="N1213" s="4" t="s">
        <v>1890</v>
      </c>
      <c r="O1213" s="16" t="s">
        <v>2146</v>
      </c>
      <c r="P1213" s="27">
        <v>839</v>
      </c>
      <c r="Q1213" s="4" t="s">
        <v>5419</v>
      </c>
      <c r="R1213" s="10">
        <v>112</v>
      </c>
      <c r="S1213" s="34">
        <v>4928.8</v>
      </c>
      <c r="T1213" s="10">
        <v>0</v>
      </c>
      <c r="U1213" s="10">
        <f t="shared" si="440"/>
        <v>0</v>
      </c>
      <c r="V1213" s="35" t="s">
        <v>3027</v>
      </c>
      <c r="W1213" s="11">
        <v>2015</v>
      </c>
      <c r="X1213" s="36" t="s">
        <v>6580</v>
      </c>
    </row>
    <row r="1214" spans="1:24" s="261" customFormat="1" ht="76.5" customHeight="1" outlineLevel="1" x14ac:dyDescent="0.2">
      <c r="A1214" s="1" t="s">
        <v>6611</v>
      </c>
      <c r="B1214" s="15" t="s">
        <v>5277</v>
      </c>
      <c r="C1214" s="18" t="s">
        <v>1375</v>
      </c>
      <c r="D1214" s="18" t="s">
        <v>6466</v>
      </c>
      <c r="E1214" s="18" t="s">
        <v>6467</v>
      </c>
      <c r="F1214" s="18" t="s">
        <v>5718</v>
      </c>
      <c r="G1214" s="4" t="s">
        <v>1888</v>
      </c>
      <c r="H1214" s="17">
        <v>0.4</v>
      </c>
      <c r="I1214" s="18">
        <v>710000000</v>
      </c>
      <c r="J1214" s="4" t="s">
        <v>1931</v>
      </c>
      <c r="K1214" s="4" t="s">
        <v>5706</v>
      </c>
      <c r="L1214" s="7" t="s">
        <v>1940</v>
      </c>
      <c r="M1214" s="8" t="s">
        <v>3195</v>
      </c>
      <c r="N1214" s="4" t="s">
        <v>1890</v>
      </c>
      <c r="O1214" s="16" t="s">
        <v>2146</v>
      </c>
      <c r="P1214" s="27">
        <v>839</v>
      </c>
      <c r="Q1214" s="4" t="s">
        <v>5419</v>
      </c>
      <c r="R1214" s="10">
        <f>112+200</f>
        <v>312</v>
      </c>
      <c r="S1214" s="34">
        <v>8120.54</v>
      </c>
      <c r="T1214" s="10">
        <v>0</v>
      </c>
      <c r="U1214" s="10">
        <f t="shared" ref="U1214" si="512">T1214*1.12</f>
        <v>0</v>
      </c>
      <c r="V1214" s="35" t="s">
        <v>3027</v>
      </c>
      <c r="W1214" s="11">
        <v>2015</v>
      </c>
      <c r="X1214" s="4">
        <v>6</v>
      </c>
    </row>
    <row r="1215" spans="1:24" s="261" customFormat="1" ht="179.25" customHeight="1" outlineLevel="1" x14ac:dyDescent="0.2">
      <c r="A1215" s="1" t="s">
        <v>7497</v>
      </c>
      <c r="B1215" s="15" t="s">
        <v>5277</v>
      </c>
      <c r="C1215" s="18" t="s">
        <v>1375</v>
      </c>
      <c r="D1215" s="18" t="s">
        <v>6466</v>
      </c>
      <c r="E1215" s="18" t="s">
        <v>6467</v>
      </c>
      <c r="F1215" s="7" t="s">
        <v>7385</v>
      </c>
      <c r="G1215" s="4" t="s">
        <v>1888</v>
      </c>
      <c r="H1215" s="17">
        <v>0.4</v>
      </c>
      <c r="I1215" s="18">
        <v>710000000</v>
      </c>
      <c r="J1215" s="4" t="s">
        <v>1931</v>
      </c>
      <c r="K1215" s="4" t="s">
        <v>5706</v>
      </c>
      <c r="L1215" s="7" t="s">
        <v>1940</v>
      </c>
      <c r="M1215" s="8" t="s">
        <v>3195</v>
      </c>
      <c r="N1215" s="4" t="s">
        <v>1890</v>
      </c>
      <c r="O1215" s="16" t="s">
        <v>2146</v>
      </c>
      <c r="P1215" s="27">
        <v>839</v>
      </c>
      <c r="Q1215" s="4" t="s">
        <v>5419</v>
      </c>
      <c r="R1215" s="10">
        <f>112+200</f>
        <v>312</v>
      </c>
      <c r="S1215" s="34">
        <v>8120.54</v>
      </c>
      <c r="T1215" s="10">
        <f t="shared" ref="T1215" si="513">S1215*R1215</f>
        <v>2533608.48</v>
      </c>
      <c r="U1215" s="10">
        <f t="shared" ref="U1215" si="514">T1215*1.12</f>
        <v>2837641.4976000004</v>
      </c>
      <c r="V1215" s="35" t="s">
        <v>3027</v>
      </c>
      <c r="W1215" s="11">
        <v>2015</v>
      </c>
      <c r="X1215" s="36"/>
    </row>
    <row r="1216" spans="1:24" ht="76.5" customHeight="1" outlineLevel="1" x14ac:dyDescent="0.2">
      <c r="A1216" s="1" t="s">
        <v>5047</v>
      </c>
      <c r="B1216" s="15" t="s">
        <v>5277</v>
      </c>
      <c r="C1216" s="4" t="s">
        <v>4122</v>
      </c>
      <c r="D1216" s="4" t="s">
        <v>5720</v>
      </c>
      <c r="E1216" s="4" t="s">
        <v>594</v>
      </c>
      <c r="F1216" s="4"/>
      <c r="G1216" s="4" t="s">
        <v>3190</v>
      </c>
      <c r="H1216" s="17">
        <v>0.4</v>
      </c>
      <c r="I1216" s="18">
        <v>710000000</v>
      </c>
      <c r="J1216" s="4" t="s">
        <v>1931</v>
      </c>
      <c r="K1216" s="4" t="s">
        <v>5706</v>
      </c>
      <c r="L1216" s="7" t="s">
        <v>1940</v>
      </c>
      <c r="M1216" s="8" t="s">
        <v>3195</v>
      </c>
      <c r="N1216" s="4" t="s">
        <v>1890</v>
      </c>
      <c r="O1216" s="16" t="s">
        <v>2146</v>
      </c>
      <c r="P1216" s="8">
        <v>839</v>
      </c>
      <c r="Q1216" s="4" t="s">
        <v>5413</v>
      </c>
      <c r="R1216" s="10">
        <v>1</v>
      </c>
      <c r="S1216" s="10">
        <v>5464</v>
      </c>
      <c r="T1216" s="10">
        <v>0</v>
      </c>
      <c r="U1216" s="10">
        <f t="shared" si="440"/>
        <v>0</v>
      </c>
      <c r="V1216" s="11"/>
      <c r="W1216" s="11">
        <v>2015</v>
      </c>
      <c r="X1216" s="1" t="s">
        <v>6565</v>
      </c>
    </row>
    <row r="1217" spans="1:24" ht="76.5" customHeight="1" outlineLevel="1" x14ac:dyDescent="0.2">
      <c r="A1217" s="1" t="s">
        <v>5048</v>
      </c>
      <c r="B1217" s="15" t="s">
        <v>5277</v>
      </c>
      <c r="C1217" s="4" t="s">
        <v>1389</v>
      </c>
      <c r="D1217" s="4" t="s">
        <v>1390</v>
      </c>
      <c r="E1217" s="4" t="s">
        <v>1391</v>
      </c>
      <c r="F1217" s="4"/>
      <c r="G1217" s="4" t="s">
        <v>3190</v>
      </c>
      <c r="H1217" s="17">
        <v>0.4</v>
      </c>
      <c r="I1217" s="18">
        <v>710000000</v>
      </c>
      <c r="J1217" s="4" t="s">
        <v>1931</v>
      </c>
      <c r="K1217" s="4" t="s">
        <v>5706</v>
      </c>
      <c r="L1217" s="7" t="s">
        <v>1940</v>
      </c>
      <c r="M1217" s="8" t="s">
        <v>3195</v>
      </c>
      <c r="N1217" s="4" t="s">
        <v>1890</v>
      </c>
      <c r="O1217" s="16" t="s">
        <v>2146</v>
      </c>
      <c r="P1217" s="8">
        <v>839</v>
      </c>
      <c r="Q1217" s="4" t="s">
        <v>5413</v>
      </c>
      <c r="R1217" s="10">
        <v>1</v>
      </c>
      <c r="S1217" s="10">
        <v>6854</v>
      </c>
      <c r="T1217" s="10">
        <v>0</v>
      </c>
      <c r="U1217" s="10">
        <f t="shared" si="440"/>
        <v>0</v>
      </c>
      <c r="V1217" s="11"/>
      <c r="W1217" s="11">
        <v>2015</v>
      </c>
      <c r="X1217" s="1" t="s">
        <v>6565</v>
      </c>
    </row>
    <row r="1218" spans="1:24" ht="76.5" customHeight="1" outlineLevel="1" x14ac:dyDescent="0.2">
      <c r="A1218" s="1" t="s">
        <v>5049</v>
      </c>
      <c r="B1218" s="24" t="s">
        <v>5277</v>
      </c>
      <c r="C1218" s="7" t="s">
        <v>1389</v>
      </c>
      <c r="D1218" s="7" t="s">
        <v>1390</v>
      </c>
      <c r="E1218" s="18" t="s">
        <v>1391</v>
      </c>
      <c r="F1218" s="25" t="s">
        <v>5719</v>
      </c>
      <c r="G1218" s="1" t="s">
        <v>1888</v>
      </c>
      <c r="H1218" s="17">
        <v>0.4</v>
      </c>
      <c r="I1218" s="18">
        <v>710000000</v>
      </c>
      <c r="J1218" s="4" t="s">
        <v>1931</v>
      </c>
      <c r="K1218" s="4" t="s">
        <v>5706</v>
      </c>
      <c r="L1218" s="7" t="s">
        <v>1940</v>
      </c>
      <c r="M1218" s="8" t="s">
        <v>3195</v>
      </c>
      <c r="N1218" s="8" t="s">
        <v>1890</v>
      </c>
      <c r="O1218" s="16" t="s">
        <v>2146</v>
      </c>
      <c r="P1218" s="1">
        <v>839</v>
      </c>
      <c r="Q1218" s="4" t="s">
        <v>5419</v>
      </c>
      <c r="R1218" s="10">
        <v>1</v>
      </c>
      <c r="S1218" s="10">
        <v>6854.47</v>
      </c>
      <c r="T1218" s="10">
        <v>0</v>
      </c>
      <c r="U1218" s="10">
        <f t="shared" si="440"/>
        <v>0</v>
      </c>
      <c r="V1218" s="8" t="s">
        <v>3027</v>
      </c>
      <c r="W1218" s="11">
        <v>2015</v>
      </c>
      <c r="X1218" s="1">
        <v>11</v>
      </c>
    </row>
    <row r="1219" spans="1:24" ht="76.5" customHeight="1" outlineLevel="1" x14ac:dyDescent="0.2">
      <c r="A1219" s="1" t="s">
        <v>8761</v>
      </c>
      <c r="B1219" s="24" t="s">
        <v>5277</v>
      </c>
      <c r="C1219" s="7" t="s">
        <v>1389</v>
      </c>
      <c r="D1219" s="7" t="s">
        <v>1390</v>
      </c>
      <c r="E1219" s="18" t="s">
        <v>1391</v>
      </c>
      <c r="F1219" s="25" t="s">
        <v>5719</v>
      </c>
      <c r="G1219" s="1" t="s">
        <v>1888</v>
      </c>
      <c r="H1219" s="17">
        <v>0.4</v>
      </c>
      <c r="I1219" s="18">
        <v>710000000</v>
      </c>
      <c r="J1219" s="4" t="s">
        <v>1931</v>
      </c>
      <c r="K1219" s="4" t="s">
        <v>6167</v>
      </c>
      <c r="L1219" s="7" t="s">
        <v>1940</v>
      </c>
      <c r="M1219" s="8" t="s">
        <v>3195</v>
      </c>
      <c r="N1219" s="8" t="s">
        <v>1890</v>
      </c>
      <c r="O1219" s="16" t="s">
        <v>2146</v>
      </c>
      <c r="P1219" s="1">
        <v>839</v>
      </c>
      <c r="Q1219" s="4" t="s">
        <v>5419</v>
      </c>
      <c r="R1219" s="10">
        <v>1</v>
      </c>
      <c r="S1219" s="10">
        <v>6854.47</v>
      </c>
      <c r="T1219" s="10">
        <v>0</v>
      </c>
      <c r="U1219" s="10">
        <f t="shared" ref="U1219" si="515">T1219*1.12</f>
        <v>0</v>
      </c>
      <c r="V1219" s="8" t="s">
        <v>3027</v>
      </c>
      <c r="W1219" s="11">
        <v>2015</v>
      </c>
      <c r="X1219" s="8">
        <v>11.22</v>
      </c>
    </row>
    <row r="1220" spans="1:24" ht="76.5" customHeight="1" outlineLevel="1" x14ac:dyDescent="0.2">
      <c r="A1220" s="1" t="s">
        <v>9022</v>
      </c>
      <c r="B1220" s="24" t="s">
        <v>5277</v>
      </c>
      <c r="C1220" s="7" t="s">
        <v>1389</v>
      </c>
      <c r="D1220" s="7" t="s">
        <v>1390</v>
      </c>
      <c r="E1220" s="18" t="s">
        <v>1391</v>
      </c>
      <c r="F1220" s="25" t="s">
        <v>5719</v>
      </c>
      <c r="G1220" s="1" t="s">
        <v>1888</v>
      </c>
      <c r="H1220" s="17">
        <v>0.4</v>
      </c>
      <c r="I1220" s="18">
        <v>710000000</v>
      </c>
      <c r="J1220" s="4" t="s">
        <v>1931</v>
      </c>
      <c r="K1220" s="4" t="s">
        <v>8982</v>
      </c>
      <c r="L1220" s="7" t="s">
        <v>1940</v>
      </c>
      <c r="M1220" s="8" t="s">
        <v>3195</v>
      </c>
      <c r="N1220" s="8" t="s">
        <v>1890</v>
      </c>
      <c r="O1220" s="16" t="s">
        <v>2146</v>
      </c>
      <c r="P1220" s="1">
        <v>839</v>
      </c>
      <c r="Q1220" s="4" t="s">
        <v>5419</v>
      </c>
      <c r="R1220" s="10">
        <v>1</v>
      </c>
      <c r="S1220" s="10">
        <v>6854.47</v>
      </c>
      <c r="T1220" s="10">
        <f t="shared" ref="T1220" si="516">S1220*R1220</f>
        <v>6854.47</v>
      </c>
      <c r="U1220" s="10">
        <f t="shared" ref="U1220" si="517">T1220*1.12</f>
        <v>7677.0064000000011</v>
      </c>
      <c r="V1220" s="8"/>
      <c r="W1220" s="11">
        <v>2015</v>
      </c>
      <c r="X1220" s="8"/>
    </row>
    <row r="1221" spans="1:24" ht="76.5" customHeight="1" outlineLevel="1" x14ac:dyDescent="0.2">
      <c r="A1221" s="1" t="s">
        <v>5050</v>
      </c>
      <c r="B1221" s="24" t="s">
        <v>5277</v>
      </c>
      <c r="C1221" s="7" t="s">
        <v>4122</v>
      </c>
      <c r="D1221" s="7" t="s">
        <v>5720</v>
      </c>
      <c r="E1221" s="18" t="s">
        <v>5721</v>
      </c>
      <c r="F1221" s="25"/>
      <c r="G1221" s="1" t="s">
        <v>1888</v>
      </c>
      <c r="H1221" s="17">
        <v>0.4</v>
      </c>
      <c r="I1221" s="18">
        <v>710000000</v>
      </c>
      <c r="J1221" s="4" t="s">
        <v>1931</v>
      </c>
      <c r="K1221" s="4" t="s">
        <v>5706</v>
      </c>
      <c r="L1221" s="7" t="s">
        <v>1940</v>
      </c>
      <c r="M1221" s="8" t="s">
        <v>3195</v>
      </c>
      <c r="N1221" s="8" t="s">
        <v>1890</v>
      </c>
      <c r="O1221" s="16" t="s">
        <v>2146</v>
      </c>
      <c r="P1221" s="1" t="s">
        <v>4121</v>
      </c>
      <c r="Q1221" s="4" t="s">
        <v>5419</v>
      </c>
      <c r="R1221" s="10">
        <v>1</v>
      </c>
      <c r="S1221" s="10">
        <v>5464</v>
      </c>
      <c r="T1221" s="10">
        <v>0</v>
      </c>
      <c r="U1221" s="10">
        <f t="shared" si="440"/>
        <v>0</v>
      </c>
      <c r="V1221" s="8" t="s">
        <v>3027</v>
      </c>
      <c r="W1221" s="11">
        <v>2015</v>
      </c>
      <c r="X1221" s="1">
        <v>11</v>
      </c>
    </row>
    <row r="1222" spans="1:24" ht="76.5" customHeight="1" outlineLevel="1" x14ac:dyDescent="0.2">
      <c r="A1222" s="1" t="s">
        <v>8762</v>
      </c>
      <c r="B1222" s="24" t="s">
        <v>5277</v>
      </c>
      <c r="C1222" s="7" t="s">
        <v>4122</v>
      </c>
      <c r="D1222" s="7" t="s">
        <v>5720</v>
      </c>
      <c r="E1222" s="18" t="s">
        <v>5721</v>
      </c>
      <c r="F1222" s="25"/>
      <c r="G1222" s="1" t="s">
        <v>1888</v>
      </c>
      <c r="H1222" s="17">
        <v>0.4</v>
      </c>
      <c r="I1222" s="18">
        <v>710000000</v>
      </c>
      <c r="J1222" s="4" t="s">
        <v>1931</v>
      </c>
      <c r="K1222" s="4" t="s">
        <v>6167</v>
      </c>
      <c r="L1222" s="7" t="s">
        <v>1940</v>
      </c>
      <c r="M1222" s="8" t="s">
        <v>3195</v>
      </c>
      <c r="N1222" s="8" t="s">
        <v>1890</v>
      </c>
      <c r="O1222" s="16" t="s">
        <v>2146</v>
      </c>
      <c r="P1222" s="1" t="s">
        <v>4121</v>
      </c>
      <c r="Q1222" s="4" t="s">
        <v>5419</v>
      </c>
      <c r="R1222" s="10">
        <v>1</v>
      </c>
      <c r="S1222" s="10">
        <v>5464</v>
      </c>
      <c r="T1222" s="10">
        <v>0</v>
      </c>
      <c r="U1222" s="10">
        <f t="shared" ref="U1222" si="518">T1222*1.12</f>
        <v>0</v>
      </c>
      <c r="V1222" s="8" t="s">
        <v>3027</v>
      </c>
      <c r="W1222" s="11">
        <v>2015</v>
      </c>
      <c r="X1222" s="8">
        <v>11.22</v>
      </c>
    </row>
    <row r="1223" spans="1:24" ht="76.5" customHeight="1" outlineLevel="1" x14ac:dyDescent="0.2">
      <c r="A1223" s="1" t="s">
        <v>9023</v>
      </c>
      <c r="B1223" s="24" t="s">
        <v>5277</v>
      </c>
      <c r="C1223" s="7" t="s">
        <v>4122</v>
      </c>
      <c r="D1223" s="7" t="s">
        <v>5720</v>
      </c>
      <c r="E1223" s="18" t="s">
        <v>5721</v>
      </c>
      <c r="F1223" s="25"/>
      <c r="G1223" s="1" t="s">
        <v>1888</v>
      </c>
      <c r="H1223" s="17">
        <v>0.4</v>
      </c>
      <c r="I1223" s="18">
        <v>710000000</v>
      </c>
      <c r="J1223" s="4" t="s">
        <v>1931</v>
      </c>
      <c r="K1223" s="4" t="s">
        <v>8982</v>
      </c>
      <c r="L1223" s="7" t="s">
        <v>1940</v>
      </c>
      <c r="M1223" s="8" t="s">
        <v>3195</v>
      </c>
      <c r="N1223" s="8" t="s">
        <v>1890</v>
      </c>
      <c r="O1223" s="16" t="s">
        <v>2146</v>
      </c>
      <c r="P1223" s="1" t="s">
        <v>4121</v>
      </c>
      <c r="Q1223" s="4" t="s">
        <v>5419</v>
      </c>
      <c r="R1223" s="10">
        <v>1</v>
      </c>
      <c r="S1223" s="10">
        <v>5464</v>
      </c>
      <c r="T1223" s="10">
        <f t="shared" ref="T1223" si="519">S1223*R1223</f>
        <v>5464</v>
      </c>
      <c r="U1223" s="10">
        <f t="shared" ref="U1223" si="520">T1223*1.12</f>
        <v>6119.68</v>
      </c>
      <c r="V1223" s="8"/>
      <c r="W1223" s="11">
        <v>2015</v>
      </c>
      <c r="X1223" s="8"/>
    </row>
    <row r="1224" spans="1:24" ht="76.5" customHeight="1" outlineLevel="1" x14ac:dyDescent="0.2">
      <c r="A1224" s="1" t="s">
        <v>5051</v>
      </c>
      <c r="B1224" s="24" t="s">
        <v>5277</v>
      </c>
      <c r="C1224" s="7" t="s">
        <v>4131</v>
      </c>
      <c r="D1224" s="7" t="s">
        <v>4132</v>
      </c>
      <c r="E1224" s="18" t="s">
        <v>5731</v>
      </c>
      <c r="F1224" s="25"/>
      <c r="G1224" s="4" t="s">
        <v>1888</v>
      </c>
      <c r="H1224" s="17">
        <v>0.4</v>
      </c>
      <c r="I1224" s="18">
        <v>710000000</v>
      </c>
      <c r="J1224" s="4" t="s">
        <v>1931</v>
      </c>
      <c r="K1224" s="4" t="s">
        <v>5706</v>
      </c>
      <c r="L1224" s="7" t="s">
        <v>1940</v>
      </c>
      <c r="M1224" s="8" t="s">
        <v>3195</v>
      </c>
      <c r="N1224" s="8" t="s">
        <v>1890</v>
      </c>
      <c r="O1224" s="16" t="s">
        <v>2146</v>
      </c>
      <c r="P1224" s="8">
        <v>796</v>
      </c>
      <c r="Q1224" s="8" t="s">
        <v>3196</v>
      </c>
      <c r="R1224" s="10">
        <v>54</v>
      </c>
      <c r="S1224" s="10">
        <v>955.36</v>
      </c>
      <c r="T1224" s="10">
        <v>0</v>
      </c>
      <c r="U1224" s="10">
        <f t="shared" si="440"/>
        <v>0</v>
      </c>
      <c r="V1224" s="8" t="s">
        <v>3027</v>
      </c>
      <c r="W1224" s="11">
        <v>2015</v>
      </c>
      <c r="X1224" s="8">
        <v>6</v>
      </c>
    </row>
    <row r="1225" spans="1:24" ht="76.5" customHeight="1" outlineLevel="1" x14ac:dyDescent="0.2">
      <c r="A1225" s="1" t="s">
        <v>7498</v>
      </c>
      <c r="B1225" s="24" t="s">
        <v>5277</v>
      </c>
      <c r="C1225" s="7" t="s">
        <v>4131</v>
      </c>
      <c r="D1225" s="7" t="s">
        <v>4132</v>
      </c>
      <c r="E1225" s="18" t="s">
        <v>5731</v>
      </c>
      <c r="F1225" s="25" t="s">
        <v>7499</v>
      </c>
      <c r="G1225" s="4" t="s">
        <v>1888</v>
      </c>
      <c r="H1225" s="17">
        <v>0.4</v>
      </c>
      <c r="I1225" s="18">
        <v>710000000</v>
      </c>
      <c r="J1225" s="4" t="s">
        <v>1931</v>
      </c>
      <c r="K1225" s="4" t="s">
        <v>5706</v>
      </c>
      <c r="L1225" s="7" t="s">
        <v>1940</v>
      </c>
      <c r="M1225" s="8" t="s">
        <v>3195</v>
      </c>
      <c r="N1225" s="8" t="s">
        <v>1890</v>
      </c>
      <c r="O1225" s="16" t="s">
        <v>2146</v>
      </c>
      <c r="P1225" s="8">
        <v>796</v>
      </c>
      <c r="Q1225" s="8" t="s">
        <v>3196</v>
      </c>
      <c r="R1225" s="10">
        <v>54</v>
      </c>
      <c r="S1225" s="10">
        <v>955.36</v>
      </c>
      <c r="T1225" s="10">
        <f t="shared" ref="T1225" si="521">S1225*R1225</f>
        <v>51589.440000000002</v>
      </c>
      <c r="U1225" s="10">
        <f t="shared" ref="U1225" si="522">T1225*1.12</f>
        <v>57780.172800000008</v>
      </c>
      <c r="V1225" s="8" t="s">
        <v>3027</v>
      </c>
      <c r="W1225" s="11">
        <v>2015</v>
      </c>
      <c r="X1225" s="8"/>
    </row>
    <row r="1226" spans="1:24" ht="76.5" customHeight="1" outlineLevel="1" x14ac:dyDescent="0.2">
      <c r="A1226" s="1" t="s">
        <v>5052</v>
      </c>
      <c r="B1226" s="15" t="s">
        <v>5277</v>
      </c>
      <c r="C1226" s="18" t="s">
        <v>628</v>
      </c>
      <c r="D1226" s="18" t="s">
        <v>4132</v>
      </c>
      <c r="E1226" s="18" t="s">
        <v>629</v>
      </c>
      <c r="F1226" s="25"/>
      <c r="G1226" s="4" t="s">
        <v>1888</v>
      </c>
      <c r="H1226" s="17">
        <v>0.4</v>
      </c>
      <c r="I1226" s="18">
        <v>710000000</v>
      </c>
      <c r="J1226" s="4" t="s">
        <v>1931</v>
      </c>
      <c r="K1226" s="4" t="s">
        <v>5706</v>
      </c>
      <c r="L1226" s="7" t="s">
        <v>1940</v>
      </c>
      <c r="M1226" s="8" t="s">
        <v>3195</v>
      </c>
      <c r="N1226" s="4" t="s">
        <v>1890</v>
      </c>
      <c r="O1226" s="16" t="s">
        <v>2146</v>
      </c>
      <c r="P1226" s="8">
        <v>796</v>
      </c>
      <c r="Q1226" s="8" t="s">
        <v>3196</v>
      </c>
      <c r="R1226" s="10">
        <v>43</v>
      </c>
      <c r="S1226" s="19">
        <v>955.35699999999997</v>
      </c>
      <c r="T1226" s="10">
        <v>0</v>
      </c>
      <c r="U1226" s="10">
        <f t="shared" ref="U1226:U1377" si="523">T1226*1.12</f>
        <v>0</v>
      </c>
      <c r="V1226" s="11" t="s">
        <v>3027</v>
      </c>
      <c r="W1226" s="11">
        <v>2015</v>
      </c>
      <c r="X1226" s="1">
        <v>6</v>
      </c>
    </row>
    <row r="1227" spans="1:24" ht="76.5" customHeight="1" outlineLevel="1" x14ac:dyDescent="0.2">
      <c r="A1227" s="1" t="s">
        <v>7501</v>
      </c>
      <c r="B1227" s="15" t="s">
        <v>5277</v>
      </c>
      <c r="C1227" s="18" t="s">
        <v>628</v>
      </c>
      <c r="D1227" s="18" t="s">
        <v>4132</v>
      </c>
      <c r="E1227" s="18" t="s">
        <v>629</v>
      </c>
      <c r="F1227" s="25" t="s">
        <v>7500</v>
      </c>
      <c r="G1227" s="4" t="s">
        <v>1888</v>
      </c>
      <c r="H1227" s="17">
        <v>0.4</v>
      </c>
      <c r="I1227" s="18">
        <v>710000000</v>
      </c>
      <c r="J1227" s="4" t="s">
        <v>1931</v>
      </c>
      <c r="K1227" s="4" t="s">
        <v>5706</v>
      </c>
      <c r="L1227" s="7" t="s">
        <v>1940</v>
      </c>
      <c r="M1227" s="8" t="s">
        <v>3195</v>
      </c>
      <c r="N1227" s="4" t="s">
        <v>1890</v>
      </c>
      <c r="O1227" s="16" t="s">
        <v>2146</v>
      </c>
      <c r="P1227" s="8">
        <v>796</v>
      </c>
      <c r="Q1227" s="8" t="s">
        <v>3196</v>
      </c>
      <c r="R1227" s="10">
        <v>43</v>
      </c>
      <c r="S1227" s="19">
        <v>955.35699999999997</v>
      </c>
      <c r="T1227" s="10">
        <f t="shared" ref="T1227" si="524">S1227*R1227</f>
        <v>41080.350999999995</v>
      </c>
      <c r="U1227" s="10">
        <f t="shared" ref="U1227" si="525">T1227*1.12</f>
        <v>46009.993119999999</v>
      </c>
      <c r="V1227" s="11" t="s">
        <v>3027</v>
      </c>
      <c r="W1227" s="11">
        <v>2015</v>
      </c>
      <c r="X1227" s="20"/>
    </row>
    <row r="1228" spans="1:24" ht="76.5" customHeight="1" outlineLevel="1" x14ac:dyDescent="0.2">
      <c r="A1228" s="1" t="s">
        <v>5053</v>
      </c>
      <c r="B1228" s="24" t="s">
        <v>5277</v>
      </c>
      <c r="C1228" s="7" t="s">
        <v>4128</v>
      </c>
      <c r="D1228" s="7" t="s">
        <v>6169</v>
      </c>
      <c r="E1228" s="18" t="s">
        <v>5727</v>
      </c>
      <c r="F1228" s="25"/>
      <c r="G1228" s="1" t="s">
        <v>1888</v>
      </c>
      <c r="H1228" s="17">
        <v>0.4</v>
      </c>
      <c r="I1228" s="18">
        <v>710000000</v>
      </c>
      <c r="J1228" s="4" t="s">
        <v>1931</v>
      </c>
      <c r="K1228" s="4" t="s">
        <v>5706</v>
      </c>
      <c r="L1228" s="7" t="s">
        <v>1940</v>
      </c>
      <c r="M1228" s="8" t="s">
        <v>3195</v>
      </c>
      <c r="N1228" s="8" t="s">
        <v>1890</v>
      </c>
      <c r="O1228" s="16" t="s">
        <v>2146</v>
      </c>
      <c r="P1228" s="8">
        <v>796</v>
      </c>
      <c r="Q1228" s="8" t="s">
        <v>3196</v>
      </c>
      <c r="R1228" s="10">
        <v>80</v>
      </c>
      <c r="S1228" s="10">
        <v>716.96</v>
      </c>
      <c r="T1228" s="10">
        <v>0</v>
      </c>
      <c r="U1228" s="10">
        <f t="shared" si="523"/>
        <v>0</v>
      </c>
      <c r="V1228" s="8" t="s">
        <v>3027</v>
      </c>
      <c r="W1228" s="11">
        <v>2015</v>
      </c>
      <c r="X1228" s="8">
        <v>6</v>
      </c>
    </row>
    <row r="1229" spans="1:24" ht="76.5" customHeight="1" outlineLevel="1" x14ac:dyDescent="0.2">
      <c r="A1229" s="1" t="s">
        <v>7502</v>
      </c>
      <c r="B1229" s="24" t="s">
        <v>5277</v>
      </c>
      <c r="C1229" s="7" t="s">
        <v>4128</v>
      </c>
      <c r="D1229" s="7" t="s">
        <v>6169</v>
      </c>
      <c r="E1229" s="18" t="s">
        <v>5727</v>
      </c>
      <c r="F1229" s="25" t="s">
        <v>7503</v>
      </c>
      <c r="G1229" s="1" t="s">
        <v>1888</v>
      </c>
      <c r="H1229" s="17">
        <v>0.4</v>
      </c>
      <c r="I1229" s="18">
        <v>710000000</v>
      </c>
      <c r="J1229" s="4" t="s">
        <v>1931</v>
      </c>
      <c r="K1229" s="4" t="s">
        <v>5706</v>
      </c>
      <c r="L1229" s="7" t="s">
        <v>1940</v>
      </c>
      <c r="M1229" s="8" t="s">
        <v>3195</v>
      </c>
      <c r="N1229" s="8" t="s">
        <v>1890</v>
      </c>
      <c r="O1229" s="16" t="s">
        <v>2146</v>
      </c>
      <c r="P1229" s="8">
        <v>796</v>
      </c>
      <c r="Q1229" s="8" t="s">
        <v>3196</v>
      </c>
      <c r="R1229" s="10">
        <v>80</v>
      </c>
      <c r="S1229" s="10">
        <v>716.96</v>
      </c>
      <c r="T1229" s="10">
        <v>0</v>
      </c>
      <c r="U1229" s="10">
        <f t="shared" ref="U1229" si="526">T1229*1.12</f>
        <v>0</v>
      </c>
      <c r="V1229" s="8" t="s">
        <v>3027</v>
      </c>
      <c r="W1229" s="11">
        <v>2015</v>
      </c>
      <c r="X1229" s="8">
        <v>11</v>
      </c>
    </row>
    <row r="1230" spans="1:24" ht="76.5" customHeight="1" outlineLevel="1" x14ac:dyDescent="0.2">
      <c r="A1230" s="1" t="s">
        <v>8763</v>
      </c>
      <c r="B1230" s="24" t="s">
        <v>5277</v>
      </c>
      <c r="C1230" s="7" t="s">
        <v>4128</v>
      </c>
      <c r="D1230" s="7" t="s">
        <v>6169</v>
      </c>
      <c r="E1230" s="18" t="s">
        <v>5727</v>
      </c>
      <c r="F1230" s="25" t="s">
        <v>7503</v>
      </c>
      <c r="G1230" s="1" t="s">
        <v>1888</v>
      </c>
      <c r="H1230" s="17">
        <v>0.4</v>
      </c>
      <c r="I1230" s="18">
        <v>710000000</v>
      </c>
      <c r="J1230" s="4" t="s">
        <v>1931</v>
      </c>
      <c r="K1230" s="4" t="s">
        <v>6167</v>
      </c>
      <c r="L1230" s="7" t="s">
        <v>1940</v>
      </c>
      <c r="M1230" s="8" t="s">
        <v>3195</v>
      </c>
      <c r="N1230" s="8" t="s">
        <v>1890</v>
      </c>
      <c r="O1230" s="16" t="s">
        <v>2146</v>
      </c>
      <c r="P1230" s="8">
        <v>796</v>
      </c>
      <c r="Q1230" s="8" t="s">
        <v>3196</v>
      </c>
      <c r="R1230" s="10">
        <v>80</v>
      </c>
      <c r="S1230" s="10">
        <v>716.96</v>
      </c>
      <c r="T1230" s="10">
        <v>0</v>
      </c>
      <c r="U1230" s="10">
        <f t="shared" ref="U1230" si="527">T1230*1.12</f>
        <v>0</v>
      </c>
      <c r="V1230" s="8" t="s">
        <v>3027</v>
      </c>
      <c r="W1230" s="11">
        <v>2015</v>
      </c>
      <c r="X1230" s="8">
        <v>11.22</v>
      </c>
    </row>
    <row r="1231" spans="1:24" ht="76.5" customHeight="1" outlineLevel="1" x14ac:dyDescent="0.2">
      <c r="A1231" s="1" t="s">
        <v>9024</v>
      </c>
      <c r="B1231" s="24" t="s">
        <v>5277</v>
      </c>
      <c r="C1231" s="7" t="s">
        <v>4128</v>
      </c>
      <c r="D1231" s="7" t="s">
        <v>6169</v>
      </c>
      <c r="E1231" s="18" t="s">
        <v>5727</v>
      </c>
      <c r="F1231" s="25" t="s">
        <v>7503</v>
      </c>
      <c r="G1231" s="1" t="s">
        <v>1888</v>
      </c>
      <c r="H1231" s="17">
        <v>0.4</v>
      </c>
      <c r="I1231" s="18">
        <v>710000000</v>
      </c>
      <c r="J1231" s="4" t="s">
        <v>1931</v>
      </c>
      <c r="K1231" s="4" t="s">
        <v>8982</v>
      </c>
      <c r="L1231" s="7" t="s">
        <v>1940</v>
      </c>
      <c r="M1231" s="8" t="s">
        <v>3195</v>
      </c>
      <c r="N1231" s="8" t="s">
        <v>1890</v>
      </c>
      <c r="O1231" s="16" t="s">
        <v>2146</v>
      </c>
      <c r="P1231" s="8">
        <v>796</v>
      </c>
      <c r="Q1231" s="8" t="s">
        <v>3196</v>
      </c>
      <c r="R1231" s="10">
        <v>80</v>
      </c>
      <c r="S1231" s="10">
        <v>716.96</v>
      </c>
      <c r="T1231" s="10">
        <f t="shared" ref="T1231" si="528">S1231*R1231</f>
        <v>57356.800000000003</v>
      </c>
      <c r="U1231" s="10">
        <f t="shared" ref="U1231" si="529">T1231*1.12</f>
        <v>64239.616000000009</v>
      </c>
      <c r="V1231" s="8"/>
      <c r="W1231" s="11">
        <v>2015</v>
      </c>
      <c r="X1231" s="8"/>
    </row>
    <row r="1232" spans="1:24" ht="76.5" customHeight="1" outlineLevel="1" x14ac:dyDescent="0.2">
      <c r="A1232" s="1" t="s">
        <v>5054</v>
      </c>
      <c r="B1232" s="24" t="s">
        <v>5277</v>
      </c>
      <c r="C1232" s="7" t="s">
        <v>1386</v>
      </c>
      <c r="D1232" s="7" t="s">
        <v>1387</v>
      </c>
      <c r="E1232" s="18" t="s">
        <v>1388</v>
      </c>
      <c r="F1232" s="25"/>
      <c r="G1232" s="1" t="s">
        <v>1888</v>
      </c>
      <c r="H1232" s="17">
        <v>0.4</v>
      </c>
      <c r="I1232" s="18">
        <v>710000000</v>
      </c>
      <c r="J1232" s="4" t="s">
        <v>1931</v>
      </c>
      <c r="K1232" s="4" t="s">
        <v>5706</v>
      </c>
      <c r="L1232" s="7" t="s">
        <v>1940</v>
      </c>
      <c r="M1232" s="8" t="s">
        <v>3195</v>
      </c>
      <c r="N1232" s="8" t="s">
        <v>1890</v>
      </c>
      <c r="O1232" s="16" t="s">
        <v>2146</v>
      </c>
      <c r="P1232" s="8">
        <v>796</v>
      </c>
      <c r="Q1232" s="8" t="s">
        <v>3196</v>
      </c>
      <c r="R1232" s="10">
        <v>57</v>
      </c>
      <c r="S1232" s="10">
        <v>955.36</v>
      </c>
      <c r="T1232" s="10">
        <v>0</v>
      </c>
      <c r="U1232" s="10">
        <f t="shared" si="523"/>
        <v>0</v>
      </c>
      <c r="V1232" s="8" t="s">
        <v>3027</v>
      </c>
      <c r="W1232" s="11">
        <v>2015</v>
      </c>
      <c r="X1232" s="8">
        <v>6</v>
      </c>
    </row>
    <row r="1233" spans="1:24" ht="76.5" customHeight="1" outlineLevel="1" x14ac:dyDescent="0.2">
      <c r="A1233" s="1" t="s">
        <v>7504</v>
      </c>
      <c r="B1233" s="24" t="s">
        <v>5277</v>
      </c>
      <c r="C1233" s="7" t="s">
        <v>1386</v>
      </c>
      <c r="D1233" s="7" t="s">
        <v>1387</v>
      </c>
      <c r="E1233" s="18" t="s">
        <v>1388</v>
      </c>
      <c r="F1233" s="18" t="s">
        <v>7505</v>
      </c>
      <c r="G1233" s="1" t="s">
        <v>1888</v>
      </c>
      <c r="H1233" s="17">
        <v>0.4</v>
      </c>
      <c r="I1233" s="18">
        <v>710000000</v>
      </c>
      <c r="J1233" s="4" t="s">
        <v>1931</v>
      </c>
      <c r="K1233" s="4" t="s">
        <v>5706</v>
      </c>
      <c r="L1233" s="7" t="s">
        <v>1940</v>
      </c>
      <c r="M1233" s="8" t="s">
        <v>3195</v>
      </c>
      <c r="N1233" s="8" t="s">
        <v>1890</v>
      </c>
      <c r="O1233" s="16" t="s">
        <v>2146</v>
      </c>
      <c r="P1233" s="8">
        <v>796</v>
      </c>
      <c r="Q1233" s="8" t="s">
        <v>3196</v>
      </c>
      <c r="R1233" s="10">
        <v>57</v>
      </c>
      <c r="S1233" s="10">
        <v>955.36</v>
      </c>
      <c r="T1233" s="10">
        <v>0</v>
      </c>
      <c r="U1233" s="10">
        <f t="shared" ref="U1233" si="530">T1233*1.12</f>
        <v>0</v>
      </c>
      <c r="V1233" s="8" t="s">
        <v>3027</v>
      </c>
      <c r="W1233" s="11">
        <v>2015</v>
      </c>
      <c r="X1233" s="8">
        <v>11</v>
      </c>
    </row>
    <row r="1234" spans="1:24" ht="76.5" customHeight="1" outlineLevel="1" x14ac:dyDescent="0.2">
      <c r="A1234" s="1" t="s">
        <v>8764</v>
      </c>
      <c r="B1234" s="24" t="s">
        <v>5277</v>
      </c>
      <c r="C1234" s="7" t="s">
        <v>1386</v>
      </c>
      <c r="D1234" s="7" t="s">
        <v>1387</v>
      </c>
      <c r="E1234" s="18" t="s">
        <v>1388</v>
      </c>
      <c r="F1234" s="18" t="s">
        <v>7505</v>
      </c>
      <c r="G1234" s="1" t="s">
        <v>1888</v>
      </c>
      <c r="H1234" s="17">
        <v>0.4</v>
      </c>
      <c r="I1234" s="18">
        <v>710000000</v>
      </c>
      <c r="J1234" s="4" t="s">
        <v>1931</v>
      </c>
      <c r="K1234" s="4" t="s">
        <v>6167</v>
      </c>
      <c r="L1234" s="7" t="s">
        <v>1940</v>
      </c>
      <c r="M1234" s="8" t="s">
        <v>3195</v>
      </c>
      <c r="N1234" s="8" t="s">
        <v>1890</v>
      </c>
      <c r="O1234" s="16" t="s">
        <v>2146</v>
      </c>
      <c r="P1234" s="8">
        <v>796</v>
      </c>
      <c r="Q1234" s="8" t="s">
        <v>3196</v>
      </c>
      <c r="R1234" s="10">
        <v>57</v>
      </c>
      <c r="S1234" s="10">
        <v>955.36</v>
      </c>
      <c r="T1234" s="10">
        <v>0</v>
      </c>
      <c r="U1234" s="10">
        <f t="shared" ref="U1234" si="531">T1234*1.12</f>
        <v>0</v>
      </c>
      <c r="V1234" s="8" t="s">
        <v>3027</v>
      </c>
      <c r="W1234" s="11">
        <v>2015</v>
      </c>
      <c r="X1234" s="8">
        <v>11.22</v>
      </c>
    </row>
    <row r="1235" spans="1:24" ht="76.5" customHeight="1" outlineLevel="1" x14ac:dyDescent="0.2">
      <c r="A1235" s="1" t="s">
        <v>9025</v>
      </c>
      <c r="B1235" s="24" t="s">
        <v>5277</v>
      </c>
      <c r="C1235" s="7" t="s">
        <v>1386</v>
      </c>
      <c r="D1235" s="7" t="s">
        <v>1387</v>
      </c>
      <c r="E1235" s="18" t="s">
        <v>1388</v>
      </c>
      <c r="F1235" s="18" t="s">
        <v>7505</v>
      </c>
      <c r="G1235" s="1" t="s">
        <v>1888</v>
      </c>
      <c r="H1235" s="17">
        <v>0.4</v>
      </c>
      <c r="I1235" s="18">
        <v>710000000</v>
      </c>
      <c r="J1235" s="4" t="s">
        <v>1931</v>
      </c>
      <c r="K1235" s="4" t="s">
        <v>8982</v>
      </c>
      <c r="L1235" s="7" t="s">
        <v>1940</v>
      </c>
      <c r="M1235" s="8" t="s">
        <v>3195</v>
      </c>
      <c r="N1235" s="8" t="s">
        <v>1890</v>
      </c>
      <c r="O1235" s="16" t="s">
        <v>2146</v>
      </c>
      <c r="P1235" s="8">
        <v>796</v>
      </c>
      <c r="Q1235" s="8" t="s">
        <v>3196</v>
      </c>
      <c r="R1235" s="10">
        <v>57</v>
      </c>
      <c r="S1235" s="10">
        <v>955.36</v>
      </c>
      <c r="T1235" s="10">
        <f t="shared" ref="T1235" si="532">S1235*R1235</f>
        <v>54455.520000000004</v>
      </c>
      <c r="U1235" s="10">
        <f t="shared" ref="U1235" si="533">T1235*1.12</f>
        <v>60990.182400000012</v>
      </c>
      <c r="V1235" s="8"/>
      <c r="W1235" s="11">
        <v>2015</v>
      </c>
      <c r="X1235" s="8"/>
    </row>
    <row r="1236" spans="1:24" ht="76.5" customHeight="1" outlineLevel="1" x14ac:dyDescent="0.2">
      <c r="A1236" s="1" t="s">
        <v>5055</v>
      </c>
      <c r="B1236" s="24" t="s">
        <v>5277</v>
      </c>
      <c r="C1236" s="7" t="s">
        <v>595</v>
      </c>
      <c r="D1236" s="66" t="s">
        <v>1393</v>
      </c>
      <c r="E1236" s="18" t="s">
        <v>596</v>
      </c>
      <c r="F1236" s="25" t="s">
        <v>5730</v>
      </c>
      <c r="G1236" s="4" t="s">
        <v>1888</v>
      </c>
      <c r="H1236" s="17">
        <v>0.4</v>
      </c>
      <c r="I1236" s="18">
        <v>710000000</v>
      </c>
      <c r="J1236" s="4" t="s">
        <v>1931</v>
      </c>
      <c r="K1236" s="4" t="s">
        <v>5706</v>
      </c>
      <c r="L1236" s="7" t="s">
        <v>1940</v>
      </c>
      <c r="M1236" s="8" t="s">
        <v>3195</v>
      </c>
      <c r="N1236" s="8" t="s">
        <v>1890</v>
      </c>
      <c r="O1236" s="16" t="s">
        <v>2146</v>
      </c>
      <c r="P1236" s="1">
        <v>715</v>
      </c>
      <c r="Q1236" s="4" t="s">
        <v>5618</v>
      </c>
      <c r="R1236" s="10">
        <v>21</v>
      </c>
      <c r="S1236" s="10">
        <v>764.29</v>
      </c>
      <c r="T1236" s="10">
        <f t="shared" ref="T1236:T1321" si="534">S1236*R1236</f>
        <v>16050.09</v>
      </c>
      <c r="U1236" s="10">
        <f t="shared" si="523"/>
        <v>17976.1008</v>
      </c>
      <c r="V1236" s="8" t="s">
        <v>3027</v>
      </c>
      <c r="W1236" s="11">
        <v>2015</v>
      </c>
      <c r="X1236" s="8"/>
    </row>
    <row r="1237" spans="1:24" ht="76.5" customHeight="1" outlineLevel="1" x14ac:dyDescent="0.2">
      <c r="A1237" s="1" t="s">
        <v>5056</v>
      </c>
      <c r="B1237" s="24" t="s">
        <v>5277</v>
      </c>
      <c r="C1237" s="7" t="s">
        <v>1377</v>
      </c>
      <c r="D1237" s="7" t="s">
        <v>5758</v>
      </c>
      <c r="E1237" s="18" t="s">
        <v>1378</v>
      </c>
      <c r="F1237" s="25"/>
      <c r="G1237" s="4" t="s">
        <v>1888</v>
      </c>
      <c r="H1237" s="17">
        <v>0.4</v>
      </c>
      <c r="I1237" s="18">
        <v>710000000</v>
      </c>
      <c r="J1237" s="4" t="s">
        <v>1931</v>
      </c>
      <c r="K1237" s="4" t="s">
        <v>5706</v>
      </c>
      <c r="L1237" s="7" t="s">
        <v>1940</v>
      </c>
      <c r="M1237" s="8" t="s">
        <v>3195</v>
      </c>
      <c r="N1237" s="8" t="s">
        <v>1890</v>
      </c>
      <c r="O1237" s="16" t="s">
        <v>2146</v>
      </c>
      <c r="P1237" s="1">
        <v>715</v>
      </c>
      <c r="Q1237" s="4" t="s">
        <v>5618</v>
      </c>
      <c r="R1237" s="10">
        <v>6</v>
      </c>
      <c r="S1237" s="10">
        <v>2134</v>
      </c>
      <c r="T1237" s="10">
        <v>0</v>
      </c>
      <c r="U1237" s="10">
        <f t="shared" si="523"/>
        <v>0</v>
      </c>
      <c r="V1237" s="8" t="s">
        <v>3027</v>
      </c>
      <c r="W1237" s="11">
        <v>2015</v>
      </c>
      <c r="X1237" s="8">
        <v>11</v>
      </c>
    </row>
    <row r="1238" spans="1:24" ht="76.5" customHeight="1" outlineLevel="1" x14ac:dyDescent="0.2">
      <c r="A1238" s="1" t="s">
        <v>8765</v>
      </c>
      <c r="B1238" s="24" t="s">
        <v>5277</v>
      </c>
      <c r="C1238" s="7" t="s">
        <v>1377</v>
      </c>
      <c r="D1238" s="7" t="s">
        <v>5758</v>
      </c>
      <c r="E1238" s="18" t="s">
        <v>1378</v>
      </c>
      <c r="F1238" s="25"/>
      <c r="G1238" s="4" t="s">
        <v>1888</v>
      </c>
      <c r="H1238" s="17">
        <v>0.4</v>
      </c>
      <c r="I1238" s="18">
        <v>710000000</v>
      </c>
      <c r="J1238" s="4" t="s">
        <v>1931</v>
      </c>
      <c r="K1238" s="4" t="s">
        <v>6167</v>
      </c>
      <c r="L1238" s="7" t="s">
        <v>1940</v>
      </c>
      <c r="M1238" s="8" t="s">
        <v>3195</v>
      </c>
      <c r="N1238" s="8" t="s">
        <v>1890</v>
      </c>
      <c r="O1238" s="16" t="s">
        <v>2146</v>
      </c>
      <c r="P1238" s="1">
        <v>715</v>
      </c>
      <c r="Q1238" s="4" t="s">
        <v>5618</v>
      </c>
      <c r="R1238" s="10">
        <v>6</v>
      </c>
      <c r="S1238" s="10">
        <v>2134</v>
      </c>
      <c r="T1238" s="10">
        <v>0</v>
      </c>
      <c r="U1238" s="10">
        <f t="shared" ref="U1238" si="535">T1238*1.12</f>
        <v>0</v>
      </c>
      <c r="V1238" s="8" t="s">
        <v>3027</v>
      </c>
      <c r="W1238" s="11">
        <v>2015</v>
      </c>
      <c r="X1238" s="1">
        <v>11.22</v>
      </c>
    </row>
    <row r="1239" spans="1:24" ht="76.5" customHeight="1" outlineLevel="1" x14ac:dyDescent="0.2">
      <c r="A1239" s="1" t="s">
        <v>9026</v>
      </c>
      <c r="B1239" s="24" t="s">
        <v>5277</v>
      </c>
      <c r="C1239" s="7" t="s">
        <v>1377</v>
      </c>
      <c r="D1239" s="7" t="s">
        <v>5758</v>
      </c>
      <c r="E1239" s="18" t="s">
        <v>1378</v>
      </c>
      <c r="F1239" s="25"/>
      <c r="G1239" s="4" t="s">
        <v>1888</v>
      </c>
      <c r="H1239" s="17">
        <v>0.4</v>
      </c>
      <c r="I1239" s="18">
        <v>710000000</v>
      </c>
      <c r="J1239" s="4" t="s">
        <v>1931</v>
      </c>
      <c r="K1239" s="4" t="s">
        <v>8982</v>
      </c>
      <c r="L1239" s="7" t="s">
        <v>1940</v>
      </c>
      <c r="M1239" s="8" t="s">
        <v>3195</v>
      </c>
      <c r="N1239" s="8" t="s">
        <v>1890</v>
      </c>
      <c r="O1239" s="16" t="s">
        <v>2146</v>
      </c>
      <c r="P1239" s="1">
        <v>715</v>
      </c>
      <c r="Q1239" s="4" t="s">
        <v>5618</v>
      </c>
      <c r="R1239" s="10">
        <v>6</v>
      </c>
      <c r="S1239" s="10">
        <v>2134</v>
      </c>
      <c r="T1239" s="10">
        <f t="shared" ref="T1239" si="536">S1239*R1239</f>
        <v>12804</v>
      </c>
      <c r="U1239" s="10">
        <f t="shared" ref="U1239" si="537">T1239*1.12</f>
        <v>14340.480000000001</v>
      </c>
      <c r="V1239" s="8"/>
      <c r="W1239" s="11">
        <v>2015</v>
      </c>
      <c r="X1239" s="1"/>
    </row>
    <row r="1240" spans="1:24" ht="76.5" customHeight="1" outlineLevel="1" x14ac:dyDescent="0.2">
      <c r="A1240" s="1" t="s">
        <v>5057</v>
      </c>
      <c r="B1240" s="24" t="s">
        <v>5277</v>
      </c>
      <c r="C1240" s="7" t="s">
        <v>1820</v>
      </c>
      <c r="D1240" s="7" t="s">
        <v>5245</v>
      </c>
      <c r="E1240" s="18" t="s">
        <v>5246</v>
      </c>
      <c r="F1240" s="25"/>
      <c r="G1240" s="4" t="s">
        <v>1888</v>
      </c>
      <c r="H1240" s="17">
        <v>0.4</v>
      </c>
      <c r="I1240" s="18">
        <v>710000000</v>
      </c>
      <c r="J1240" s="4" t="s">
        <v>1931</v>
      </c>
      <c r="K1240" s="4" t="s">
        <v>5706</v>
      </c>
      <c r="L1240" s="7" t="s">
        <v>1940</v>
      </c>
      <c r="M1240" s="8" t="s">
        <v>3195</v>
      </c>
      <c r="N1240" s="8" t="s">
        <v>1890</v>
      </c>
      <c r="O1240" s="16" t="s">
        <v>2146</v>
      </c>
      <c r="P1240" s="1" t="s">
        <v>3418</v>
      </c>
      <c r="Q1240" s="4" t="s">
        <v>5618</v>
      </c>
      <c r="R1240" s="10">
        <v>2582</v>
      </c>
      <c r="S1240" s="10">
        <v>60.71</v>
      </c>
      <c r="T1240" s="10">
        <f t="shared" si="534"/>
        <v>156753.22</v>
      </c>
      <c r="U1240" s="10">
        <f t="shared" si="523"/>
        <v>175563.60640000002</v>
      </c>
      <c r="V1240" s="8" t="s">
        <v>3027</v>
      </c>
      <c r="W1240" s="11">
        <v>2015</v>
      </c>
      <c r="X1240" s="1"/>
    </row>
    <row r="1241" spans="1:24" ht="76.5" customHeight="1" outlineLevel="1" x14ac:dyDescent="0.2">
      <c r="A1241" s="1" t="s">
        <v>5058</v>
      </c>
      <c r="B1241" s="24" t="s">
        <v>5277</v>
      </c>
      <c r="C1241" s="7" t="s">
        <v>4129</v>
      </c>
      <c r="D1241" s="7" t="s">
        <v>4130</v>
      </c>
      <c r="E1241" s="18" t="s">
        <v>5729</v>
      </c>
      <c r="F1241" s="25" t="s">
        <v>5730</v>
      </c>
      <c r="G1241" s="4" t="s">
        <v>1888</v>
      </c>
      <c r="H1241" s="17">
        <v>0.4</v>
      </c>
      <c r="I1241" s="18">
        <v>710000000</v>
      </c>
      <c r="J1241" s="4" t="s">
        <v>1931</v>
      </c>
      <c r="K1241" s="4" t="s">
        <v>5706</v>
      </c>
      <c r="L1241" s="7" t="s">
        <v>1940</v>
      </c>
      <c r="M1241" s="8" t="s">
        <v>3195</v>
      </c>
      <c r="N1241" s="8" t="s">
        <v>1890</v>
      </c>
      <c r="O1241" s="16" t="s">
        <v>2146</v>
      </c>
      <c r="P1241" s="1">
        <v>715</v>
      </c>
      <c r="Q1241" s="4" t="s">
        <v>5618</v>
      </c>
      <c r="R1241" s="10">
        <v>156</v>
      </c>
      <c r="S1241" s="10">
        <v>239.29</v>
      </c>
      <c r="T1241" s="10">
        <f t="shared" si="534"/>
        <v>37329.24</v>
      </c>
      <c r="U1241" s="10">
        <f t="shared" si="523"/>
        <v>41808.748800000001</v>
      </c>
      <c r="V1241" s="8" t="s">
        <v>3027</v>
      </c>
      <c r="W1241" s="11">
        <v>2015</v>
      </c>
      <c r="X1241" s="8"/>
    </row>
    <row r="1242" spans="1:24" ht="76.5" customHeight="1" outlineLevel="1" x14ac:dyDescent="0.2">
      <c r="A1242" s="1" t="s">
        <v>5059</v>
      </c>
      <c r="B1242" s="24" t="s">
        <v>5277</v>
      </c>
      <c r="C1242" s="7" t="s">
        <v>3134</v>
      </c>
      <c r="D1242" s="7" t="s">
        <v>5703</v>
      </c>
      <c r="E1242" s="18" t="s">
        <v>5704</v>
      </c>
      <c r="F1242" s="25"/>
      <c r="G1242" s="1" t="s">
        <v>3190</v>
      </c>
      <c r="H1242" s="17">
        <v>0.4</v>
      </c>
      <c r="I1242" s="18">
        <v>710000000</v>
      </c>
      <c r="J1242" s="4" t="s">
        <v>1931</v>
      </c>
      <c r="K1242" s="4" t="s">
        <v>5706</v>
      </c>
      <c r="L1242" s="7" t="s">
        <v>1940</v>
      </c>
      <c r="M1242" s="8" t="s">
        <v>3195</v>
      </c>
      <c r="N1242" s="8" t="s">
        <v>1890</v>
      </c>
      <c r="O1242" s="16" t="s">
        <v>2146</v>
      </c>
      <c r="P1242" s="1" t="s">
        <v>3418</v>
      </c>
      <c r="Q1242" s="4" t="s">
        <v>5618</v>
      </c>
      <c r="R1242" s="10">
        <v>1792</v>
      </c>
      <c r="S1242" s="10">
        <v>60.71</v>
      </c>
      <c r="T1242" s="10">
        <f t="shared" si="534"/>
        <v>108792.32000000001</v>
      </c>
      <c r="U1242" s="10">
        <f t="shared" si="523"/>
        <v>121847.39840000002</v>
      </c>
      <c r="V1242" s="8" t="s">
        <v>3027</v>
      </c>
      <c r="W1242" s="11">
        <v>2015</v>
      </c>
      <c r="X1242" s="20"/>
    </row>
    <row r="1243" spans="1:24" ht="76.5" customHeight="1" outlineLevel="1" x14ac:dyDescent="0.2">
      <c r="A1243" s="1" t="s">
        <v>5060</v>
      </c>
      <c r="B1243" s="24" t="s">
        <v>5277</v>
      </c>
      <c r="C1243" s="7" t="s">
        <v>1392</v>
      </c>
      <c r="D1243" s="66" t="s">
        <v>1393</v>
      </c>
      <c r="E1243" s="18" t="s">
        <v>1394</v>
      </c>
      <c r="F1243" s="25" t="s">
        <v>5730</v>
      </c>
      <c r="G1243" s="4" t="s">
        <v>1888</v>
      </c>
      <c r="H1243" s="17">
        <v>0.4</v>
      </c>
      <c r="I1243" s="18">
        <v>710000000</v>
      </c>
      <c r="J1243" s="4" t="s">
        <v>1931</v>
      </c>
      <c r="K1243" s="4" t="s">
        <v>5706</v>
      </c>
      <c r="L1243" s="7" t="s">
        <v>1940</v>
      </c>
      <c r="M1243" s="8" t="s">
        <v>3195</v>
      </c>
      <c r="N1243" s="8" t="s">
        <v>1890</v>
      </c>
      <c r="O1243" s="16" t="s">
        <v>2146</v>
      </c>
      <c r="P1243" s="1">
        <v>715</v>
      </c>
      <c r="Q1243" s="4" t="s">
        <v>5618</v>
      </c>
      <c r="R1243" s="10">
        <v>16</v>
      </c>
      <c r="S1243" s="10">
        <v>638.4</v>
      </c>
      <c r="T1243" s="10">
        <f t="shared" si="534"/>
        <v>10214.4</v>
      </c>
      <c r="U1243" s="10">
        <f t="shared" si="523"/>
        <v>11440.128000000001</v>
      </c>
      <c r="V1243" s="8" t="s">
        <v>3027</v>
      </c>
      <c r="W1243" s="11">
        <v>2015</v>
      </c>
      <c r="X1243" s="8"/>
    </row>
    <row r="1244" spans="1:24" ht="76.5" customHeight="1" outlineLevel="1" x14ac:dyDescent="0.2">
      <c r="A1244" s="1" t="s">
        <v>5061</v>
      </c>
      <c r="B1244" s="24" t="s">
        <v>5277</v>
      </c>
      <c r="C1244" s="7" t="s">
        <v>3422</v>
      </c>
      <c r="D1244" s="7" t="s">
        <v>6046</v>
      </c>
      <c r="E1244" s="18" t="s">
        <v>6047</v>
      </c>
      <c r="F1244" s="25"/>
      <c r="G1244" s="1" t="s">
        <v>3190</v>
      </c>
      <c r="H1244" s="17">
        <v>0.4</v>
      </c>
      <c r="I1244" s="18">
        <v>710000000</v>
      </c>
      <c r="J1244" s="4" t="s">
        <v>1931</v>
      </c>
      <c r="K1244" s="4" t="s">
        <v>5706</v>
      </c>
      <c r="L1244" s="7" t="s">
        <v>1940</v>
      </c>
      <c r="M1244" s="8" t="s">
        <v>3195</v>
      </c>
      <c r="N1244" s="8" t="s">
        <v>1890</v>
      </c>
      <c r="O1244" s="16" t="s">
        <v>2146</v>
      </c>
      <c r="P1244" s="8">
        <v>796</v>
      </c>
      <c r="Q1244" s="8" t="s">
        <v>3196</v>
      </c>
      <c r="R1244" s="10">
        <v>4</v>
      </c>
      <c r="S1244" s="10">
        <v>818.75</v>
      </c>
      <c r="T1244" s="10">
        <v>0</v>
      </c>
      <c r="U1244" s="10">
        <f t="shared" si="523"/>
        <v>0</v>
      </c>
      <c r="V1244" s="8" t="s">
        <v>3027</v>
      </c>
      <c r="W1244" s="11">
        <v>2015</v>
      </c>
      <c r="X1244" s="1">
        <v>7.11</v>
      </c>
    </row>
    <row r="1245" spans="1:24" ht="76.5" customHeight="1" outlineLevel="1" x14ac:dyDescent="0.2">
      <c r="A1245" s="1" t="s">
        <v>8766</v>
      </c>
      <c r="B1245" s="24" t="s">
        <v>5277</v>
      </c>
      <c r="C1245" s="7" t="s">
        <v>3422</v>
      </c>
      <c r="D1245" s="7" t="s">
        <v>6046</v>
      </c>
      <c r="E1245" s="18" t="s">
        <v>6047</v>
      </c>
      <c r="F1245" s="25"/>
      <c r="G1245" s="1" t="s">
        <v>1888</v>
      </c>
      <c r="H1245" s="17">
        <v>0.4</v>
      </c>
      <c r="I1245" s="18">
        <v>710000000</v>
      </c>
      <c r="J1245" s="4" t="s">
        <v>1931</v>
      </c>
      <c r="K1245" s="4" t="s">
        <v>6167</v>
      </c>
      <c r="L1245" s="7" t="s">
        <v>1940</v>
      </c>
      <c r="M1245" s="8" t="s">
        <v>3195</v>
      </c>
      <c r="N1245" s="8" t="s">
        <v>1890</v>
      </c>
      <c r="O1245" s="16" t="s">
        <v>2146</v>
      </c>
      <c r="P1245" s="8">
        <v>796</v>
      </c>
      <c r="Q1245" s="8" t="s">
        <v>3196</v>
      </c>
      <c r="R1245" s="10">
        <v>4</v>
      </c>
      <c r="S1245" s="10">
        <v>818.75</v>
      </c>
      <c r="T1245" s="10">
        <v>0</v>
      </c>
      <c r="U1245" s="10">
        <f t="shared" ref="U1245" si="538">T1245*1.12</f>
        <v>0</v>
      </c>
      <c r="V1245" s="8" t="s">
        <v>3027</v>
      </c>
      <c r="W1245" s="11">
        <v>2015</v>
      </c>
      <c r="X1245" s="1">
        <v>11.22</v>
      </c>
    </row>
    <row r="1246" spans="1:24" ht="76.5" customHeight="1" outlineLevel="1" x14ac:dyDescent="0.2">
      <c r="A1246" s="1" t="s">
        <v>9027</v>
      </c>
      <c r="B1246" s="24" t="s">
        <v>5277</v>
      </c>
      <c r="C1246" s="7" t="s">
        <v>3422</v>
      </c>
      <c r="D1246" s="7" t="s">
        <v>6046</v>
      </c>
      <c r="E1246" s="18" t="s">
        <v>6047</v>
      </c>
      <c r="F1246" s="25"/>
      <c r="G1246" s="1" t="s">
        <v>1888</v>
      </c>
      <c r="H1246" s="17">
        <v>0.4</v>
      </c>
      <c r="I1246" s="18">
        <v>710000000</v>
      </c>
      <c r="J1246" s="4" t="s">
        <v>1931</v>
      </c>
      <c r="K1246" s="4" t="s">
        <v>8982</v>
      </c>
      <c r="L1246" s="7" t="s">
        <v>1940</v>
      </c>
      <c r="M1246" s="8" t="s">
        <v>3195</v>
      </c>
      <c r="N1246" s="8" t="s">
        <v>1890</v>
      </c>
      <c r="O1246" s="16" t="s">
        <v>2146</v>
      </c>
      <c r="P1246" s="8">
        <v>796</v>
      </c>
      <c r="Q1246" s="8" t="s">
        <v>3196</v>
      </c>
      <c r="R1246" s="10">
        <v>4</v>
      </c>
      <c r="S1246" s="10">
        <v>818.75</v>
      </c>
      <c r="T1246" s="10">
        <f t="shared" ref="T1246" si="539">S1246*R1246</f>
        <v>3275</v>
      </c>
      <c r="U1246" s="10">
        <f t="shared" ref="U1246" si="540">T1246*1.12</f>
        <v>3668.0000000000005</v>
      </c>
      <c r="V1246" s="8"/>
      <c r="W1246" s="11">
        <v>2015</v>
      </c>
      <c r="X1246" s="20"/>
    </row>
    <row r="1247" spans="1:24" ht="76.5" customHeight="1" outlineLevel="1" x14ac:dyDescent="0.2">
      <c r="A1247" s="1" t="s">
        <v>5062</v>
      </c>
      <c r="B1247" s="24" t="s">
        <v>5277</v>
      </c>
      <c r="C1247" s="7" t="s">
        <v>3421</v>
      </c>
      <c r="D1247" s="7" t="s">
        <v>6048</v>
      </c>
      <c r="E1247" s="18" t="s">
        <v>6049</v>
      </c>
      <c r="F1247" s="25"/>
      <c r="G1247" s="1" t="s">
        <v>3190</v>
      </c>
      <c r="H1247" s="17">
        <v>0.4</v>
      </c>
      <c r="I1247" s="18">
        <v>710000000</v>
      </c>
      <c r="J1247" s="4" t="s">
        <v>1931</v>
      </c>
      <c r="K1247" s="4" t="s">
        <v>5706</v>
      </c>
      <c r="L1247" s="7" t="s">
        <v>1940</v>
      </c>
      <c r="M1247" s="8" t="s">
        <v>3195</v>
      </c>
      <c r="N1247" s="8" t="s">
        <v>1890</v>
      </c>
      <c r="O1247" s="16" t="s">
        <v>2146</v>
      </c>
      <c r="P1247" s="8">
        <v>796</v>
      </c>
      <c r="Q1247" s="8" t="s">
        <v>3196</v>
      </c>
      <c r="R1247" s="10">
        <v>33</v>
      </c>
      <c r="S1247" s="10">
        <v>400.9</v>
      </c>
      <c r="T1247" s="10">
        <v>0</v>
      </c>
      <c r="U1247" s="10">
        <f t="shared" si="523"/>
        <v>0</v>
      </c>
      <c r="V1247" s="8" t="s">
        <v>3027</v>
      </c>
      <c r="W1247" s="11">
        <v>2015</v>
      </c>
      <c r="X1247" s="1">
        <v>7.11</v>
      </c>
    </row>
    <row r="1248" spans="1:24" ht="76.5" customHeight="1" outlineLevel="1" x14ac:dyDescent="0.2">
      <c r="A1248" s="1" t="s">
        <v>8767</v>
      </c>
      <c r="B1248" s="24" t="s">
        <v>5277</v>
      </c>
      <c r="C1248" s="7" t="s">
        <v>3421</v>
      </c>
      <c r="D1248" s="7" t="s">
        <v>6048</v>
      </c>
      <c r="E1248" s="18" t="s">
        <v>6049</v>
      </c>
      <c r="F1248" s="25"/>
      <c r="G1248" s="1" t="s">
        <v>1888</v>
      </c>
      <c r="H1248" s="17">
        <v>0.4</v>
      </c>
      <c r="I1248" s="18">
        <v>710000000</v>
      </c>
      <c r="J1248" s="4" t="s">
        <v>1931</v>
      </c>
      <c r="K1248" s="4" t="s">
        <v>6167</v>
      </c>
      <c r="L1248" s="7" t="s">
        <v>1940</v>
      </c>
      <c r="M1248" s="8" t="s">
        <v>3195</v>
      </c>
      <c r="N1248" s="8" t="s">
        <v>1890</v>
      </c>
      <c r="O1248" s="16" t="s">
        <v>2146</v>
      </c>
      <c r="P1248" s="8">
        <v>796</v>
      </c>
      <c r="Q1248" s="8" t="s">
        <v>3196</v>
      </c>
      <c r="R1248" s="10">
        <v>33</v>
      </c>
      <c r="S1248" s="10">
        <v>400.9</v>
      </c>
      <c r="T1248" s="10">
        <v>0</v>
      </c>
      <c r="U1248" s="10">
        <f t="shared" ref="U1248" si="541">T1248*1.12</f>
        <v>0</v>
      </c>
      <c r="V1248" s="8" t="s">
        <v>3027</v>
      </c>
      <c r="W1248" s="11">
        <v>2015</v>
      </c>
      <c r="X1248" s="1">
        <v>11.22</v>
      </c>
    </row>
    <row r="1249" spans="1:24" ht="76.5" customHeight="1" outlineLevel="1" x14ac:dyDescent="0.2">
      <c r="A1249" s="1" t="s">
        <v>9028</v>
      </c>
      <c r="B1249" s="24" t="s">
        <v>5277</v>
      </c>
      <c r="C1249" s="7" t="s">
        <v>3421</v>
      </c>
      <c r="D1249" s="7" t="s">
        <v>6048</v>
      </c>
      <c r="E1249" s="18" t="s">
        <v>6049</v>
      </c>
      <c r="F1249" s="25"/>
      <c r="G1249" s="1" t="s">
        <v>1888</v>
      </c>
      <c r="H1249" s="17">
        <v>0.4</v>
      </c>
      <c r="I1249" s="18">
        <v>710000000</v>
      </c>
      <c r="J1249" s="4" t="s">
        <v>1931</v>
      </c>
      <c r="K1249" s="4" t="s">
        <v>8982</v>
      </c>
      <c r="L1249" s="7" t="s">
        <v>1940</v>
      </c>
      <c r="M1249" s="8" t="s">
        <v>3195</v>
      </c>
      <c r="N1249" s="8" t="s">
        <v>1890</v>
      </c>
      <c r="O1249" s="16" t="s">
        <v>2146</v>
      </c>
      <c r="P1249" s="8">
        <v>796</v>
      </c>
      <c r="Q1249" s="8" t="s">
        <v>3196</v>
      </c>
      <c r="R1249" s="10">
        <v>33</v>
      </c>
      <c r="S1249" s="10">
        <v>400.9</v>
      </c>
      <c r="T1249" s="10">
        <f t="shared" ref="T1249" si="542">S1249*R1249</f>
        <v>13229.699999999999</v>
      </c>
      <c r="U1249" s="10">
        <f t="shared" ref="U1249" si="543">T1249*1.12</f>
        <v>14817.264000000001</v>
      </c>
      <c r="V1249" s="8"/>
      <c r="W1249" s="11">
        <v>2015</v>
      </c>
      <c r="X1249" s="20"/>
    </row>
    <row r="1250" spans="1:24" ht="76.5" customHeight="1" outlineLevel="1" x14ac:dyDescent="0.2">
      <c r="A1250" s="1" t="s">
        <v>5063</v>
      </c>
      <c r="B1250" s="24" t="s">
        <v>5277</v>
      </c>
      <c r="C1250" s="7" t="s">
        <v>3419</v>
      </c>
      <c r="D1250" s="7" t="s">
        <v>6050</v>
      </c>
      <c r="E1250" s="18" t="s">
        <v>6051</v>
      </c>
      <c r="F1250" s="25" t="s">
        <v>5728</v>
      </c>
      <c r="G1250" s="4" t="s">
        <v>1888</v>
      </c>
      <c r="H1250" s="17">
        <v>0.4</v>
      </c>
      <c r="I1250" s="18">
        <v>710000000</v>
      </c>
      <c r="J1250" s="4" t="s">
        <v>1931</v>
      </c>
      <c r="K1250" s="4" t="s">
        <v>5706</v>
      </c>
      <c r="L1250" s="7" t="s">
        <v>1940</v>
      </c>
      <c r="M1250" s="8" t="s">
        <v>3195</v>
      </c>
      <c r="N1250" s="8" t="s">
        <v>1890</v>
      </c>
      <c r="O1250" s="16" t="s">
        <v>2146</v>
      </c>
      <c r="P1250" s="1" t="s">
        <v>3418</v>
      </c>
      <c r="Q1250" s="4" t="s">
        <v>5247</v>
      </c>
      <c r="R1250" s="10">
        <v>18</v>
      </c>
      <c r="S1250" s="10">
        <v>2267.86</v>
      </c>
      <c r="T1250" s="10">
        <v>0</v>
      </c>
      <c r="U1250" s="10">
        <f t="shared" si="523"/>
        <v>0</v>
      </c>
      <c r="V1250" s="8" t="s">
        <v>3027</v>
      </c>
      <c r="W1250" s="11">
        <v>2015</v>
      </c>
      <c r="X1250" s="8">
        <v>6</v>
      </c>
    </row>
    <row r="1251" spans="1:24" ht="76.5" customHeight="1" outlineLevel="1" x14ac:dyDescent="0.2">
      <c r="A1251" s="1" t="s">
        <v>7506</v>
      </c>
      <c r="B1251" s="24" t="s">
        <v>5277</v>
      </c>
      <c r="C1251" s="7" t="s">
        <v>3419</v>
      </c>
      <c r="D1251" s="7" t="s">
        <v>6050</v>
      </c>
      <c r="E1251" s="18" t="s">
        <v>6051</v>
      </c>
      <c r="F1251" s="25" t="s">
        <v>6051</v>
      </c>
      <c r="G1251" s="4" t="s">
        <v>1888</v>
      </c>
      <c r="H1251" s="17">
        <v>0.4</v>
      </c>
      <c r="I1251" s="18">
        <v>710000000</v>
      </c>
      <c r="J1251" s="4" t="s">
        <v>1931</v>
      </c>
      <c r="K1251" s="4" t="s">
        <v>5706</v>
      </c>
      <c r="L1251" s="7" t="s">
        <v>1940</v>
      </c>
      <c r="M1251" s="8" t="s">
        <v>3195</v>
      </c>
      <c r="N1251" s="8" t="s">
        <v>1890</v>
      </c>
      <c r="O1251" s="16" t="s">
        <v>2146</v>
      </c>
      <c r="P1251" s="1" t="s">
        <v>3418</v>
      </c>
      <c r="Q1251" s="4" t="s">
        <v>5247</v>
      </c>
      <c r="R1251" s="10">
        <v>18</v>
      </c>
      <c r="S1251" s="10">
        <v>2267.86</v>
      </c>
      <c r="T1251" s="10">
        <v>0</v>
      </c>
      <c r="U1251" s="10">
        <f t="shared" ref="U1251" si="544">T1251*1.12</f>
        <v>0</v>
      </c>
      <c r="V1251" s="8" t="s">
        <v>3027</v>
      </c>
      <c r="W1251" s="11">
        <v>2015</v>
      </c>
      <c r="X1251" s="8">
        <v>11</v>
      </c>
    </row>
    <row r="1252" spans="1:24" ht="76.5" customHeight="1" outlineLevel="1" x14ac:dyDescent="0.2">
      <c r="A1252" s="1" t="s">
        <v>8768</v>
      </c>
      <c r="B1252" s="24" t="s">
        <v>5277</v>
      </c>
      <c r="C1252" s="7" t="s">
        <v>3419</v>
      </c>
      <c r="D1252" s="7" t="s">
        <v>6050</v>
      </c>
      <c r="E1252" s="18" t="s">
        <v>6051</v>
      </c>
      <c r="F1252" s="25" t="s">
        <v>6051</v>
      </c>
      <c r="G1252" s="4" t="s">
        <v>1888</v>
      </c>
      <c r="H1252" s="17">
        <v>0.4</v>
      </c>
      <c r="I1252" s="18">
        <v>710000000</v>
      </c>
      <c r="J1252" s="4" t="s">
        <v>1931</v>
      </c>
      <c r="K1252" s="4" t="s">
        <v>6167</v>
      </c>
      <c r="L1252" s="7" t="s">
        <v>1940</v>
      </c>
      <c r="M1252" s="8" t="s">
        <v>3195</v>
      </c>
      <c r="N1252" s="8" t="s">
        <v>1890</v>
      </c>
      <c r="O1252" s="16" t="s">
        <v>2146</v>
      </c>
      <c r="P1252" s="1" t="s">
        <v>3418</v>
      </c>
      <c r="Q1252" s="4" t="s">
        <v>5247</v>
      </c>
      <c r="R1252" s="10">
        <v>18</v>
      </c>
      <c r="S1252" s="10">
        <v>2267.86</v>
      </c>
      <c r="T1252" s="10">
        <v>0</v>
      </c>
      <c r="U1252" s="10">
        <f t="shared" ref="U1252" si="545">T1252*1.12</f>
        <v>0</v>
      </c>
      <c r="V1252" s="8" t="s">
        <v>3027</v>
      </c>
      <c r="W1252" s="11">
        <v>2015</v>
      </c>
      <c r="X1252" s="8">
        <v>11.22</v>
      </c>
    </row>
    <row r="1253" spans="1:24" ht="76.5" customHeight="1" outlineLevel="1" x14ac:dyDescent="0.2">
      <c r="A1253" s="1" t="s">
        <v>9029</v>
      </c>
      <c r="B1253" s="24" t="s">
        <v>5277</v>
      </c>
      <c r="C1253" s="7" t="s">
        <v>3419</v>
      </c>
      <c r="D1253" s="7" t="s">
        <v>6050</v>
      </c>
      <c r="E1253" s="18" t="s">
        <v>6051</v>
      </c>
      <c r="F1253" s="25" t="s">
        <v>6051</v>
      </c>
      <c r="G1253" s="4" t="s">
        <v>1888</v>
      </c>
      <c r="H1253" s="17">
        <v>0.4</v>
      </c>
      <c r="I1253" s="18">
        <v>710000000</v>
      </c>
      <c r="J1253" s="4" t="s">
        <v>1931</v>
      </c>
      <c r="K1253" s="4" t="s">
        <v>8982</v>
      </c>
      <c r="L1253" s="7" t="s">
        <v>1940</v>
      </c>
      <c r="M1253" s="8" t="s">
        <v>3195</v>
      </c>
      <c r="N1253" s="8" t="s">
        <v>1890</v>
      </c>
      <c r="O1253" s="16" t="s">
        <v>2146</v>
      </c>
      <c r="P1253" s="1" t="s">
        <v>3418</v>
      </c>
      <c r="Q1253" s="4" t="s">
        <v>5247</v>
      </c>
      <c r="R1253" s="10">
        <v>18</v>
      </c>
      <c r="S1253" s="10">
        <v>2267.86</v>
      </c>
      <c r="T1253" s="10">
        <f t="shared" ref="T1253" si="546">S1253*R1253</f>
        <v>40821.480000000003</v>
      </c>
      <c r="U1253" s="10">
        <f t="shared" ref="U1253" si="547">T1253*1.12</f>
        <v>45720.057600000007</v>
      </c>
      <c r="V1253" s="8"/>
      <c r="W1253" s="11">
        <v>2015</v>
      </c>
      <c r="X1253" s="8"/>
    </row>
    <row r="1254" spans="1:24" ht="76.5" customHeight="1" outlineLevel="1" x14ac:dyDescent="0.2">
      <c r="A1254" s="1" t="s">
        <v>5064</v>
      </c>
      <c r="B1254" s="24" t="s">
        <v>5277</v>
      </c>
      <c r="C1254" s="7" t="s">
        <v>5141</v>
      </c>
      <c r="D1254" s="7" t="s">
        <v>5252</v>
      </c>
      <c r="E1254" s="18" t="s">
        <v>5253</v>
      </c>
      <c r="F1254" s="100"/>
      <c r="G1254" s="4" t="s">
        <v>1888</v>
      </c>
      <c r="H1254" s="17">
        <v>0.4</v>
      </c>
      <c r="I1254" s="18">
        <v>710000000</v>
      </c>
      <c r="J1254" s="4" t="s">
        <v>1931</v>
      </c>
      <c r="K1254" s="4" t="s">
        <v>5706</v>
      </c>
      <c r="L1254" s="7" t="s">
        <v>1940</v>
      </c>
      <c r="M1254" s="8" t="s">
        <v>3195</v>
      </c>
      <c r="N1254" s="8" t="s">
        <v>1890</v>
      </c>
      <c r="O1254" s="16" t="s">
        <v>2146</v>
      </c>
      <c r="P1254" s="8">
        <v>796</v>
      </c>
      <c r="Q1254" s="8" t="s">
        <v>3196</v>
      </c>
      <c r="R1254" s="10">
        <v>2</v>
      </c>
      <c r="S1254" s="10">
        <v>714</v>
      </c>
      <c r="T1254" s="10">
        <v>0</v>
      </c>
      <c r="U1254" s="10">
        <f t="shared" si="523"/>
        <v>0</v>
      </c>
      <c r="V1254" s="8" t="s">
        <v>3027</v>
      </c>
      <c r="W1254" s="11">
        <v>2015</v>
      </c>
      <c r="X1254" s="1">
        <v>11</v>
      </c>
    </row>
    <row r="1255" spans="1:24" ht="76.5" customHeight="1" outlineLevel="1" x14ac:dyDescent="0.2">
      <c r="A1255" s="1" t="s">
        <v>8769</v>
      </c>
      <c r="B1255" s="24" t="s">
        <v>5277</v>
      </c>
      <c r="C1255" s="7" t="s">
        <v>5141</v>
      </c>
      <c r="D1255" s="7" t="s">
        <v>5252</v>
      </c>
      <c r="E1255" s="18" t="s">
        <v>5253</v>
      </c>
      <c r="F1255" s="100"/>
      <c r="G1255" s="4" t="s">
        <v>1888</v>
      </c>
      <c r="H1255" s="17">
        <v>0.4</v>
      </c>
      <c r="I1255" s="18">
        <v>710000000</v>
      </c>
      <c r="J1255" s="4" t="s">
        <v>1931</v>
      </c>
      <c r="K1255" s="4" t="s">
        <v>6167</v>
      </c>
      <c r="L1255" s="7" t="s">
        <v>1940</v>
      </c>
      <c r="M1255" s="8" t="s">
        <v>3195</v>
      </c>
      <c r="N1255" s="8" t="s">
        <v>1890</v>
      </c>
      <c r="O1255" s="16" t="s">
        <v>2146</v>
      </c>
      <c r="P1255" s="8">
        <v>796</v>
      </c>
      <c r="Q1255" s="8" t="s">
        <v>3196</v>
      </c>
      <c r="R1255" s="10">
        <v>2</v>
      </c>
      <c r="S1255" s="10">
        <v>714</v>
      </c>
      <c r="T1255" s="10">
        <v>0</v>
      </c>
      <c r="U1255" s="10">
        <f t="shared" ref="U1255" si="548">T1255*1.12</f>
        <v>0</v>
      </c>
      <c r="V1255" s="8" t="s">
        <v>3027</v>
      </c>
      <c r="W1255" s="11">
        <v>2015</v>
      </c>
      <c r="X1255" s="1">
        <v>11.22</v>
      </c>
    </row>
    <row r="1256" spans="1:24" ht="76.5" customHeight="1" outlineLevel="1" x14ac:dyDescent="0.2">
      <c r="A1256" s="1" t="s">
        <v>9030</v>
      </c>
      <c r="B1256" s="24" t="s">
        <v>5277</v>
      </c>
      <c r="C1256" s="7" t="s">
        <v>5141</v>
      </c>
      <c r="D1256" s="7" t="s">
        <v>5252</v>
      </c>
      <c r="E1256" s="18" t="s">
        <v>5253</v>
      </c>
      <c r="F1256" s="100"/>
      <c r="G1256" s="4" t="s">
        <v>1888</v>
      </c>
      <c r="H1256" s="17">
        <v>0.4</v>
      </c>
      <c r="I1256" s="18">
        <v>710000000</v>
      </c>
      <c r="J1256" s="4" t="s">
        <v>1931</v>
      </c>
      <c r="K1256" s="4" t="s">
        <v>8982</v>
      </c>
      <c r="L1256" s="7" t="s">
        <v>1940</v>
      </c>
      <c r="M1256" s="8" t="s">
        <v>3195</v>
      </c>
      <c r="N1256" s="8" t="s">
        <v>1890</v>
      </c>
      <c r="O1256" s="16" t="s">
        <v>2146</v>
      </c>
      <c r="P1256" s="8">
        <v>796</v>
      </c>
      <c r="Q1256" s="8" t="s">
        <v>3196</v>
      </c>
      <c r="R1256" s="10">
        <v>2</v>
      </c>
      <c r="S1256" s="10">
        <v>714</v>
      </c>
      <c r="T1256" s="10">
        <f t="shared" ref="T1256" si="549">S1256*R1256</f>
        <v>1428</v>
      </c>
      <c r="U1256" s="10">
        <f t="shared" ref="U1256" si="550">T1256*1.12</f>
        <v>1599.3600000000001</v>
      </c>
      <c r="V1256" s="8"/>
      <c r="W1256" s="11">
        <v>2015</v>
      </c>
      <c r="X1256" s="1"/>
    </row>
    <row r="1257" spans="1:24" ht="76.5" customHeight="1" outlineLevel="1" x14ac:dyDescent="0.2">
      <c r="A1257" s="1" t="s">
        <v>5065</v>
      </c>
      <c r="B1257" s="24" t="s">
        <v>5277</v>
      </c>
      <c r="C1257" s="7" t="s">
        <v>4142</v>
      </c>
      <c r="D1257" s="7" t="s">
        <v>5742</v>
      </c>
      <c r="E1257" s="18" t="s">
        <v>5725</v>
      </c>
      <c r="F1257" s="25" t="s">
        <v>5743</v>
      </c>
      <c r="G1257" s="4" t="s">
        <v>1888</v>
      </c>
      <c r="H1257" s="17">
        <v>0.4</v>
      </c>
      <c r="I1257" s="18">
        <v>710000000</v>
      </c>
      <c r="J1257" s="4" t="s">
        <v>1931</v>
      </c>
      <c r="K1257" s="4" t="s">
        <v>5706</v>
      </c>
      <c r="L1257" s="7" t="s">
        <v>1940</v>
      </c>
      <c r="M1257" s="8" t="s">
        <v>3195</v>
      </c>
      <c r="N1257" s="8" t="s">
        <v>1890</v>
      </c>
      <c r="O1257" s="16" t="s">
        <v>2146</v>
      </c>
      <c r="P1257" s="1">
        <v>715</v>
      </c>
      <c r="Q1257" s="4" t="s">
        <v>5618</v>
      </c>
      <c r="R1257" s="10">
        <v>12</v>
      </c>
      <c r="S1257" s="10">
        <v>3393</v>
      </c>
      <c r="T1257" s="10">
        <v>0</v>
      </c>
      <c r="U1257" s="10">
        <f t="shared" si="523"/>
        <v>0</v>
      </c>
      <c r="V1257" s="8" t="s">
        <v>3027</v>
      </c>
      <c r="W1257" s="11">
        <v>2015</v>
      </c>
      <c r="X1257" s="8">
        <v>11</v>
      </c>
    </row>
    <row r="1258" spans="1:24" ht="76.5" customHeight="1" outlineLevel="1" x14ac:dyDescent="0.2">
      <c r="A1258" s="1" t="s">
        <v>8770</v>
      </c>
      <c r="B1258" s="24" t="s">
        <v>5277</v>
      </c>
      <c r="C1258" s="7" t="s">
        <v>4142</v>
      </c>
      <c r="D1258" s="7" t="s">
        <v>5742</v>
      </c>
      <c r="E1258" s="18" t="s">
        <v>5725</v>
      </c>
      <c r="F1258" s="25" t="s">
        <v>5743</v>
      </c>
      <c r="G1258" s="4" t="s">
        <v>1888</v>
      </c>
      <c r="H1258" s="17">
        <v>0.4</v>
      </c>
      <c r="I1258" s="18">
        <v>710000000</v>
      </c>
      <c r="J1258" s="4" t="s">
        <v>1931</v>
      </c>
      <c r="K1258" s="4" t="s">
        <v>6167</v>
      </c>
      <c r="L1258" s="7" t="s">
        <v>1940</v>
      </c>
      <c r="M1258" s="8" t="s">
        <v>3195</v>
      </c>
      <c r="N1258" s="8" t="s">
        <v>1890</v>
      </c>
      <c r="O1258" s="16" t="s">
        <v>2146</v>
      </c>
      <c r="P1258" s="1">
        <v>715</v>
      </c>
      <c r="Q1258" s="4" t="s">
        <v>5618</v>
      </c>
      <c r="R1258" s="10">
        <v>12</v>
      </c>
      <c r="S1258" s="10">
        <v>3393</v>
      </c>
      <c r="T1258" s="10">
        <v>0</v>
      </c>
      <c r="U1258" s="10">
        <f t="shared" ref="U1258" si="551">T1258*1.12</f>
        <v>0</v>
      </c>
      <c r="V1258" s="8" t="s">
        <v>3027</v>
      </c>
      <c r="W1258" s="11">
        <v>2015</v>
      </c>
      <c r="X1258" s="8">
        <v>11.22</v>
      </c>
    </row>
    <row r="1259" spans="1:24" ht="76.5" customHeight="1" outlineLevel="1" x14ac:dyDescent="0.2">
      <c r="A1259" s="1" t="s">
        <v>9031</v>
      </c>
      <c r="B1259" s="24" t="s">
        <v>5277</v>
      </c>
      <c r="C1259" s="7" t="s">
        <v>4142</v>
      </c>
      <c r="D1259" s="7" t="s">
        <v>5742</v>
      </c>
      <c r="E1259" s="18" t="s">
        <v>5725</v>
      </c>
      <c r="F1259" s="25" t="s">
        <v>5743</v>
      </c>
      <c r="G1259" s="4" t="s">
        <v>1888</v>
      </c>
      <c r="H1259" s="17">
        <v>0.4</v>
      </c>
      <c r="I1259" s="18">
        <v>710000000</v>
      </c>
      <c r="J1259" s="4" t="s">
        <v>1931</v>
      </c>
      <c r="K1259" s="4" t="s">
        <v>8982</v>
      </c>
      <c r="L1259" s="7" t="s">
        <v>1940</v>
      </c>
      <c r="M1259" s="8" t="s">
        <v>3195</v>
      </c>
      <c r="N1259" s="8" t="s">
        <v>1890</v>
      </c>
      <c r="O1259" s="16" t="s">
        <v>2146</v>
      </c>
      <c r="P1259" s="1">
        <v>715</v>
      </c>
      <c r="Q1259" s="4" t="s">
        <v>5618</v>
      </c>
      <c r="R1259" s="10">
        <v>12</v>
      </c>
      <c r="S1259" s="10">
        <v>3393</v>
      </c>
      <c r="T1259" s="10">
        <f t="shared" ref="T1259" si="552">S1259*R1259</f>
        <v>40716</v>
      </c>
      <c r="U1259" s="10">
        <f t="shared" ref="U1259" si="553">T1259*1.12</f>
        <v>45601.920000000006</v>
      </c>
      <c r="V1259" s="8"/>
      <c r="W1259" s="11">
        <v>2015</v>
      </c>
      <c r="X1259" s="8"/>
    </row>
    <row r="1260" spans="1:24" ht="76.5" customHeight="1" outlineLevel="1" x14ac:dyDescent="0.2">
      <c r="A1260" s="1" t="s">
        <v>5066</v>
      </c>
      <c r="B1260" s="24" t="s">
        <v>5277</v>
      </c>
      <c r="C1260" s="7" t="s">
        <v>1380</v>
      </c>
      <c r="D1260" s="7" t="s">
        <v>1381</v>
      </c>
      <c r="E1260" s="18" t="s">
        <v>1382</v>
      </c>
      <c r="F1260" s="25"/>
      <c r="G1260" s="4" t="s">
        <v>1888</v>
      </c>
      <c r="H1260" s="17">
        <v>0.4</v>
      </c>
      <c r="I1260" s="18">
        <v>710000000</v>
      </c>
      <c r="J1260" s="4" t="s">
        <v>1931</v>
      </c>
      <c r="K1260" s="4" t="s">
        <v>5706</v>
      </c>
      <c r="L1260" s="7" t="s">
        <v>1940</v>
      </c>
      <c r="M1260" s="8" t="s">
        <v>3195</v>
      </c>
      <c r="N1260" s="8" t="s">
        <v>1890</v>
      </c>
      <c r="O1260" s="16" t="s">
        <v>2146</v>
      </c>
      <c r="P1260" s="1" t="s">
        <v>3418</v>
      </c>
      <c r="Q1260" s="4" t="s">
        <v>5618</v>
      </c>
      <c r="R1260" s="10">
        <v>1</v>
      </c>
      <c r="S1260" s="10">
        <v>5158</v>
      </c>
      <c r="T1260" s="10">
        <v>0</v>
      </c>
      <c r="U1260" s="10">
        <f t="shared" si="523"/>
        <v>0</v>
      </c>
      <c r="V1260" s="8" t="s">
        <v>3027</v>
      </c>
      <c r="W1260" s="11">
        <v>2015</v>
      </c>
      <c r="X1260" s="1">
        <v>11</v>
      </c>
    </row>
    <row r="1261" spans="1:24" ht="76.5" customHeight="1" outlineLevel="1" x14ac:dyDescent="0.2">
      <c r="A1261" s="1" t="s">
        <v>8771</v>
      </c>
      <c r="B1261" s="24" t="s">
        <v>5277</v>
      </c>
      <c r="C1261" s="7" t="s">
        <v>1380</v>
      </c>
      <c r="D1261" s="7" t="s">
        <v>1381</v>
      </c>
      <c r="E1261" s="18" t="s">
        <v>1382</v>
      </c>
      <c r="F1261" s="25"/>
      <c r="G1261" s="4" t="s">
        <v>1888</v>
      </c>
      <c r="H1261" s="17">
        <v>0.4</v>
      </c>
      <c r="I1261" s="18">
        <v>710000000</v>
      </c>
      <c r="J1261" s="4" t="s">
        <v>1931</v>
      </c>
      <c r="K1261" s="4" t="s">
        <v>6167</v>
      </c>
      <c r="L1261" s="7" t="s">
        <v>1940</v>
      </c>
      <c r="M1261" s="8" t="s">
        <v>3195</v>
      </c>
      <c r="N1261" s="8" t="s">
        <v>1890</v>
      </c>
      <c r="O1261" s="16" t="s">
        <v>2146</v>
      </c>
      <c r="P1261" s="1" t="s">
        <v>3418</v>
      </c>
      <c r="Q1261" s="4" t="s">
        <v>5618</v>
      </c>
      <c r="R1261" s="10">
        <v>1</v>
      </c>
      <c r="S1261" s="10">
        <v>5158</v>
      </c>
      <c r="T1261" s="10">
        <v>0</v>
      </c>
      <c r="U1261" s="10">
        <f t="shared" ref="U1261" si="554">T1261*1.12</f>
        <v>0</v>
      </c>
      <c r="V1261" s="8" t="s">
        <v>3027</v>
      </c>
      <c r="W1261" s="11">
        <v>2015</v>
      </c>
      <c r="X1261" s="1">
        <v>11.22</v>
      </c>
    </row>
    <row r="1262" spans="1:24" ht="76.5" customHeight="1" outlineLevel="1" x14ac:dyDescent="0.2">
      <c r="A1262" s="1" t="s">
        <v>9032</v>
      </c>
      <c r="B1262" s="24" t="s">
        <v>5277</v>
      </c>
      <c r="C1262" s="7" t="s">
        <v>1380</v>
      </c>
      <c r="D1262" s="7" t="s">
        <v>1381</v>
      </c>
      <c r="E1262" s="18" t="s">
        <v>1382</v>
      </c>
      <c r="F1262" s="25"/>
      <c r="G1262" s="4" t="s">
        <v>1888</v>
      </c>
      <c r="H1262" s="17">
        <v>0.4</v>
      </c>
      <c r="I1262" s="18">
        <v>710000000</v>
      </c>
      <c r="J1262" s="4" t="s">
        <v>1931</v>
      </c>
      <c r="K1262" s="4" t="s">
        <v>8982</v>
      </c>
      <c r="L1262" s="7" t="s">
        <v>1940</v>
      </c>
      <c r="M1262" s="8" t="s">
        <v>3195</v>
      </c>
      <c r="N1262" s="8" t="s">
        <v>1890</v>
      </c>
      <c r="O1262" s="16" t="s">
        <v>2146</v>
      </c>
      <c r="P1262" s="1" t="s">
        <v>3418</v>
      </c>
      <c r="Q1262" s="4" t="s">
        <v>5618</v>
      </c>
      <c r="R1262" s="10">
        <v>1</v>
      </c>
      <c r="S1262" s="10">
        <v>5158</v>
      </c>
      <c r="T1262" s="10">
        <f t="shared" ref="T1262" si="555">S1262*R1262</f>
        <v>5158</v>
      </c>
      <c r="U1262" s="10">
        <f t="shared" ref="U1262" si="556">T1262*1.12</f>
        <v>5776.9600000000009</v>
      </c>
      <c r="V1262" s="8"/>
      <c r="W1262" s="11">
        <v>2015</v>
      </c>
      <c r="X1262" s="1"/>
    </row>
    <row r="1263" spans="1:24" ht="76.5" customHeight="1" outlineLevel="1" x14ac:dyDescent="0.2">
      <c r="A1263" s="1" t="s">
        <v>5067</v>
      </c>
      <c r="B1263" s="24" t="s">
        <v>5277</v>
      </c>
      <c r="C1263" s="7" t="s">
        <v>1383</v>
      </c>
      <c r="D1263" s="7" t="s">
        <v>1384</v>
      </c>
      <c r="E1263" s="18" t="s">
        <v>5723</v>
      </c>
      <c r="F1263" s="25"/>
      <c r="G1263" s="4" t="s">
        <v>1888</v>
      </c>
      <c r="H1263" s="17">
        <v>0.4</v>
      </c>
      <c r="I1263" s="18">
        <v>710000000</v>
      </c>
      <c r="J1263" s="4" t="s">
        <v>1931</v>
      </c>
      <c r="K1263" s="4" t="s">
        <v>5706</v>
      </c>
      <c r="L1263" s="7" t="s">
        <v>1940</v>
      </c>
      <c r="M1263" s="8" t="s">
        <v>3195</v>
      </c>
      <c r="N1263" s="8" t="s">
        <v>1890</v>
      </c>
      <c r="O1263" s="16" t="s">
        <v>2146</v>
      </c>
      <c r="P1263" s="1">
        <v>715</v>
      </c>
      <c r="Q1263" s="4" t="s">
        <v>5618</v>
      </c>
      <c r="R1263" s="10">
        <v>221</v>
      </c>
      <c r="S1263" s="10">
        <v>4012.5</v>
      </c>
      <c r="T1263" s="10">
        <v>0</v>
      </c>
      <c r="U1263" s="10">
        <f t="shared" si="523"/>
        <v>0</v>
      </c>
      <c r="V1263" s="8" t="s">
        <v>3027</v>
      </c>
      <c r="W1263" s="11">
        <v>2015</v>
      </c>
      <c r="X1263" s="8">
        <v>6</v>
      </c>
    </row>
    <row r="1264" spans="1:24" ht="89.25" customHeight="1" outlineLevel="1" x14ac:dyDescent="0.2">
      <c r="A1264" s="1" t="s">
        <v>7507</v>
      </c>
      <c r="B1264" s="24" t="s">
        <v>5277</v>
      </c>
      <c r="C1264" s="7" t="s">
        <v>1383</v>
      </c>
      <c r="D1264" s="7" t="s">
        <v>1384</v>
      </c>
      <c r="E1264" s="18" t="s">
        <v>5723</v>
      </c>
      <c r="F1264" s="18" t="s">
        <v>7512</v>
      </c>
      <c r="G1264" s="4" t="s">
        <v>1888</v>
      </c>
      <c r="H1264" s="17">
        <v>0.4</v>
      </c>
      <c r="I1264" s="18">
        <v>710000000</v>
      </c>
      <c r="J1264" s="4" t="s">
        <v>1931</v>
      </c>
      <c r="K1264" s="4" t="s">
        <v>5706</v>
      </c>
      <c r="L1264" s="7" t="s">
        <v>1940</v>
      </c>
      <c r="M1264" s="8" t="s">
        <v>3195</v>
      </c>
      <c r="N1264" s="8" t="s">
        <v>1890</v>
      </c>
      <c r="O1264" s="16" t="s">
        <v>2146</v>
      </c>
      <c r="P1264" s="1">
        <v>715</v>
      </c>
      <c r="Q1264" s="4" t="s">
        <v>5618</v>
      </c>
      <c r="R1264" s="10">
        <v>221</v>
      </c>
      <c r="S1264" s="10">
        <v>4012.5</v>
      </c>
      <c r="T1264" s="10">
        <v>0</v>
      </c>
      <c r="U1264" s="10">
        <f t="shared" ref="U1264" si="557">T1264*1.12</f>
        <v>0</v>
      </c>
      <c r="V1264" s="8" t="s">
        <v>3027</v>
      </c>
      <c r="W1264" s="11">
        <v>2015</v>
      </c>
      <c r="X1264" s="8">
        <v>11</v>
      </c>
    </row>
    <row r="1265" spans="1:24" ht="89.25" customHeight="1" outlineLevel="1" x14ac:dyDescent="0.2">
      <c r="A1265" s="1" t="s">
        <v>8772</v>
      </c>
      <c r="B1265" s="24" t="s">
        <v>5277</v>
      </c>
      <c r="C1265" s="7" t="s">
        <v>1383</v>
      </c>
      <c r="D1265" s="7" t="s">
        <v>1384</v>
      </c>
      <c r="E1265" s="18" t="s">
        <v>5723</v>
      </c>
      <c r="F1265" s="18" t="s">
        <v>7512</v>
      </c>
      <c r="G1265" s="4" t="s">
        <v>1888</v>
      </c>
      <c r="H1265" s="17">
        <v>0.4</v>
      </c>
      <c r="I1265" s="18">
        <v>710000000</v>
      </c>
      <c r="J1265" s="4" t="s">
        <v>1931</v>
      </c>
      <c r="K1265" s="4" t="s">
        <v>6167</v>
      </c>
      <c r="L1265" s="7" t="s">
        <v>1940</v>
      </c>
      <c r="M1265" s="8" t="s">
        <v>3195</v>
      </c>
      <c r="N1265" s="8" t="s">
        <v>1890</v>
      </c>
      <c r="O1265" s="16" t="s">
        <v>2146</v>
      </c>
      <c r="P1265" s="1">
        <v>715</v>
      </c>
      <c r="Q1265" s="4" t="s">
        <v>5618</v>
      </c>
      <c r="R1265" s="10">
        <v>221</v>
      </c>
      <c r="S1265" s="10">
        <v>4012.5</v>
      </c>
      <c r="T1265" s="10">
        <f t="shared" ref="T1265" si="558">S1265*R1265</f>
        <v>886762.5</v>
      </c>
      <c r="U1265" s="10">
        <f t="shared" ref="U1265" si="559">T1265*1.12</f>
        <v>993174.00000000012</v>
      </c>
      <c r="V1265" s="8" t="s">
        <v>3027</v>
      </c>
      <c r="W1265" s="11">
        <v>2015</v>
      </c>
      <c r="X1265" s="8"/>
    </row>
    <row r="1266" spans="1:24" ht="76.5" customHeight="1" outlineLevel="1" x14ac:dyDescent="0.2">
      <c r="A1266" s="1" t="s">
        <v>5068</v>
      </c>
      <c r="B1266" s="24" t="s">
        <v>5277</v>
      </c>
      <c r="C1266" s="7" t="s">
        <v>4123</v>
      </c>
      <c r="D1266" s="7" t="s">
        <v>5722</v>
      </c>
      <c r="E1266" s="18" t="s">
        <v>5723</v>
      </c>
      <c r="F1266" s="25"/>
      <c r="G1266" s="4" t="s">
        <v>1888</v>
      </c>
      <c r="H1266" s="17">
        <v>0.4</v>
      </c>
      <c r="I1266" s="18">
        <v>710000000</v>
      </c>
      <c r="J1266" s="4" t="s">
        <v>1931</v>
      </c>
      <c r="K1266" s="4" t="s">
        <v>5706</v>
      </c>
      <c r="L1266" s="7" t="s">
        <v>1940</v>
      </c>
      <c r="M1266" s="8" t="s">
        <v>3195</v>
      </c>
      <c r="N1266" s="8" t="s">
        <v>1890</v>
      </c>
      <c r="O1266" s="16" t="s">
        <v>2146</v>
      </c>
      <c r="P1266" s="1" t="s">
        <v>3418</v>
      </c>
      <c r="Q1266" s="4" t="s">
        <v>5618</v>
      </c>
      <c r="R1266" s="10">
        <v>263</v>
      </c>
      <c r="S1266" s="10">
        <v>4012.5</v>
      </c>
      <c r="T1266" s="10">
        <v>0</v>
      </c>
      <c r="U1266" s="10">
        <f t="shared" si="523"/>
        <v>0</v>
      </c>
      <c r="V1266" s="8" t="s">
        <v>3027</v>
      </c>
      <c r="W1266" s="11">
        <v>2015</v>
      </c>
      <c r="X1266" s="8">
        <v>6</v>
      </c>
    </row>
    <row r="1267" spans="1:24" ht="128.25" customHeight="1" outlineLevel="1" x14ac:dyDescent="0.2">
      <c r="A1267" s="1" t="s">
        <v>7509</v>
      </c>
      <c r="B1267" s="24" t="s">
        <v>5277</v>
      </c>
      <c r="C1267" s="7" t="s">
        <v>4123</v>
      </c>
      <c r="D1267" s="7" t="s">
        <v>5722</v>
      </c>
      <c r="E1267" s="18" t="s">
        <v>5723</v>
      </c>
      <c r="F1267" s="18" t="s">
        <v>7511</v>
      </c>
      <c r="G1267" s="4" t="s">
        <v>1888</v>
      </c>
      <c r="H1267" s="17">
        <v>0.4</v>
      </c>
      <c r="I1267" s="18">
        <v>710000000</v>
      </c>
      <c r="J1267" s="4" t="s">
        <v>1931</v>
      </c>
      <c r="K1267" s="4" t="s">
        <v>5706</v>
      </c>
      <c r="L1267" s="7" t="s">
        <v>1940</v>
      </c>
      <c r="M1267" s="8" t="s">
        <v>3195</v>
      </c>
      <c r="N1267" s="8" t="s">
        <v>1890</v>
      </c>
      <c r="O1267" s="16" t="s">
        <v>2146</v>
      </c>
      <c r="P1267" s="1" t="s">
        <v>3418</v>
      </c>
      <c r="Q1267" s="4" t="s">
        <v>5618</v>
      </c>
      <c r="R1267" s="10">
        <v>263</v>
      </c>
      <c r="S1267" s="10">
        <v>4012.5</v>
      </c>
      <c r="T1267" s="10">
        <v>0</v>
      </c>
      <c r="U1267" s="10">
        <f t="shared" ref="U1267" si="560">T1267*1.12</f>
        <v>0</v>
      </c>
      <c r="V1267" s="8" t="s">
        <v>3027</v>
      </c>
      <c r="W1267" s="11">
        <v>2015</v>
      </c>
      <c r="X1267" s="8">
        <v>11</v>
      </c>
    </row>
    <row r="1268" spans="1:24" ht="128.25" customHeight="1" outlineLevel="1" x14ac:dyDescent="0.2">
      <c r="A1268" s="1" t="s">
        <v>8773</v>
      </c>
      <c r="B1268" s="24" t="s">
        <v>5277</v>
      </c>
      <c r="C1268" s="7" t="s">
        <v>4123</v>
      </c>
      <c r="D1268" s="7" t="s">
        <v>5722</v>
      </c>
      <c r="E1268" s="18" t="s">
        <v>5723</v>
      </c>
      <c r="F1268" s="18" t="s">
        <v>7511</v>
      </c>
      <c r="G1268" s="4" t="s">
        <v>1888</v>
      </c>
      <c r="H1268" s="17">
        <v>0.4</v>
      </c>
      <c r="I1268" s="18">
        <v>710000000</v>
      </c>
      <c r="J1268" s="4" t="s">
        <v>1931</v>
      </c>
      <c r="K1268" s="4" t="s">
        <v>6167</v>
      </c>
      <c r="L1268" s="7" t="s">
        <v>1940</v>
      </c>
      <c r="M1268" s="8" t="s">
        <v>3195</v>
      </c>
      <c r="N1268" s="8" t="s">
        <v>1890</v>
      </c>
      <c r="O1268" s="16" t="s">
        <v>2146</v>
      </c>
      <c r="P1268" s="1" t="s">
        <v>3418</v>
      </c>
      <c r="Q1268" s="4" t="s">
        <v>5618</v>
      </c>
      <c r="R1268" s="10">
        <v>263</v>
      </c>
      <c r="S1268" s="10">
        <v>4012.5</v>
      </c>
      <c r="T1268" s="10">
        <f t="shared" ref="T1268" si="561">S1268*R1268</f>
        <v>1055287.5</v>
      </c>
      <c r="U1268" s="10">
        <f t="shared" ref="U1268" si="562">T1268*1.12</f>
        <v>1181922</v>
      </c>
      <c r="V1268" s="8" t="s">
        <v>3027</v>
      </c>
      <c r="W1268" s="11">
        <v>2015</v>
      </c>
      <c r="X1268" s="8"/>
    </row>
    <row r="1269" spans="1:24" ht="76.5" customHeight="1" outlineLevel="1" x14ac:dyDescent="0.2">
      <c r="A1269" s="1" t="s">
        <v>5069</v>
      </c>
      <c r="B1269" s="24" t="s">
        <v>5277</v>
      </c>
      <c r="C1269" s="18" t="s">
        <v>6468</v>
      </c>
      <c r="D1269" s="18" t="s">
        <v>5722</v>
      </c>
      <c r="E1269" s="18" t="s">
        <v>1385</v>
      </c>
      <c r="F1269" s="37"/>
      <c r="G1269" s="4" t="s">
        <v>1888</v>
      </c>
      <c r="H1269" s="17">
        <v>0.4</v>
      </c>
      <c r="I1269" s="18">
        <v>710000000</v>
      </c>
      <c r="J1269" s="4" t="s">
        <v>1931</v>
      </c>
      <c r="K1269" s="4" t="s">
        <v>5706</v>
      </c>
      <c r="L1269" s="7" t="s">
        <v>1940</v>
      </c>
      <c r="M1269" s="8" t="s">
        <v>3195</v>
      </c>
      <c r="N1269" s="8" t="s">
        <v>1890</v>
      </c>
      <c r="O1269" s="16" t="s">
        <v>2146</v>
      </c>
      <c r="P1269" s="1" t="s">
        <v>3418</v>
      </c>
      <c r="Q1269" s="4" t="s">
        <v>5618</v>
      </c>
      <c r="R1269" s="10">
        <v>100</v>
      </c>
      <c r="S1269" s="10">
        <v>6209.82</v>
      </c>
      <c r="T1269" s="10">
        <v>0</v>
      </c>
      <c r="U1269" s="10">
        <f t="shared" si="523"/>
        <v>0</v>
      </c>
      <c r="V1269" s="8" t="s">
        <v>3027</v>
      </c>
      <c r="W1269" s="11">
        <v>2015</v>
      </c>
      <c r="X1269" s="8">
        <v>6</v>
      </c>
    </row>
    <row r="1270" spans="1:24" ht="76.5" customHeight="1" outlineLevel="1" x14ac:dyDescent="0.2">
      <c r="A1270" s="1" t="s">
        <v>7510</v>
      </c>
      <c r="B1270" s="24" t="s">
        <v>5277</v>
      </c>
      <c r="C1270" s="18" t="s">
        <v>6468</v>
      </c>
      <c r="D1270" s="18" t="s">
        <v>5722</v>
      </c>
      <c r="E1270" s="18" t="s">
        <v>1385</v>
      </c>
      <c r="F1270" s="18" t="s">
        <v>7508</v>
      </c>
      <c r="G1270" s="4" t="s">
        <v>1888</v>
      </c>
      <c r="H1270" s="17">
        <v>0.4</v>
      </c>
      <c r="I1270" s="18">
        <v>710000000</v>
      </c>
      <c r="J1270" s="4" t="s">
        <v>1931</v>
      </c>
      <c r="K1270" s="4" t="s">
        <v>5706</v>
      </c>
      <c r="L1270" s="7" t="s">
        <v>1940</v>
      </c>
      <c r="M1270" s="8" t="s">
        <v>3195</v>
      </c>
      <c r="N1270" s="8" t="s">
        <v>1890</v>
      </c>
      <c r="O1270" s="16" t="s">
        <v>2146</v>
      </c>
      <c r="P1270" s="1" t="s">
        <v>3418</v>
      </c>
      <c r="Q1270" s="4" t="s">
        <v>5618</v>
      </c>
      <c r="R1270" s="10">
        <v>100</v>
      </c>
      <c r="S1270" s="10">
        <v>6209.82</v>
      </c>
      <c r="T1270" s="10">
        <v>0</v>
      </c>
      <c r="U1270" s="10">
        <f t="shared" ref="U1270" si="563">T1270*1.12</f>
        <v>0</v>
      </c>
      <c r="V1270" s="8" t="s">
        <v>3027</v>
      </c>
      <c r="W1270" s="11">
        <v>2015</v>
      </c>
      <c r="X1270" s="8">
        <v>11</v>
      </c>
    </row>
    <row r="1271" spans="1:24" ht="76.5" customHeight="1" outlineLevel="1" x14ac:dyDescent="0.2">
      <c r="A1271" s="1" t="s">
        <v>8774</v>
      </c>
      <c r="B1271" s="24" t="s">
        <v>5277</v>
      </c>
      <c r="C1271" s="18" t="s">
        <v>6468</v>
      </c>
      <c r="D1271" s="18" t="s">
        <v>5722</v>
      </c>
      <c r="E1271" s="18" t="s">
        <v>1385</v>
      </c>
      <c r="F1271" s="18" t="s">
        <v>7508</v>
      </c>
      <c r="G1271" s="4" t="s">
        <v>1888</v>
      </c>
      <c r="H1271" s="17">
        <v>0.4</v>
      </c>
      <c r="I1271" s="18">
        <v>710000000</v>
      </c>
      <c r="J1271" s="4" t="s">
        <v>1931</v>
      </c>
      <c r="K1271" s="4" t="s">
        <v>6167</v>
      </c>
      <c r="L1271" s="7" t="s">
        <v>1940</v>
      </c>
      <c r="M1271" s="8" t="s">
        <v>3195</v>
      </c>
      <c r="N1271" s="8" t="s">
        <v>1890</v>
      </c>
      <c r="O1271" s="16" t="s">
        <v>2146</v>
      </c>
      <c r="P1271" s="1" t="s">
        <v>3418</v>
      </c>
      <c r="Q1271" s="4" t="s">
        <v>5618</v>
      </c>
      <c r="R1271" s="10">
        <v>100</v>
      </c>
      <c r="S1271" s="10">
        <v>6209.82</v>
      </c>
      <c r="T1271" s="10">
        <f t="shared" ref="T1271" si="564">S1271*R1271</f>
        <v>620982</v>
      </c>
      <c r="U1271" s="10">
        <f t="shared" ref="U1271" si="565">T1271*1.12</f>
        <v>695499.84000000008</v>
      </c>
      <c r="V1271" s="8" t="s">
        <v>3027</v>
      </c>
      <c r="W1271" s="11">
        <v>2015</v>
      </c>
      <c r="X1271" s="8"/>
    </row>
    <row r="1272" spans="1:24" ht="76.5" customHeight="1" outlineLevel="1" x14ac:dyDescent="0.2">
      <c r="A1272" s="1" t="s">
        <v>5070</v>
      </c>
      <c r="B1272" s="15" t="s">
        <v>5277</v>
      </c>
      <c r="C1272" s="7" t="s">
        <v>4120</v>
      </c>
      <c r="D1272" s="7" t="s">
        <v>5716</v>
      </c>
      <c r="E1272" s="18" t="s">
        <v>5717</v>
      </c>
      <c r="F1272" s="7" t="s">
        <v>5718</v>
      </c>
      <c r="G1272" s="4" t="s">
        <v>1888</v>
      </c>
      <c r="H1272" s="17">
        <v>0.4</v>
      </c>
      <c r="I1272" s="18">
        <v>710000000</v>
      </c>
      <c r="J1272" s="4" t="s">
        <v>1931</v>
      </c>
      <c r="K1272" s="4" t="s">
        <v>5706</v>
      </c>
      <c r="L1272" s="7" t="s">
        <v>5668</v>
      </c>
      <c r="M1272" s="8" t="s">
        <v>3195</v>
      </c>
      <c r="N1272" s="4" t="s">
        <v>1890</v>
      </c>
      <c r="O1272" s="16" t="s">
        <v>2146</v>
      </c>
      <c r="P1272" s="27">
        <v>839</v>
      </c>
      <c r="Q1272" s="4" t="s">
        <v>5419</v>
      </c>
      <c r="R1272" s="26">
        <v>127</v>
      </c>
      <c r="S1272" s="19">
        <v>7071</v>
      </c>
      <c r="T1272" s="10">
        <v>0</v>
      </c>
      <c r="U1272" s="10">
        <f t="shared" si="523"/>
        <v>0</v>
      </c>
      <c r="V1272" s="11" t="s">
        <v>3027</v>
      </c>
      <c r="W1272" s="11">
        <v>2015</v>
      </c>
      <c r="X1272" s="1">
        <v>6.18</v>
      </c>
    </row>
    <row r="1273" spans="1:24" ht="202.5" customHeight="1" outlineLevel="1" x14ac:dyDescent="0.2">
      <c r="A1273" s="1" t="s">
        <v>6740</v>
      </c>
      <c r="B1273" s="15" t="s">
        <v>5277</v>
      </c>
      <c r="C1273" s="7" t="s">
        <v>4120</v>
      </c>
      <c r="D1273" s="7" t="s">
        <v>5716</v>
      </c>
      <c r="E1273" s="18" t="s">
        <v>5717</v>
      </c>
      <c r="F1273" s="18" t="s">
        <v>6741</v>
      </c>
      <c r="G1273" s="4" t="s">
        <v>1888</v>
      </c>
      <c r="H1273" s="17">
        <v>0.4</v>
      </c>
      <c r="I1273" s="18">
        <v>710000000</v>
      </c>
      <c r="J1273" s="4" t="s">
        <v>1931</v>
      </c>
      <c r="K1273" s="4" t="s">
        <v>5706</v>
      </c>
      <c r="L1273" s="7" t="s">
        <v>5668</v>
      </c>
      <c r="M1273" s="8" t="s">
        <v>3195</v>
      </c>
      <c r="N1273" s="4" t="s">
        <v>1890</v>
      </c>
      <c r="O1273" s="16" t="s">
        <v>2146</v>
      </c>
      <c r="P1273" s="27">
        <v>839</v>
      </c>
      <c r="Q1273" s="4" t="s">
        <v>5419</v>
      </c>
      <c r="R1273" s="26">
        <v>126</v>
      </c>
      <c r="S1273" s="19">
        <v>7071</v>
      </c>
      <c r="T1273" s="10">
        <f t="shared" ref="T1273" si="566">S1273*R1273</f>
        <v>890946</v>
      </c>
      <c r="U1273" s="10">
        <f t="shared" ref="U1273" si="567">T1273*1.12</f>
        <v>997859.52000000014</v>
      </c>
      <c r="V1273" s="11" t="s">
        <v>3027</v>
      </c>
      <c r="W1273" s="11">
        <v>2015</v>
      </c>
      <c r="X1273" s="20"/>
    </row>
    <row r="1274" spans="1:24" ht="122.25" customHeight="1" outlineLevel="1" x14ac:dyDescent="0.2">
      <c r="A1274" s="1" t="s">
        <v>5071</v>
      </c>
      <c r="B1274" s="15" t="s">
        <v>5277</v>
      </c>
      <c r="C1274" s="16" t="s">
        <v>4144</v>
      </c>
      <c r="D1274" s="16" t="s">
        <v>6218</v>
      </c>
      <c r="E1274" s="16" t="s">
        <v>6219</v>
      </c>
      <c r="F1274" s="16" t="s">
        <v>6220</v>
      </c>
      <c r="G1274" s="4" t="s">
        <v>1888</v>
      </c>
      <c r="H1274" s="17">
        <v>0.4</v>
      </c>
      <c r="I1274" s="18">
        <v>710000000</v>
      </c>
      <c r="J1274" s="4" t="s">
        <v>1931</v>
      </c>
      <c r="K1274" s="4" t="s">
        <v>5706</v>
      </c>
      <c r="L1274" s="7" t="s">
        <v>5668</v>
      </c>
      <c r="M1274" s="8" t="s">
        <v>3195</v>
      </c>
      <c r="N1274" s="4" t="s">
        <v>1890</v>
      </c>
      <c r="O1274" s="16" t="s">
        <v>2146</v>
      </c>
      <c r="P1274" s="8">
        <v>796</v>
      </c>
      <c r="Q1274" s="8" t="s">
        <v>3196</v>
      </c>
      <c r="R1274" s="10">
        <v>26</v>
      </c>
      <c r="S1274" s="19">
        <v>7714</v>
      </c>
      <c r="T1274" s="10">
        <v>0</v>
      </c>
      <c r="U1274" s="10">
        <f t="shared" si="523"/>
        <v>0</v>
      </c>
      <c r="V1274" s="11" t="s">
        <v>3027</v>
      </c>
      <c r="W1274" s="11">
        <v>2015</v>
      </c>
      <c r="X1274" s="1">
        <v>6</v>
      </c>
    </row>
    <row r="1275" spans="1:24" ht="132" customHeight="1" outlineLevel="1" x14ac:dyDescent="0.2">
      <c r="A1275" s="1" t="s">
        <v>6742</v>
      </c>
      <c r="B1275" s="15" t="s">
        <v>5277</v>
      </c>
      <c r="C1275" s="16" t="s">
        <v>4144</v>
      </c>
      <c r="D1275" s="16" t="s">
        <v>6218</v>
      </c>
      <c r="E1275" s="16" t="s">
        <v>6219</v>
      </c>
      <c r="F1275" s="16" t="s">
        <v>6743</v>
      </c>
      <c r="G1275" s="4" t="s">
        <v>1888</v>
      </c>
      <c r="H1275" s="17">
        <v>0.4</v>
      </c>
      <c r="I1275" s="18">
        <v>710000000</v>
      </c>
      <c r="J1275" s="4" t="s">
        <v>1931</v>
      </c>
      <c r="K1275" s="4" t="s">
        <v>5706</v>
      </c>
      <c r="L1275" s="7" t="s">
        <v>5668</v>
      </c>
      <c r="M1275" s="8" t="s">
        <v>3195</v>
      </c>
      <c r="N1275" s="4" t="s">
        <v>1890</v>
      </c>
      <c r="O1275" s="16" t="s">
        <v>2146</v>
      </c>
      <c r="P1275" s="8">
        <v>796</v>
      </c>
      <c r="Q1275" s="8" t="s">
        <v>3196</v>
      </c>
      <c r="R1275" s="10">
        <v>26</v>
      </c>
      <c r="S1275" s="19">
        <v>7714</v>
      </c>
      <c r="T1275" s="10">
        <v>0</v>
      </c>
      <c r="U1275" s="10">
        <f t="shared" ref="U1275" si="568">T1275*1.12</f>
        <v>0</v>
      </c>
      <c r="V1275" s="11" t="s">
        <v>3027</v>
      </c>
      <c r="W1275" s="11">
        <v>2015</v>
      </c>
      <c r="X1275" s="1">
        <v>11</v>
      </c>
    </row>
    <row r="1276" spans="1:24" ht="132" customHeight="1" outlineLevel="1" x14ac:dyDescent="0.2">
      <c r="A1276" s="1" t="s">
        <v>8775</v>
      </c>
      <c r="B1276" s="15" t="s">
        <v>5277</v>
      </c>
      <c r="C1276" s="16" t="s">
        <v>4144</v>
      </c>
      <c r="D1276" s="16" t="s">
        <v>6218</v>
      </c>
      <c r="E1276" s="16" t="s">
        <v>6219</v>
      </c>
      <c r="F1276" s="16" t="s">
        <v>6743</v>
      </c>
      <c r="G1276" s="4" t="s">
        <v>1888</v>
      </c>
      <c r="H1276" s="17">
        <v>0.4</v>
      </c>
      <c r="I1276" s="18">
        <v>710000000</v>
      </c>
      <c r="J1276" s="4" t="s">
        <v>1931</v>
      </c>
      <c r="K1276" s="4" t="s">
        <v>6167</v>
      </c>
      <c r="L1276" s="7" t="s">
        <v>5668</v>
      </c>
      <c r="M1276" s="8" t="s">
        <v>3195</v>
      </c>
      <c r="N1276" s="4" t="s">
        <v>1890</v>
      </c>
      <c r="O1276" s="16" t="s">
        <v>2146</v>
      </c>
      <c r="P1276" s="8">
        <v>796</v>
      </c>
      <c r="Q1276" s="8" t="s">
        <v>3196</v>
      </c>
      <c r="R1276" s="10">
        <v>26</v>
      </c>
      <c r="S1276" s="19">
        <v>7714</v>
      </c>
      <c r="T1276" s="10">
        <v>0</v>
      </c>
      <c r="U1276" s="10">
        <f t="shared" ref="U1276" si="569">T1276*1.12</f>
        <v>0</v>
      </c>
      <c r="V1276" s="11" t="s">
        <v>3027</v>
      </c>
      <c r="W1276" s="11">
        <v>2015</v>
      </c>
      <c r="X1276" s="1">
        <v>11.22</v>
      </c>
    </row>
    <row r="1277" spans="1:24" ht="156" customHeight="1" outlineLevel="1" x14ac:dyDescent="0.2">
      <c r="A1277" s="1" t="s">
        <v>9033</v>
      </c>
      <c r="B1277" s="15" t="s">
        <v>5277</v>
      </c>
      <c r="C1277" s="16" t="s">
        <v>4144</v>
      </c>
      <c r="D1277" s="16" t="s">
        <v>6218</v>
      </c>
      <c r="E1277" s="16" t="s">
        <v>6219</v>
      </c>
      <c r="F1277" s="16" t="s">
        <v>6743</v>
      </c>
      <c r="G1277" s="4" t="s">
        <v>1888</v>
      </c>
      <c r="H1277" s="17">
        <v>0.4</v>
      </c>
      <c r="I1277" s="18">
        <v>710000000</v>
      </c>
      <c r="J1277" s="4" t="s">
        <v>1931</v>
      </c>
      <c r="K1277" s="4" t="s">
        <v>8982</v>
      </c>
      <c r="L1277" s="7" t="s">
        <v>5668</v>
      </c>
      <c r="M1277" s="8" t="s">
        <v>3195</v>
      </c>
      <c r="N1277" s="4" t="s">
        <v>1890</v>
      </c>
      <c r="O1277" s="16" t="s">
        <v>2146</v>
      </c>
      <c r="P1277" s="8">
        <v>796</v>
      </c>
      <c r="Q1277" s="8" t="s">
        <v>3196</v>
      </c>
      <c r="R1277" s="10">
        <v>26</v>
      </c>
      <c r="S1277" s="19">
        <v>7714</v>
      </c>
      <c r="T1277" s="10">
        <v>0</v>
      </c>
      <c r="U1277" s="10">
        <v>0</v>
      </c>
      <c r="V1277" s="11"/>
      <c r="W1277" s="11">
        <v>2015</v>
      </c>
      <c r="X1277" s="1" t="s">
        <v>10146</v>
      </c>
    </row>
    <row r="1278" spans="1:24" ht="159" customHeight="1" outlineLevel="1" x14ac:dyDescent="0.2">
      <c r="A1278" s="1" t="s">
        <v>10081</v>
      </c>
      <c r="B1278" s="15" t="s">
        <v>5277</v>
      </c>
      <c r="C1278" s="16" t="s">
        <v>4144</v>
      </c>
      <c r="D1278" s="16" t="s">
        <v>6218</v>
      </c>
      <c r="E1278" s="16" t="s">
        <v>6219</v>
      </c>
      <c r="F1278" s="16" t="s">
        <v>6743</v>
      </c>
      <c r="G1278" s="4" t="s">
        <v>1888</v>
      </c>
      <c r="H1278" s="17">
        <v>0.4</v>
      </c>
      <c r="I1278" s="18">
        <v>710000000</v>
      </c>
      <c r="J1278" s="4" t="s">
        <v>1931</v>
      </c>
      <c r="K1278" s="4" t="s">
        <v>10082</v>
      </c>
      <c r="L1278" s="7" t="s">
        <v>5668</v>
      </c>
      <c r="M1278" s="8" t="s">
        <v>3195</v>
      </c>
      <c r="N1278" s="4" t="s">
        <v>1890</v>
      </c>
      <c r="O1278" s="16" t="s">
        <v>1935</v>
      </c>
      <c r="P1278" s="8">
        <v>796</v>
      </c>
      <c r="Q1278" s="8" t="s">
        <v>3196</v>
      </c>
      <c r="R1278" s="10">
        <v>23</v>
      </c>
      <c r="S1278" s="19">
        <v>7714</v>
      </c>
      <c r="T1278" s="10">
        <v>177422</v>
      </c>
      <c r="U1278" s="10">
        <v>198712.64</v>
      </c>
      <c r="V1278" s="11"/>
      <c r="W1278" s="11">
        <v>2015</v>
      </c>
      <c r="X1278" s="20"/>
    </row>
    <row r="1279" spans="1:24" ht="76.5" customHeight="1" outlineLevel="1" x14ac:dyDescent="0.2">
      <c r="A1279" s="1" t="s">
        <v>5072</v>
      </c>
      <c r="B1279" s="15" t="s">
        <v>5277</v>
      </c>
      <c r="C1279" s="16" t="s">
        <v>4139</v>
      </c>
      <c r="D1279" s="16" t="s">
        <v>4140</v>
      </c>
      <c r="E1279" s="16" t="s">
        <v>6464</v>
      </c>
      <c r="F1279" s="1"/>
      <c r="G1279" s="4" t="s">
        <v>1888</v>
      </c>
      <c r="H1279" s="17">
        <v>0.4</v>
      </c>
      <c r="I1279" s="18">
        <v>710000000</v>
      </c>
      <c r="J1279" s="4" t="s">
        <v>1931</v>
      </c>
      <c r="K1279" s="4" t="s">
        <v>5706</v>
      </c>
      <c r="L1279" s="7" t="s">
        <v>5668</v>
      </c>
      <c r="M1279" s="8" t="s">
        <v>3195</v>
      </c>
      <c r="N1279" s="4" t="s">
        <v>1890</v>
      </c>
      <c r="O1279" s="16" t="s">
        <v>2146</v>
      </c>
      <c r="P1279" s="8">
        <v>796</v>
      </c>
      <c r="Q1279" s="8" t="s">
        <v>3196</v>
      </c>
      <c r="R1279" s="10">
        <v>1</v>
      </c>
      <c r="S1279" s="19">
        <v>7714</v>
      </c>
      <c r="T1279" s="10">
        <v>0</v>
      </c>
      <c r="U1279" s="10">
        <f t="shared" si="523"/>
        <v>0</v>
      </c>
      <c r="V1279" s="11" t="s">
        <v>3027</v>
      </c>
      <c r="W1279" s="11">
        <v>2015</v>
      </c>
      <c r="X1279" s="1" t="s">
        <v>6745</v>
      </c>
    </row>
    <row r="1280" spans="1:24" ht="114.75" customHeight="1" outlineLevel="1" x14ac:dyDescent="0.2">
      <c r="A1280" s="1" t="s">
        <v>6744</v>
      </c>
      <c r="B1280" s="15" t="s">
        <v>5277</v>
      </c>
      <c r="C1280" s="16" t="s">
        <v>6746</v>
      </c>
      <c r="D1280" s="16" t="s">
        <v>1390</v>
      </c>
      <c r="E1280" s="16" t="s">
        <v>6747</v>
      </c>
      <c r="F1280" s="16" t="s">
        <v>6748</v>
      </c>
      <c r="G1280" s="4" t="s">
        <v>1888</v>
      </c>
      <c r="H1280" s="17">
        <v>0.4</v>
      </c>
      <c r="I1280" s="18">
        <v>710000000</v>
      </c>
      <c r="J1280" s="4" t="s">
        <v>1931</v>
      </c>
      <c r="K1280" s="4" t="s">
        <v>5706</v>
      </c>
      <c r="L1280" s="7" t="s">
        <v>5668</v>
      </c>
      <c r="M1280" s="8" t="s">
        <v>3195</v>
      </c>
      <c r="N1280" s="4" t="s">
        <v>1890</v>
      </c>
      <c r="O1280" s="16" t="s">
        <v>2146</v>
      </c>
      <c r="P1280" s="8">
        <v>796</v>
      </c>
      <c r="Q1280" s="8" t="s">
        <v>3196</v>
      </c>
      <c r="R1280" s="10">
        <v>1</v>
      </c>
      <c r="S1280" s="19">
        <v>7714</v>
      </c>
      <c r="T1280" s="10">
        <v>0</v>
      </c>
      <c r="U1280" s="10">
        <f t="shared" ref="U1280" si="570">T1280*1.12</f>
        <v>0</v>
      </c>
      <c r="V1280" s="11" t="s">
        <v>3027</v>
      </c>
      <c r="W1280" s="11">
        <v>2015</v>
      </c>
      <c r="X1280" s="1">
        <v>11</v>
      </c>
    </row>
    <row r="1281" spans="1:24" ht="114.75" customHeight="1" outlineLevel="1" x14ac:dyDescent="0.2">
      <c r="A1281" s="1" t="s">
        <v>8776</v>
      </c>
      <c r="B1281" s="15" t="s">
        <v>5277</v>
      </c>
      <c r="C1281" s="16" t="s">
        <v>6746</v>
      </c>
      <c r="D1281" s="16" t="s">
        <v>1390</v>
      </c>
      <c r="E1281" s="16" t="s">
        <v>6747</v>
      </c>
      <c r="F1281" s="16" t="s">
        <v>6748</v>
      </c>
      <c r="G1281" s="4" t="s">
        <v>1888</v>
      </c>
      <c r="H1281" s="17">
        <v>0.4</v>
      </c>
      <c r="I1281" s="18">
        <v>710000000</v>
      </c>
      <c r="J1281" s="4" t="s">
        <v>1931</v>
      </c>
      <c r="K1281" s="4" t="s">
        <v>6167</v>
      </c>
      <c r="L1281" s="7" t="s">
        <v>5668</v>
      </c>
      <c r="M1281" s="8" t="s">
        <v>3195</v>
      </c>
      <c r="N1281" s="4" t="s">
        <v>1890</v>
      </c>
      <c r="O1281" s="16" t="s">
        <v>2146</v>
      </c>
      <c r="P1281" s="8">
        <v>796</v>
      </c>
      <c r="Q1281" s="8" t="s">
        <v>3196</v>
      </c>
      <c r="R1281" s="10">
        <v>1</v>
      </c>
      <c r="S1281" s="19">
        <v>7714</v>
      </c>
      <c r="T1281" s="10">
        <v>0</v>
      </c>
      <c r="U1281" s="10">
        <f t="shared" ref="U1281" si="571">T1281*1.12</f>
        <v>0</v>
      </c>
      <c r="V1281" s="11" t="s">
        <v>3027</v>
      </c>
      <c r="W1281" s="11">
        <v>2015</v>
      </c>
      <c r="X1281" s="1">
        <v>11.22</v>
      </c>
    </row>
    <row r="1282" spans="1:24" ht="166.5" customHeight="1" outlineLevel="1" x14ac:dyDescent="0.2">
      <c r="A1282" s="1" t="s">
        <v>9034</v>
      </c>
      <c r="B1282" s="15" t="s">
        <v>5277</v>
      </c>
      <c r="C1282" s="16" t="s">
        <v>6746</v>
      </c>
      <c r="D1282" s="16" t="s">
        <v>1390</v>
      </c>
      <c r="E1282" s="16" t="s">
        <v>6747</v>
      </c>
      <c r="F1282" s="16" t="s">
        <v>6748</v>
      </c>
      <c r="G1282" s="4" t="s">
        <v>1888</v>
      </c>
      <c r="H1282" s="17">
        <v>0.4</v>
      </c>
      <c r="I1282" s="18">
        <v>710000000</v>
      </c>
      <c r="J1282" s="4" t="s">
        <v>1931</v>
      </c>
      <c r="K1282" s="4" t="s">
        <v>8982</v>
      </c>
      <c r="L1282" s="7" t="s">
        <v>5668</v>
      </c>
      <c r="M1282" s="8" t="s">
        <v>3195</v>
      </c>
      <c r="N1282" s="4" t="s">
        <v>1890</v>
      </c>
      <c r="O1282" s="16" t="s">
        <v>2146</v>
      </c>
      <c r="P1282" s="8">
        <v>796</v>
      </c>
      <c r="Q1282" s="8" t="s">
        <v>3196</v>
      </c>
      <c r="R1282" s="10">
        <v>1</v>
      </c>
      <c r="S1282" s="19">
        <v>7714</v>
      </c>
      <c r="T1282" s="10">
        <v>0</v>
      </c>
      <c r="U1282" s="10">
        <v>0</v>
      </c>
      <c r="V1282" s="11"/>
      <c r="W1282" s="11">
        <v>2015</v>
      </c>
      <c r="X1282" s="1">
        <v>11.15</v>
      </c>
    </row>
    <row r="1283" spans="1:24" ht="166.5" customHeight="1" outlineLevel="1" x14ac:dyDescent="0.2">
      <c r="A1283" s="1" t="s">
        <v>10083</v>
      </c>
      <c r="B1283" s="15" t="s">
        <v>5277</v>
      </c>
      <c r="C1283" s="16" t="s">
        <v>6746</v>
      </c>
      <c r="D1283" s="16" t="s">
        <v>1390</v>
      </c>
      <c r="E1283" s="16" t="s">
        <v>6747</v>
      </c>
      <c r="F1283" s="16" t="s">
        <v>6748</v>
      </c>
      <c r="G1283" s="4" t="s">
        <v>1888</v>
      </c>
      <c r="H1283" s="17">
        <v>0.4</v>
      </c>
      <c r="I1283" s="18">
        <v>710000000</v>
      </c>
      <c r="J1283" s="4" t="s">
        <v>1931</v>
      </c>
      <c r="K1283" s="4" t="s">
        <v>10082</v>
      </c>
      <c r="L1283" s="7" t="s">
        <v>5668</v>
      </c>
      <c r="M1283" s="8" t="s">
        <v>3195</v>
      </c>
      <c r="N1283" s="4" t="s">
        <v>1890</v>
      </c>
      <c r="O1283" s="16" t="s">
        <v>1935</v>
      </c>
      <c r="P1283" s="8">
        <v>796</v>
      </c>
      <c r="Q1283" s="8" t="s">
        <v>3196</v>
      </c>
      <c r="R1283" s="10">
        <v>1</v>
      </c>
      <c r="S1283" s="19">
        <v>7714</v>
      </c>
      <c r="T1283" s="10">
        <v>7714</v>
      </c>
      <c r="U1283" s="10">
        <v>8639.68</v>
      </c>
      <c r="V1283" s="11"/>
      <c r="W1283" s="11">
        <v>2015</v>
      </c>
      <c r="X1283" s="20"/>
    </row>
    <row r="1284" spans="1:24" ht="127.5" customHeight="1" outlineLevel="1" x14ac:dyDescent="0.2">
      <c r="A1284" s="1" t="s">
        <v>5073</v>
      </c>
      <c r="B1284" s="15" t="s">
        <v>5277</v>
      </c>
      <c r="C1284" s="4" t="s">
        <v>5124</v>
      </c>
      <c r="D1284" s="4" t="s">
        <v>6221</v>
      </c>
      <c r="E1284" s="4" t="s">
        <v>6222</v>
      </c>
      <c r="F1284" s="16" t="s">
        <v>6223</v>
      </c>
      <c r="G1284" s="4" t="s">
        <v>1888</v>
      </c>
      <c r="H1284" s="17">
        <v>0.4</v>
      </c>
      <c r="I1284" s="18">
        <v>710000000</v>
      </c>
      <c r="J1284" s="4" t="s">
        <v>1931</v>
      </c>
      <c r="K1284" s="4" t="s">
        <v>5706</v>
      </c>
      <c r="L1284" s="7" t="s">
        <v>5668</v>
      </c>
      <c r="M1284" s="8" t="s">
        <v>3195</v>
      </c>
      <c r="N1284" s="4" t="s">
        <v>1890</v>
      </c>
      <c r="O1284" s="16" t="s">
        <v>2146</v>
      </c>
      <c r="P1284" s="4">
        <v>715</v>
      </c>
      <c r="Q1284" s="4" t="s">
        <v>5618</v>
      </c>
      <c r="R1284" s="10">
        <v>92</v>
      </c>
      <c r="S1284" s="19">
        <v>2436</v>
      </c>
      <c r="T1284" s="10">
        <v>0</v>
      </c>
      <c r="U1284" s="10">
        <f t="shared" si="523"/>
        <v>0</v>
      </c>
      <c r="V1284" s="11" t="s">
        <v>3027</v>
      </c>
      <c r="W1284" s="11">
        <v>2015</v>
      </c>
      <c r="X1284" s="1">
        <v>11</v>
      </c>
    </row>
    <row r="1285" spans="1:24" ht="127.5" customHeight="1" outlineLevel="1" x14ac:dyDescent="0.2">
      <c r="A1285" s="1" t="s">
        <v>8777</v>
      </c>
      <c r="B1285" s="15" t="s">
        <v>5277</v>
      </c>
      <c r="C1285" s="4" t="s">
        <v>5124</v>
      </c>
      <c r="D1285" s="4" t="s">
        <v>6221</v>
      </c>
      <c r="E1285" s="4" t="s">
        <v>6222</v>
      </c>
      <c r="F1285" s="16" t="s">
        <v>6223</v>
      </c>
      <c r="G1285" s="4" t="s">
        <v>1888</v>
      </c>
      <c r="H1285" s="17">
        <v>0.4</v>
      </c>
      <c r="I1285" s="18">
        <v>710000000</v>
      </c>
      <c r="J1285" s="4" t="s">
        <v>1931</v>
      </c>
      <c r="K1285" s="4" t="s">
        <v>6167</v>
      </c>
      <c r="L1285" s="7" t="s">
        <v>5668</v>
      </c>
      <c r="M1285" s="8" t="s">
        <v>3195</v>
      </c>
      <c r="N1285" s="4" t="s">
        <v>1890</v>
      </c>
      <c r="O1285" s="16" t="s">
        <v>2146</v>
      </c>
      <c r="P1285" s="4">
        <v>715</v>
      </c>
      <c r="Q1285" s="4" t="s">
        <v>5618</v>
      </c>
      <c r="R1285" s="10">
        <v>92</v>
      </c>
      <c r="S1285" s="19">
        <v>2436</v>
      </c>
      <c r="T1285" s="10">
        <v>0</v>
      </c>
      <c r="U1285" s="10">
        <f t="shared" ref="U1285" si="572">T1285*1.12</f>
        <v>0</v>
      </c>
      <c r="V1285" s="11" t="s">
        <v>3027</v>
      </c>
      <c r="W1285" s="11">
        <v>2015</v>
      </c>
      <c r="X1285" s="1">
        <v>11.22</v>
      </c>
    </row>
    <row r="1286" spans="1:24" ht="172.5" customHeight="1" outlineLevel="1" x14ac:dyDescent="0.2">
      <c r="A1286" s="1" t="s">
        <v>9035</v>
      </c>
      <c r="B1286" s="15" t="s">
        <v>5277</v>
      </c>
      <c r="C1286" s="4" t="s">
        <v>5124</v>
      </c>
      <c r="D1286" s="4" t="s">
        <v>6221</v>
      </c>
      <c r="E1286" s="4" t="s">
        <v>6222</v>
      </c>
      <c r="F1286" s="16" t="s">
        <v>6223</v>
      </c>
      <c r="G1286" s="4" t="s">
        <v>1888</v>
      </c>
      <c r="H1286" s="17">
        <v>0.4</v>
      </c>
      <c r="I1286" s="18">
        <v>710000000</v>
      </c>
      <c r="J1286" s="4" t="s">
        <v>1931</v>
      </c>
      <c r="K1286" s="4" t="s">
        <v>8982</v>
      </c>
      <c r="L1286" s="7" t="s">
        <v>5668</v>
      </c>
      <c r="M1286" s="8" t="s">
        <v>3195</v>
      </c>
      <c r="N1286" s="4" t="s">
        <v>1890</v>
      </c>
      <c r="O1286" s="16" t="s">
        <v>2146</v>
      </c>
      <c r="P1286" s="4">
        <v>715</v>
      </c>
      <c r="Q1286" s="4" t="s">
        <v>5618</v>
      </c>
      <c r="R1286" s="10">
        <v>92</v>
      </c>
      <c r="S1286" s="19">
        <v>2436</v>
      </c>
      <c r="T1286" s="10">
        <v>0</v>
      </c>
      <c r="U1286" s="10">
        <v>0</v>
      </c>
      <c r="V1286" s="11"/>
      <c r="W1286" s="11">
        <v>2015</v>
      </c>
      <c r="X1286" s="1" t="s">
        <v>10139</v>
      </c>
    </row>
    <row r="1287" spans="1:24" ht="170.25" customHeight="1" outlineLevel="1" x14ac:dyDescent="0.2">
      <c r="A1287" s="1" t="s">
        <v>10084</v>
      </c>
      <c r="B1287" s="15" t="s">
        <v>5277</v>
      </c>
      <c r="C1287" s="4" t="s">
        <v>5124</v>
      </c>
      <c r="D1287" s="4" t="s">
        <v>6221</v>
      </c>
      <c r="E1287" s="4" t="s">
        <v>6222</v>
      </c>
      <c r="F1287" s="16" t="s">
        <v>6223</v>
      </c>
      <c r="G1287" s="4" t="s">
        <v>1888</v>
      </c>
      <c r="H1287" s="17">
        <v>0.4</v>
      </c>
      <c r="I1287" s="18">
        <v>710000000</v>
      </c>
      <c r="J1287" s="4" t="s">
        <v>1931</v>
      </c>
      <c r="K1287" s="4" t="s">
        <v>10082</v>
      </c>
      <c r="L1287" s="7" t="s">
        <v>5668</v>
      </c>
      <c r="M1287" s="8" t="s">
        <v>3195</v>
      </c>
      <c r="N1287" s="4" t="s">
        <v>1890</v>
      </c>
      <c r="O1287" s="16" t="s">
        <v>1935</v>
      </c>
      <c r="P1287" s="4">
        <v>715</v>
      </c>
      <c r="Q1287" s="4" t="s">
        <v>5618</v>
      </c>
      <c r="R1287" s="10">
        <v>92</v>
      </c>
      <c r="S1287" s="19">
        <v>2436</v>
      </c>
      <c r="T1287" s="10">
        <v>224112</v>
      </c>
      <c r="U1287" s="10">
        <v>251005.44000000003</v>
      </c>
      <c r="V1287" s="11"/>
      <c r="W1287" s="11">
        <v>2015</v>
      </c>
      <c r="X1287" s="20"/>
    </row>
    <row r="1288" spans="1:24" ht="242.25" customHeight="1" outlineLevel="1" x14ac:dyDescent="0.2">
      <c r="A1288" s="1" t="s">
        <v>8778</v>
      </c>
      <c r="B1288" s="15" t="s">
        <v>5277</v>
      </c>
      <c r="C1288" s="16" t="s">
        <v>4145</v>
      </c>
      <c r="D1288" s="16" t="s">
        <v>5722</v>
      </c>
      <c r="E1288" s="16" t="s">
        <v>7604</v>
      </c>
      <c r="F1288" s="16" t="s">
        <v>6224</v>
      </c>
      <c r="G1288" s="4" t="s">
        <v>1888</v>
      </c>
      <c r="H1288" s="17">
        <v>0.4</v>
      </c>
      <c r="I1288" s="18">
        <v>710000000</v>
      </c>
      <c r="J1288" s="4" t="s">
        <v>1931</v>
      </c>
      <c r="K1288" s="4" t="s">
        <v>6167</v>
      </c>
      <c r="L1288" s="7" t="s">
        <v>5668</v>
      </c>
      <c r="M1288" s="8" t="s">
        <v>3195</v>
      </c>
      <c r="N1288" s="4" t="s">
        <v>1890</v>
      </c>
      <c r="O1288" s="16" t="s">
        <v>2146</v>
      </c>
      <c r="P1288" s="4">
        <v>715</v>
      </c>
      <c r="Q1288" s="4" t="s">
        <v>5618</v>
      </c>
      <c r="R1288" s="10">
        <v>33</v>
      </c>
      <c r="S1288" s="19">
        <v>5709.5</v>
      </c>
      <c r="T1288" s="10">
        <v>0</v>
      </c>
      <c r="U1288" s="10">
        <f t="shared" ref="U1288" si="573">T1288*1.12</f>
        <v>0</v>
      </c>
      <c r="V1288" s="11" t="s">
        <v>3027</v>
      </c>
      <c r="W1288" s="11">
        <v>2015</v>
      </c>
      <c r="X1288" s="1">
        <v>11.22</v>
      </c>
    </row>
    <row r="1289" spans="1:24" ht="336" customHeight="1" outlineLevel="1" x14ac:dyDescent="0.2">
      <c r="A1289" s="1" t="s">
        <v>9036</v>
      </c>
      <c r="B1289" s="15" t="s">
        <v>5277</v>
      </c>
      <c r="C1289" s="16" t="s">
        <v>4145</v>
      </c>
      <c r="D1289" s="16" t="s">
        <v>5722</v>
      </c>
      <c r="E1289" s="16" t="s">
        <v>7604</v>
      </c>
      <c r="F1289" s="16" t="s">
        <v>6224</v>
      </c>
      <c r="G1289" s="4" t="s">
        <v>1888</v>
      </c>
      <c r="H1289" s="17">
        <v>0.4</v>
      </c>
      <c r="I1289" s="18">
        <v>710000000</v>
      </c>
      <c r="J1289" s="4" t="s">
        <v>1931</v>
      </c>
      <c r="K1289" s="4" t="s">
        <v>8982</v>
      </c>
      <c r="L1289" s="7" t="s">
        <v>5668</v>
      </c>
      <c r="M1289" s="8" t="s">
        <v>3195</v>
      </c>
      <c r="N1289" s="4" t="s">
        <v>1890</v>
      </c>
      <c r="O1289" s="16" t="s">
        <v>2146</v>
      </c>
      <c r="P1289" s="4">
        <v>715</v>
      </c>
      <c r="Q1289" s="4" t="s">
        <v>5618</v>
      </c>
      <c r="R1289" s="10">
        <v>33</v>
      </c>
      <c r="S1289" s="19">
        <v>5709.5</v>
      </c>
      <c r="T1289" s="10">
        <v>0</v>
      </c>
      <c r="U1289" s="10">
        <v>0</v>
      </c>
      <c r="V1289" s="11"/>
      <c r="W1289" s="11">
        <v>2015</v>
      </c>
      <c r="X1289" s="1" t="s">
        <v>10139</v>
      </c>
    </row>
    <row r="1290" spans="1:24" ht="321" customHeight="1" outlineLevel="1" x14ac:dyDescent="0.2">
      <c r="A1290" s="1" t="s">
        <v>10085</v>
      </c>
      <c r="B1290" s="15" t="s">
        <v>5277</v>
      </c>
      <c r="C1290" s="16" t="s">
        <v>4145</v>
      </c>
      <c r="D1290" s="16" t="s">
        <v>5722</v>
      </c>
      <c r="E1290" s="16" t="s">
        <v>7604</v>
      </c>
      <c r="F1290" s="16" t="s">
        <v>6224</v>
      </c>
      <c r="G1290" s="4" t="s">
        <v>1888</v>
      </c>
      <c r="H1290" s="17">
        <v>0.4</v>
      </c>
      <c r="I1290" s="18">
        <v>710000000</v>
      </c>
      <c r="J1290" s="4" t="s">
        <v>1931</v>
      </c>
      <c r="K1290" s="4" t="s">
        <v>10082</v>
      </c>
      <c r="L1290" s="7" t="s">
        <v>5668</v>
      </c>
      <c r="M1290" s="8" t="s">
        <v>3195</v>
      </c>
      <c r="N1290" s="4" t="s">
        <v>1890</v>
      </c>
      <c r="O1290" s="16" t="s">
        <v>8390</v>
      </c>
      <c r="P1290" s="4">
        <v>715</v>
      </c>
      <c r="Q1290" s="4" t="s">
        <v>5618</v>
      </c>
      <c r="R1290" s="10">
        <v>33</v>
      </c>
      <c r="S1290" s="19">
        <v>5709.5</v>
      </c>
      <c r="T1290" s="10">
        <v>188413.5</v>
      </c>
      <c r="U1290" s="10">
        <v>211023.12000000002</v>
      </c>
      <c r="V1290" s="11"/>
      <c r="W1290" s="11">
        <v>2015</v>
      </c>
      <c r="X1290" s="20"/>
    </row>
    <row r="1291" spans="1:24" ht="140.25" customHeight="1" outlineLevel="1" x14ac:dyDescent="0.2">
      <c r="A1291" s="1" t="s">
        <v>8779</v>
      </c>
      <c r="B1291" s="15" t="s">
        <v>5277</v>
      </c>
      <c r="C1291" s="16" t="s">
        <v>4146</v>
      </c>
      <c r="D1291" s="16" t="s">
        <v>6217</v>
      </c>
      <c r="E1291" s="16" t="s">
        <v>7604</v>
      </c>
      <c r="F1291" s="16" t="s">
        <v>6225</v>
      </c>
      <c r="G1291" s="4" t="s">
        <v>1888</v>
      </c>
      <c r="H1291" s="17">
        <v>0.4</v>
      </c>
      <c r="I1291" s="18">
        <v>710000000</v>
      </c>
      <c r="J1291" s="4" t="s">
        <v>1931</v>
      </c>
      <c r="K1291" s="4" t="s">
        <v>6167</v>
      </c>
      <c r="L1291" s="7" t="s">
        <v>5668</v>
      </c>
      <c r="M1291" s="8" t="s">
        <v>3195</v>
      </c>
      <c r="N1291" s="4" t="s">
        <v>1890</v>
      </c>
      <c r="O1291" s="16" t="s">
        <v>2146</v>
      </c>
      <c r="P1291" s="4">
        <v>715</v>
      </c>
      <c r="Q1291" s="4" t="s">
        <v>5618</v>
      </c>
      <c r="R1291" s="10">
        <v>115</v>
      </c>
      <c r="S1291" s="19">
        <v>4803.08</v>
      </c>
      <c r="T1291" s="10">
        <v>0</v>
      </c>
      <c r="U1291" s="10">
        <f t="shared" ref="U1291" si="574">T1291*1.12</f>
        <v>0</v>
      </c>
      <c r="V1291" s="11" t="s">
        <v>3027</v>
      </c>
      <c r="W1291" s="11">
        <v>2015</v>
      </c>
      <c r="X1291" s="1">
        <v>11.22</v>
      </c>
    </row>
    <row r="1292" spans="1:24" ht="193.5" customHeight="1" outlineLevel="1" x14ac:dyDescent="0.2">
      <c r="A1292" s="1" t="s">
        <v>9037</v>
      </c>
      <c r="B1292" s="15" t="s">
        <v>5277</v>
      </c>
      <c r="C1292" s="16" t="s">
        <v>4146</v>
      </c>
      <c r="D1292" s="16" t="s">
        <v>6217</v>
      </c>
      <c r="E1292" s="16" t="s">
        <v>7604</v>
      </c>
      <c r="F1292" s="16" t="s">
        <v>6225</v>
      </c>
      <c r="G1292" s="4" t="s">
        <v>1888</v>
      </c>
      <c r="H1292" s="17">
        <v>0.4</v>
      </c>
      <c r="I1292" s="18">
        <v>710000000</v>
      </c>
      <c r="J1292" s="4" t="s">
        <v>1931</v>
      </c>
      <c r="K1292" s="4" t="s">
        <v>8982</v>
      </c>
      <c r="L1292" s="7" t="s">
        <v>5668</v>
      </c>
      <c r="M1292" s="8" t="s">
        <v>3195</v>
      </c>
      <c r="N1292" s="4" t="s">
        <v>1890</v>
      </c>
      <c r="O1292" s="16" t="s">
        <v>2146</v>
      </c>
      <c r="P1292" s="4">
        <v>715</v>
      </c>
      <c r="Q1292" s="4" t="s">
        <v>5618</v>
      </c>
      <c r="R1292" s="10">
        <v>115</v>
      </c>
      <c r="S1292" s="19">
        <v>4803.08</v>
      </c>
      <c r="T1292" s="10">
        <v>0</v>
      </c>
      <c r="U1292" s="10">
        <v>0</v>
      </c>
      <c r="V1292" s="11"/>
      <c r="W1292" s="11">
        <v>2015</v>
      </c>
      <c r="X1292" s="1" t="s">
        <v>10080</v>
      </c>
    </row>
    <row r="1293" spans="1:24" ht="194.25" customHeight="1" outlineLevel="1" x14ac:dyDescent="0.2">
      <c r="A1293" s="1" t="s">
        <v>10086</v>
      </c>
      <c r="B1293" s="15" t="s">
        <v>5277</v>
      </c>
      <c r="C1293" s="16" t="s">
        <v>4146</v>
      </c>
      <c r="D1293" s="16" t="s">
        <v>6217</v>
      </c>
      <c r="E1293" s="16" t="s">
        <v>7604</v>
      </c>
      <c r="F1293" s="16" t="s">
        <v>6225</v>
      </c>
      <c r="G1293" s="4" t="s">
        <v>1888</v>
      </c>
      <c r="H1293" s="17">
        <v>0.4</v>
      </c>
      <c r="I1293" s="18">
        <v>710000000</v>
      </c>
      <c r="J1293" s="4" t="s">
        <v>1931</v>
      </c>
      <c r="K1293" s="4" t="s">
        <v>10082</v>
      </c>
      <c r="L1293" s="7" t="s">
        <v>5668</v>
      </c>
      <c r="M1293" s="8" t="s">
        <v>3195</v>
      </c>
      <c r="N1293" s="4" t="s">
        <v>1890</v>
      </c>
      <c r="O1293" s="16" t="s">
        <v>1935</v>
      </c>
      <c r="P1293" s="4">
        <v>715</v>
      </c>
      <c r="Q1293" s="4" t="s">
        <v>5618</v>
      </c>
      <c r="R1293" s="10">
        <v>33</v>
      </c>
      <c r="S1293" s="19">
        <v>4803.08</v>
      </c>
      <c r="T1293" s="10">
        <v>158501.63999999998</v>
      </c>
      <c r="U1293" s="10">
        <v>177521.83679999999</v>
      </c>
      <c r="V1293" s="11"/>
      <c r="W1293" s="11">
        <v>2015</v>
      </c>
      <c r="X1293" s="20"/>
    </row>
    <row r="1294" spans="1:24" ht="76.5" customHeight="1" outlineLevel="1" x14ac:dyDescent="0.2">
      <c r="A1294" s="1" t="s">
        <v>5074</v>
      </c>
      <c r="B1294" s="24" t="s">
        <v>5277</v>
      </c>
      <c r="C1294" s="16" t="s">
        <v>1820</v>
      </c>
      <c r="D1294" s="16" t="s">
        <v>5245</v>
      </c>
      <c r="E1294" s="16" t="s">
        <v>5246</v>
      </c>
      <c r="F1294" s="16" t="s">
        <v>6226</v>
      </c>
      <c r="G1294" s="4" t="s">
        <v>1888</v>
      </c>
      <c r="H1294" s="17">
        <v>0.4</v>
      </c>
      <c r="I1294" s="18">
        <v>710000000</v>
      </c>
      <c r="J1294" s="4" t="s">
        <v>1931</v>
      </c>
      <c r="K1294" s="4" t="s">
        <v>5706</v>
      </c>
      <c r="L1294" s="7" t="s">
        <v>5668</v>
      </c>
      <c r="M1294" s="8" t="s">
        <v>3195</v>
      </c>
      <c r="N1294" s="4" t="s">
        <v>1890</v>
      </c>
      <c r="O1294" s="16" t="s">
        <v>2146</v>
      </c>
      <c r="P1294" s="4">
        <v>715</v>
      </c>
      <c r="Q1294" s="4" t="s">
        <v>5618</v>
      </c>
      <c r="R1294" s="10">
        <v>1292</v>
      </c>
      <c r="S1294" s="19">
        <v>80.900000000000006</v>
      </c>
      <c r="T1294" s="10">
        <v>0</v>
      </c>
      <c r="U1294" s="10">
        <f t="shared" si="523"/>
        <v>0</v>
      </c>
      <c r="V1294" s="11" t="s">
        <v>3027</v>
      </c>
      <c r="W1294" s="11">
        <v>2015</v>
      </c>
      <c r="X1294" s="1" t="s">
        <v>6562</v>
      </c>
    </row>
    <row r="1295" spans="1:24" ht="76.5" customHeight="1" outlineLevel="1" x14ac:dyDescent="0.2">
      <c r="A1295" s="1" t="s">
        <v>6749</v>
      </c>
      <c r="B1295" s="24" t="s">
        <v>5277</v>
      </c>
      <c r="C1295" s="16" t="s">
        <v>1820</v>
      </c>
      <c r="D1295" s="16" t="s">
        <v>5245</v>
      </c>
      <c r="E1295" s="16" t="s">
        <v>5246</v>
      </c>
      <c r="F1295" s="16" t="s">
        <v>6226</v>
      </c>
      <c r="G1295" s="4" t="s">
        <v>1888</v>
      </c>
      <c r="H1295" s="17">
        <v>0.4</v>
      </c>
      <c r="I1295" s="18">
        <v>710000000</v>
      </c>
      <c r="J1295" s="4" t="s">
        <v>1931</v>
      </c>
      <c r="K1295" s="4" t="s">
        <v>5706</v>
      </c>
      <c r="L1295" s="7" t="s">
        <v>5668</v>
      </c>
      <c r="M1295" s="8" t="s">
        <v>3195</v>
      </c>
      <c r="N1295" s="4" t="s">
        <v>1890</v>
      </c>
      <c r="O1295" s="16" t="s">
        <v>2146</v>
      </c>
      <c r="P1295" s="4">
        <v>715</v>
      </c>
      <c r="Q1295" s="4" t="s">
        <v>5618</v>
      </c>
      <c r="R1295" s="10">
        <v>1092</v>
      </c>
      <c r="S1295" s="19">
        <v>80.900000000000006</v>
      </c>
      <c r="T1295" s="10">
        <f t="shared" ref="T1295" si="575">S1295*R1295</f>
        <v>88342.8</v>
      </c>
      <c r="U1295" s="10">
        <f t="shared" ref="U1295" si="576">T1295*1.12</f>
        <v>98943.936000000016</v>
      </c>
      <c r="V1295" s="11" t="s">
        <v>3027</v>
      </c>
      <c r="W1295" s="11">
        <v>2015</v>
      </c>
      <c r="X1295" s="20"/>
    </row>
    <row r="1296" spans="1:24" ht="76.5" customHeight="1" outlineLevel="1" x14ac:dyDescent="0.2">
      <c r="A1296" s="1" t="s">
        <v>5075</v>
      </c>
      <c r="B1296" s="15" t="s">
        <v>5277</v>
      </c>
      <c r="C1296" s="16" t="s">
        <v>5128</v>
      </c>
      <c r="D1296" s="16" t="s">
        <v>4130</v>
      </c>
      <c r="E1296" s="16" t="s">
        <v>6227</v>
      </c>
      <c r="F1296" s="16" t="s">
        <v>6228</v>
      </c>
      <c r="G1296" s="4" t="s">
        <v>1888</v>
      </c>
      <c r="H1296" s="17">
        <v>0.4</v>
      </c>
      <c r="I1296" s="18">
        <v>710000000</v>
      </c>
      <c r="J1296" s="4" t="s">
        <v>1931</v>
      </c>
      <c r="K1296" s="4" t="s">
        <v>5706</v>
      </c>
      <c r="L1296" s="7" t="s">
        <v>5668</v>
      </c>
      <c r="M1296" s="8" t="s">
        <v>3195</v>
      </c>
      <c r="N1296" s="4" t="s">
        <v>1890</v>
      </c>
      <c r="O1296" s="16" t="s">
        <v>2146</v>
      </c>
      <c r="P1296" s="4">
        <v>715</v>
      </c>
      <c r="Q1296" s="4" t="s">
        <v>5618</v>
      </c>
      <c r="R1296" s="10">
        <v>118</v>
      </c>
      <c r="S1296" s="19">
        <v>392.9</v>
      </c>
      <c r="T1296" s="10">
        <f t="shared" si="534"/>
        <v>46362.2</v>
      </c>
      <c r="U1296" s="10">
        <f t="shared" si="523"/>
        <v>51925.664000000004</v>
      </c>
      <c r="V1296" s="11" t="s">
        <v>3027</v>
      </c>
      <c r="W1296" s="11">
        <v>2015</v>
      </c>
      <c r="X1296" s="20"/>
    </row>
    <row r="1297" spans="1:24" ht="114.75" customHeight="1" outlineLevel="1" x14ac:dyDescent="0.2">
      <c r="A1297" s="1" t="s">
        <v>5076</v>
      </c>
      <c r="B1297" s="15" t="s">
        <v>5277</v>
      </c>
      <c r="C1297" s="16" t="s">
        <v>4124</v>
      </c>
      <c r="D1297" s="16" t="s">
        <v>4125</v>
      </c>
      <c r="E1297" s="16" t="s">
        <v>5724</v>
      </c>
      <c r="F1297" s="16" t="s">
        <v>6229</v>
      </c>
      <c r="G1297" s="4" t="s">
        <v>1888</v>
      </c>
      <c r="H1297" s="17">
        <v>0.4</v>
      </c>
      <c r="I1297" s="18">
        <v>710000000</v>
      </c>
      <c r="J1297" s="4" t="s">
        <v>1931</v>
      </c>
      <c r="K1297" s="4" t="s">
        <v>5706</v>
      </c>
      <c r="L1297" s="7" t="s">
        <v>5668</v>
      </c>
      <c r="M1297" s="8" t="s">
        <v>3195</v>
      </c>
      <c r="N1297" s="4" t="s">
        <v>1890</v>
      </c>
      <c r="O1297" s="16" t="s">
        <v>2146</v>
      </c>
      <c r="P1297" s="8">
        <v>796</v>
      </c>
      <c r="Q1297" s="8" t="s">
        <v>3196</v>
      </c>
      <c r="R1297" s="10">
        <v>33</v>
      </c>
      <c r="S1297" s="19">
        <v>678.32</v>
      </c>
      <c r="T1297" s="10">
        <v>0</v>
      </c>
      <c r="U1297" s="10">
        <f t="shared" si="523"/>
        <v>0</v>
      </c>
      <c r="V1297" s="11" t="s">
        <v>3027</v>
      </c>
      <c r="W1297" s="11">
        <v>2015</v>
      </c>
      <c r="X1297" s="1">
        <v>11</v>
      </c>
    </row>
    <row r="1298" spans="1:24" ht="114.75" customHeight="1" outlineLevel="1" x14ac:dyDescent="0.2">
      <c r="A1298" s="1" t="s">
        <v>8780</v>
      </c>
      <c r="B1298" s="15" t="s">
        <v>5277</v>
      </c>
      <c r="C1298" s="16" t="s">
        <v>4124</v>
      </c>
      <c r="D1298" s="16" t="s">
        <v>4125</v>
      </c>
      <c r="E1298" s="16" t="s">
        <v>5724</v>
      </c>
      <c r="F1298" s="16" t="s">
        <v>6229</v>
      </c>
      <c r="G1298" s="4" t="s">
        <v>1888</v>
      </c>
      <c r="H1298" s="17">
        <v>0.4</v>
      </c>
      <c r="I1298" s="18">
        <v>710000000</v>
      </c>
      <c r="J1298" s="4" t="s">
        <v>1931</v>
      </c>
      <c r="K1298" s="4" t="s">
        <v>6167</v>
      </c>
      <c r="L1298" s="7" t="s">
        <v>5668</v>
      </c>
      <c r="M1298" s="8" t="s">
        <v>3195</v>
      </c>
      <c r="N1298" s="4" t="s">
        <v>1890</v>
      </c>
      <c r="O1298" s="16" t="s">
        <v>2146</v>
      </c>
      <c r="P1298" s="8">
        <v>796</v>
      </c>
      <c r="Q1298" s="8" t="s">
        <v>3196</v>
      </c>
      <c r="R1298" s="10">
        <v>33</v>
      </c>
      <c r="S1298" s="19">
        <v>678.32</v>
      </c>
      <c r="T1298" s="10">
        <v>0</v>
      </c>
      <c r="U1298" s="10">
        <f t="shared" ref="U1298" si="577">T1298*1.12</f>
        <v>0</v>
      </c>
      <c r="V1298" s="11" t="s">
        <v>3027</v>
      </c>
      <c r="W1298" s="11">
        <v>2015</v>
      </c>
      <c r="X1298" s="1">
        <v>11.22</v>
      </c>
    </row>
    <row r="1299" spans="1:24" ht="150" customHeight="1" outlineLevel="1" x14ac:dyDescent="0.2">
      <c r="A1299" s="1" t="s">
        <v>9038</v>
      </c>
      <c r="B1299" s="15" t="s">
        <v>5277</v>
      </c>
      <c r="C1299" s="16" t="s">
        <v>4124</v>
      </c>
      <c r="D1299" s="16" t="s">
        <v>4125</v>
      </c>
      <c r="E1299" s="16" t="s">
        <v>5724</v>
      </c>
      <c r="F1299" s="16" t="s">
        <v>6229</v>
      </c>
      <c r="G1299" s="4" t="s">
        <v>1888</v>
      </c>
      <c r="H1299" s="17">
        <v>0.4</v>
      </c>
      <c r="I1299" s="18">
        <v>710000000</v>
      </c>
      <c r="J1299" s="4" t="s">
        <v>1931</v>
      </c>
      <c r="K1299" s="4" t="s">
        <v>8982</v>
      </c>
      <c r="L1299" s="7" t="s">
        <v>5668</v>
      </c>
      <c r="M1299" s="8" t="s">
        <v>3195</v>
      </c>
      <c r="N1299" s="4" t="s">
        <v>1890</v>
      </c>
      <c r="O1299" s="16" t="s">
        <v>2146</v>
      </c>
      <c r="P1299" s="8">
        <v>796</v>
      </c>
      <c r="Q1299" s="8" t="s">
        <v>3196</v>
      </c>
      <c r="R1299" s="10">
        <v>33</v>
      </c>
      <c r="S1299" s="19">
        <v>678.32</v>
      </c>
      <c r="T1299" s="10">
        <v>0</v>
      </c>
      <c r="U1299" s="10">
        <v>0</v>
      </c>
      <c r="V1299" s="11"/>
      <c r="W1299" s="11">
        <v>2015</v>
      </c>
      <c r="X1299" s="1">
        <v>11.15</v>
      </c>
    </row>
    <row r="1300" spans="1:24" ht="172.5" customHeight="1" outlineLevel="1" x14ac:dyDescent="0.2">
      <c r="A1300" s="1" t="s">
        <v>10087</v>
      </c>
      <c r="B1300" s="15" t="s">
        <v>5277</v>
      </c>
      <c r="C1300" s="16" t="s">
        <v>4124</v>
      </c>
      <c r="D1300" s="16" t="s">
        <v>4125</v>
      </c>
      <c r="E1300" s="16" t="s">
        <v>5724</v>
      </c>
      <c r="F1300" s="16" t="s">
        <v>6229</v>
      </c>
      <c r="G1300" s="4" t="s">
        <v>1888</v>
      </c>
      <c r="H1300" s="17">
        <v>0.4</v>
      </c>
      <c r="I1300" s="18">
        <v>710000000</v>
      </c>
      <c r="J1300" s="4" t="s">
        <v>1931</v>
      </c>
      <c r="K1300" s="4" t="s">
        <v>10082</v>
      </c>
      <c r="L1300" s="7" t="s">
        <v>5668</v>
      </c>
      <c r="M1300" s="8" t="s">
        <v>3195</v>
      </c>
      <c r="N1300" s="4" t="s">
        <v>1890</v>
      </c>
      <c r="O1300" s="16" t="s">
        <v>1935</v>
      </c>
      <c r="P1300" s="8">
        <v>796</v>
      </c>
      <c r="Q1300" s="8" t="s">
        <v>3196</v>
      </c>
      <c r="R1300" s="10">
        <v>33</v>
      </c>
      <c r="S1300" s="19">
        <v>678.32</v>
      </c>
      <c r="T1300" s="10">
        <v>22384.560000000001</v>
      </c>
      <c r="U1300" s="10">
        <v>25070.707200000004</v>
      </c>
      <c r="V1300" s="11"/>
      <c r="W1300" s="11">
        <v>2015</v>
      </c>
      <c r="X1300" s="20"/>
    </row>
    <row r="1301" spans="1:24" ht="76.5" customHeight="1" outlineLevel="1" x14ac:dyDescent="0.2">
      <c r="A1301" s="1" t="s">
        <v>5077</v>
      </c>
      <c r="B1301" s="24" t="s">
        <v>5277</v>
      </c>
      <c r="C1301" s="7" t="s">
        <v>4133</v>
      </c>
      <c r="D1301" s="7" t="s">
        <v>5732</v>
      </c>
      <c r="E1301" s="7" t="s">
        <v>5723</v>
      </c>
      <c r="F1301" s="31" t="s">
        <v>5341</v>
      </c>
      <c r="G1301" s="4" t="s">
        <v>1888</v>
      </c>
      <c r="H1301" s="17">
        <v>0.4</v>
      </c>
      <c r="I1301" s="18">
        <v>710000000</v>
      </c>
      <c r="J1301" s="4" t="s">
        <v>1931</v>
      </c>
      <c r="K1301" s="4" t="s">
        <v>5706</v>
      </c>
      <c r="L1301" s="7" t="s">
        <v>5668</v>
      </c>
      <c r="M1301" s="8" t="s">
        <v>3195</v>
      </c>
      <c r="N1301" s="4" t="s">
        <v>1890</v>
      </c>
      <c r="O1301" s="16" t="s">
        <v>2146</v>
      </c>
      <c r="P1301" s="4">
        <v>715</v>
      </c>
      <c r="Q1301" s="4" t="s">
        <v>5618</v>
      </c>
      <c r="R1301" s="10">
        <v>65</v>
      </c>
      <c r="S1301" s="19">
        <v>2740.5</v>
      </c>
      <c r="T1301" s="10">
        <v>0</v>
      </c>
      <c r="U1301" s="10">
        <f t="shared" si="523"/>
        <v>0</v>
      </c>
      <c r="V1301" s="11" t="s">
        <v>3027</v>
      </c>
      <c r="W1301" s="11">
        <v>2015</v>
      </c>
      <c r="X1301" s="1" t="s">
        <v>6562</v>
      </c>
    </row>
    <row r="1302" spans="1:24" ht="76.5" customHeight="1" outlineLevel="1" x14ac:dyDescent="0.2">
      <c r="A1302" s="1" t="s">
        <v>6750</v>
      </c>
      <c r="B1302" s="24" t="s">
        <v>5277</v>
      </c>
      <c r="C1302" s="7" t="s">
        <v>4133</v>
      </c>
      <c r="D1302" s="7" t="s">
        <v>5732</v>
      </c>
      <c r="E1302" s="7" t="s">
        <v>5723</v>
      </c>
      <c r="F1302" s="31" t="s">
        <v>5341</v>
      </c>
      <c r="G1302" s="4" t="s">
        <v>1888</v>
      </c>
      <c r="H1302" s="17">
        <v>0.4</v>
      </c>
      <c r="I1302" s="18">
        <v>710000000</v>
      </c>
      <c r="J1302" s="4" t="s">
        <v>1931</v>
      </c>
      <c r="K1302" s="4" t="s">
        <v>5706</v>
      </c>
      <c r="L1302" s="7" t="s">
        <v>5668</v>
      </c>
      <c r="M1302" s="8" t="s">
        <v>3195</v>
      </c>
      <c r="N1302" s="4" t="s">
        <v>1890</v>
      </c>
      <c r="O1302" s="16" t="s">
        <v>2146</v>
      </c>
      <c r="P1302" s="4">
        <v>715</v>
      </c>
      <c r="Q1302" s="4" t="s">
        <v>5618</v>
      </c>
      <c r="R1302" s="10">
        <v>26</v>
      </c>
      <c r="S1302" s="19">
        <v>2740.5</v>
      </c>
      <c r="T1302" s="10">
        <v>0</v>
      </c>
      <c r="U1302" s="10">
        <f t="shared" ref="U1302" si="578">T1302*1.12</f>
        <v>0</v>
      </c>
      <c r="V1302" s="11" t="s">
        <v>3027</v>
      </c>
      <c r="W1302" s="11">
        <v>2015</v>
      </c>
      <c r="X1302" s="1">
        <v>11</v>
      </c>
    </row>
    <row r="1303" spans="1:24" ht="76.5" customHeight="1" outlineLevel="1" x14ac:dyDescent="0.2">
      <c r="A1303" s="1" t="s">
        <v>8781</v>
      </c>
      <c r="B1303" s="24" t="s">
        <v>5277</v>
      </c>
      <c r="C1303" s="7" t="s">
        <v>4133</v>
      </c>
      <c r="D1303" s="7" t="s">
        <v>5732</v>
      </c>
      <c r="E1303" s="7" t="s">
        <v>5723</v>
      </c>
      <c r="F1303" s="31" t="s">
        <v>5341</v>
      </c>
      <c r="G1303" s="4" t="s">
        <v>1888</v>
      </c>
      <c r="H1303" s="17">
        <v>0.4</v>
      </c>
      <c r="I1303" s="18">
        <v>710000000</v>
      </c>
      <c r="J1303" s="4" t="s">
        <v>1931</v>
      </c>
      <c r="K1303" s="4" t="s">
        <v>6167</v>
      </c>
      <c r="L1303" s="7" t="s">
        <v>5668</v>
      </c>
      <c r="M1303" s="8" t="s">
        <v>3195</v>
      </c>
      <c r="N1303" s="4" t="s">
        <v>1890</v>
      </c>
      <c r="O1303" s="16" t="s">
        <v>2146</v>
      </c>
      <c r="P1303" s="4">
        <v>715</v>
      </c>
      <c r="Q1303" s="4" t="s">
        <v>5618</v>
      </c>
      <c r="R1303" s="10">
        <v>26</v>
      </c>
      <c r="S1303" s="19">
        <v>2740.5</v>
      </c>
      <c r="T1303" s="10">
        <v>0</v>
      </c>
      <c r="U1303" s="10">
        <f t="shared" ref="U1303" si="579">T1303*1.12</f>
        <v>0</v>
      </c>
      <c r="V1303" s="11" t="s">
        <v>3027</v>
      </c>
      <c r="W1303" s="11">
        <v>2015</v>
      </c>
      <c r="X1303" s="1">
        <v>11.22</v>
      </c>
    </row>
    <row r="1304" spans="1:24" ht="76.5" customHeight="1" outlineLevel="1" x14ac:dyDescent="0.2">
      <c r="A1304" s="1" t="s">
        <v>9039</v>
      </c>
      <c r="B1304" s="24" t="s">
        <v>5277</v>
      </c>
      <c r="C1304" s="7" t="s">
        <v>4133</v>
      </c>
      <c r="D1304" s="7" t="s">
        <v>5732</v>
      </c>
      <c r="E1304" s="7" t="s">
        <v>5723</v>
      </c>
      <c r="F1304" s="31" t="s">
        <v>5341</v>
      </c>
      <c r="G1304" s="4" t="s">
        <v>1888</v>
      </c>
      <c r="H1304" s="17">
        <v>0.4</v>
      </c>
      <c r="I1304" s="18">
        <v>710000000</v>
      </c>
      <c r="J1304" s="4" t="s">
        <v>1931</v>
      </c>
      <c r="K1304" s="4" t="s">
        <v>8982</v>
      </c>
      <c r="L1304" s="7" t="s">
        <v>5668</v>
      </c>
      <c r="M1304" s="8" t="s">
        <v>3195</v>
      </c>
      <c r="N1304" s="4" t="s">
        <v>1890</v>
      </c>
      <c r="O1304" s="16" t="s">
        <v>2146</v>
      </c>
      <c r="P1304" s="4">
        <v>715</v>
      </c>
      <c r="Q1304" s="4" t="s">
        <v>5618</v>
      </c>
      <c r="R1304" s="10">
        <v>26</v>
      </c>
      <c r="S1304" s="19">
        <v>2740.5</v>
      </c>
      <c r="T1304" s="10">
        <v>0</v>
      </c>
      <c r="U1304" s="10">
        <v>0</v>
      </c>
      <c r="V1304" s="11"/>
      <c r="W1304" s="11">
        <v>2015</v>
      </c>
      <c r="X1304" s="1" t="s">
        <v>10080</v>
      </c>
    </row>
    <row r="1305" spans="1:24" ht="76.5" customHeight="1" outlineLevel="1" x14ac:dyDescent="0.2">
      <c r="A1305" s="1" t="s">
        <v>10088</v>
      </c>
      <c r="B1305" s="24" t="s">
        <v>5277</v>
      </c>
      <c r="C1305" s="7" t="s">
        <v>4133</v>
      </c>
      <c r="D1305" s="7" t="s">
        <v>5732</v>
      </c>
      <c r="E1305" s="7" t="s">
        <v>5723</v>
      </c>
      <c r="F1305" s="31" t="s">
        <v>5341</v>
      </c>
      <c r="G1305" s="4" t="s">
        <v>1888</v>
      </c>
      <c r="H1305" s="17">
        <v>0.4</v>
      </c>
      <c r="I1305" s="18">
        <v>710000000</v>
      </c>
      <c r="J1305" s="4" t="s">
        <v>1931</v>
      </c>
      <c r="K1305" s="4" t="s">
        <v>10082</v>
      </c>
      <c r="L1305" s="7" t="s">
        <v>5668</v>
      </c>
      <c r="M1305" s="8" t="s">
        <v>3195</v>
      </c>
      <c r="N1305" s="4" t="s">
        <v>1890</v>
      </c>
      <c r="O1305" s="16" t="s">
        <v>1935</v>
      </c>
      <c r="P1305" s="4">
        <v>715</v>
      </c>
      <c r="Q1305" s="4" t="s">
        <v>5618</v>
      </c>
      <c r="R1305" s="10">
        <v>23</v>
      </c>
      <c r="S1305" s="19">
        <v>2740.5</v>
      </c>
      <c r="T1305" s="10">
        <v>63031.5</v>
      </c>
      <c r="U1305" s="10">
        <v>70595.280000000013</v>
      </c>
      <c r="V1305" s="11"/>
      <c r="W1305" s="11">
        <v>2015</v>
      </c>
      <c r="X1305" s="20"/>
    </row>
    <row r="1306" spans="1:24" ht="76.5" customHeight="1" outlineLevel="1" x14ac:dyDescent="0.2">
      <c r="A1306" s="1" t="s">
        <v>5078</v>
      </c>
      <c r="B1306" s="15" t="s">
        <v>5277</v>
      </c>
      <c r="C1306" s="16" t="s">
        <v>5125</v>
      </c>
      <c r="D1306" s="16" t="s">
        <v>4130</v>
      </c>
      <c r="E1306" s="16" t="s">
        <v>5126</v>
      </c>
      <c r="F1306" s="16" t="s">
        <v>5127</v>
      </c>
      <c r="G1306" s="4" t="s">
        <v>1888</v>
      </c>
      <c r="H1306" s="17">
        <v>0.4</v>
      </c>
      <c r="I1306" s="18">
        <v>710000000</v>
      </c>
      <c r="J1306" s="4" t="s">
        <v>1931</v>
      </c>
      <c r="K1306" s="4" t="s">
        <v>5706</v>
      </c>
      <c r="L1306" s="7" t="s">
        <v>5668</v>
      </c>
      <c r="M1306" s="8" t="s">
        <v>3195</v>
      </c>
      <c r="N1306" s="4" t="s">
        <v>1890</v>
      </c>
      <c r="O1306" s="16" t="s">
        <v>2146</v>
      </c>
      <c r="P1306" s="4">
        <v>715</v>
      </c>
      <c r="Q1306" s="4" t="s">
        <v>5618</v>
      </c>
      <c r="R1306" s="10">
        <v>126</v>
      </c>
      <c r="S1306" s="19">
        <v>237</v>
      </c>
      <c r="T1306" s="10">
        <f t="shared" si="534"/>
        <v>29862</v>
      </c>
      <c r="U1306" s="10">
        <f t="shared" si="523"/>
        <v>33445.440000000002</v>
      </c>
      <c r="V1306" s="11" t="s">
        <v>3027</v>
      </c>
      <c r="W1306" s="11">
        <v>2015</v>
      </c>
      <c r="X1306" s="20"/>
    </row>
    <row r="1307" spans="1:24" ht="76.5" customHeight="1" outlineLevel="1" x14ac:dyDescent="0.2">
      <c r="A1307" s="1" t="s">
        <v>5079</v>
      </c>
      <c r="B1307" s="24" t="s">
        <v>5277</v>
      </c>
      <c r="C1307" s="7" t="s">
        <v>4223</v>
      </c>
      <c r="D1307" s="7" t="s">
        <v>5562</v>
      </c>
      <c r="E1307" s="18" t="s">
        <v>5563</v>
      </c>
      <c r="F1307" s="25" t="s">
        <v>4224</v>
      </c>
      <c r="G1307" s="1" t="s">
        <v>3190</v>
      </c>
      <c r="H1307" s="17">
        <v>0</v>
      </c>
      <c r="I1307" s="18">
        <v>710000000</v>
      </c>
      <c r="J1307" s="4" t="s">
        <v>1931</v>
      </c>
      <c r="K1307" s="4" t="s">
        <v>5297</v>
      </c>
      <c r="L1307" s="7" t="s">
        <v>5689</v>
      </c>
      <c r="M1307" s="8" t="s">
        <v>3195</v>
      </c>
      <c r="N1307" s="8" t="s">
        <v>1890</v>
      </c>
      <c r="O1307" s="8" t="s">
        <v>1935</v>
      </c>
      <c r="P1307" s="8">
        <v>796</v>
      </c>
      <c r="Q1307" s="8" t="s">
        <v>3196</v>
      </c>
      <c r="R1307" s="10">
        <v>10</v>
      </c>
      <c r="S1307" s="10">
        <v>2131.5</v>
      </c>
      <c r="T1307" s="10">
        <f t="shared" si="534"/>
        <v>21315</v>
      </c>
      <c r="U1307" s="10">
        <f t="shared" si="523"/>
        <v>23872.800000000003</v>
      </c>
      <c r="V1307" s="8"/>
      <c r="W1307" s="11">
        <v>2015</v>
      </c>
      <c r="X1307" s="1"/>
    </row>
    <row r="1308" spans="1:24" ht="76.5" customHeight="1" outlineLevel="1" x14ac:dyDescent="0.2">
      <c r="A1308" s="1" t="s">
        <v>5080</v>
      </c>
      <c r="B1308" s="24" t="s">
        <v>5277</v>
      </c>
      <c r="C1308" s="7" t="s">
        <v>4223</v>
      </c>
      <c r="D1308" s="7" t="s">
        <v>5562</v>
      </c>
      <c r="E1308" s="18" t="s">
        <v>5563</v>
      </c>
      <c r="F1308" s="25" t="s">
        <v>4225</v>
      </c>
      <c r="G1308" s="1" t="s">
        <v>3190</v>
      </c>
      <c r="H1308" s="17">
        <v>0</v>
      </c>
      <c r="I1308" s="18">
        <v>710000000</v>
      </c>
      <c r="J1308" s="4" t="s">
        <v>1931</v>
      </c>
      <c r="K1308" s="4" t="s">
        <v>5297</v>
      </c>
      <c r="L1308" s="7" t="s">
        <v>5689</v>
      </c>
      <c r="M1308" s="8" t="s">
        <v>3195</v>
      </c>
      <c r="N1308" s="8" t="s">
        <v>1890</v>
      </c>
      <c r="O1308" s="8" t="s">
        <v>1935</v>
      </c>
      <c r="P1308" s="8">
        <v>796</v>
      </c>
      <c r="Q1308" s="8" t="s">
        <v>3196</v>
      </c>
      <c r="R1308" s="10">
        <v>10</v>
      </c>
      <c r="S1308" s="10">
        <v>4770.5</v>
      </c>
      <c r="T1308" s="10">
        <f t="shared" si="534"/>
        <v>47705</v>
      </c>
      <c r="U1308" s="10">
        <f t="shared" si="523"/>
        <v>53429.600000000006</v>
      </c>
      <c r="V1308" s="8"/>
      <c r="W1308" s="11">
        <v>2015</v>
      </c>
      <c r="X1308" s="1"/>
    </row>
    <row r="1309" spans="1:24" ht="76.5" customHeight="1" outlineLevel="1" x14ac:dyDescent="0.2">
      <c r="A1309" s="1" t="s">
        <v>5081</v>
      </c>
      <c r="B1309" s="24" t="s">
        <v>5277</v>
      </c>
      <c r="C1309" s="7" t="s">
        <v>1395</v>
      </c>
      <c r="D1309" s="7" t="s">
        <v>1396</v>
      </c>
      <c r="E1309" s="18" t="s">
        <v>1397</v>
      </c>
      <c r="F1309" s="25" t="s">
        <v>5564</v>
      </c>
      <c r="G1309" s="1" t="s">
        <v>3190</v>
      </c>
      <c r="H1309" s="17">
        <v>0</v>
      </c>
      <c r="I1309" s="18">
        <v>710000000</v>
      </c>
      <c r="J1309" s="4" t="s">
        <v>1931</v>
      </c>
      <c r="K1309" s="4" t="s">
        <v>5297</v>
      </c>
      <c r="L1309" s="7" t="s">
        <v>5689</v>
      </c>
      <c r="M1309" s="8" t="s">
        <v>3195</v>
      </c>
      <c r="N1309" s="8" t="s">
        <v>1890</v>
      </c>
      <c r="O1309" s="8" t="s">
        <v>1935</v>
      </c>
      <c r="P1309" s="8">
        <v>796</v>
      </c>
      <c r="Q1309" s="8" t="s">
        <v>3196</v>
      </c>
      <c r="R1309" s="10">
        <v>10</v>
      </c>
      <c r="S1309" s="10">
        <v>6953</v>
      </c>
      <c r="T1309" s="10">
        <f t="shared" si="534"/>
        <v>69530</v>
      </c>
      <c r="U1309" s="10">
        <f t="shared" si="523"/>
        <v>77873.600000000006</v>
      </c>
      <c r="V1309" s="8"/>
      <c r="W1309" s="11">
        <v>2015</v>
      </c>
      <c r="X1309" s="1"/>
    </row>
    <row r="1310" spans="1:24" ht="76.5" customHeight="1" outlineLevel="1" x14ac:dyDescent="0.2">
      <c r="A1310" s="1" t="s">
        <v>5082</v>
      </c>
      <c r="B1310" s="24" t="s">
        <v>5277</v>
      </c>
      <c r="C1310" s="7" t="s">
        <v>4223</v>
      </c>
      <c r="D1310" s="7" t="s">
        <v>5562</v>
      </c>
      <c r="E1310" s="18" t="s">
        <v>5563</v>
      </c>
      <c r="F1310" s="25" t="s">
        <v>5565</v>
      </c>
      <c r="G1310" s="1" t="s">
        <v>3190</v>
      </c>
      <c r="H1310" s="17">
        <v>0</v>
      </c>
      <c r="I1310" s="18">
        <v>710000000</v>
      </c>
      <c r="J1310" s="4" t="s">
        <v>1931</v>
      </c>
      <c r="K1310" s="4" t="s">
        <v>5297</v>
      </c>
      <c r="L1310" s="7" t="s">
        <v>5689</v>
      </c>
      <c r="M1310" s="8" t="s">
        <v>3195</v>
      </c>
      <c r="N1310" s="8" t="s">
        <v>1890</v>
      </c>
      <c r="O1310" s="8" t="s">
        <v>1935</v>
      </c>
      <c r="P1310" s="8">
        <v>796</v>
      </c>
      <c r="Q1310" s="8" t="s">
        <v>3196</v>
      </c>
      <c r="R1310" s="10">
        <v>50</v>
      </c>
      <c r="S1310" s="10">
        <v>182.5</v>
      </c>
      <c r="T1310" s="10">
        <f t="shared" si="534"/>
        <v>9125</v>
      </c>
      <c r="U1310" s="10">
        <f t="shared" si="523"/>
        <v>10220.000000000002</v>
      </c>
      <c r="V1310" s="8"/>
      <c r="W1310" s="11">
        <v>2015</v>
      </c>
      <c r="X1310" s="1"/>
    </row>
    <row r="1311" spans="1:24" ht="76.5" customHeight="1" outlineLevel="1" x14ac:dyDescent="0.2">
      <c r="A1311" s="1" t="s">
        <v>5083</v>
      </c>
      <c r="B1311" s="24" t="s">
        <v>5277</v>
      </c>
      <c r="C1311" s="7" t="s">
        <v>4226</v>
      </c>
      <c r="D1311" s="7" t="s">
        <v>5562</v>
      </c>
      <c r="E1311" s="18" t="s">
        <v>5566</v>
      </c>
      <c r="F1311" s="25" t="s">
        <v>5567</v>
      </c>
      <c r="G1311" s="1" t="s">
        <v>3190</v>
      </c>
      <c r="H1311" s="17">
        <v>0</v>
      </c>
      <c r="I1311" s="18">
        <v>710000000</v>
      </c>
      <c r="J1311" s="4" t="s">
        <v>1931</v>
      </c>
      <c r="K1311" s="4" t="s">
        <v>5297</v>
      </c>
      <c r="L1311" s="7" t="s">
        <v>5689</v>
      </c>
      <c r="M1311" s="8" t="s">
        <v>3195</v>
      </c>
      <c r="N1311" s="8" t="s">
        <v>1890</v>
      </c>
      <c r="O1311" s="8" t="s">
        <v>1935</v>
      </c>
      <c r="P1311" s="8">
        <v>796</v>
      </c>
      <c r="Q1311" s="8" t="s">
        <v>3196</v>
      </c>
      <c r="R1311" s="10">
        <v>10</v>
      </c>
      <c r="S1311" s="10">
        <v>5257.5</v>
      </c>
      <c r="T1311" s="10">
        <f t="shared" si="534"/>
        <v>52575</v>
      </c>
      <c r="U1311" s="10">
        <f t="shared" si="523"/>
        <v>58884.000000000007</v>
      </c>
      <c r="V1311" s="8"/>
      <c r="W1311" s="11">
        <v>2015</v>
      </c>
      <c r="X1311" s="1"/>
    </row>
    <row r="1312" spans="1:24" ht="76.5" customHeight="1" outlineLevel="1" x14ac:dyDescent="0.2">
      <c r="A1312" s="1" t="s">
        <v>5084</v>
      </c>
      <c r="B1312" s="24" t="s">
        <v>5277</v>
      </c>
      <c r="C1312" s="7" t="s">
        <v>4226</v>
      </c>
      <c r="D1312" s="7" t="s">
        <v>5562</v>
      </c>
      <c r="E1312" s="18" t="s">
        <v>5566</v>
      </c>
      <c r="F1312" s="25" t="s">
        <v>5568</v>
      </c>
      <c r="G1312" s="1" t="s">
        <v>3190</v>
      </c>
      <c r="H1312" s="17">
        <v>0</v>
      </c>
      <c r="I1312" s="18">
        <v>710000000</v>
      </c>
      <c r="J1312" s="4" t="s">
        <v>1931</v>
      </c>
      <c r="K1312" s="4" t="s">
        <v>5297</v>
      </c>
      <c r="L1312" s="7" t="s">
        <v>5689</v>
      </c>
      <c r="M1312" s="8" t="s">
        <v>3195</v>
      </c>
      <c r="N1312" s="8" t="s">
        <v>1890</v>
      </c>
      <c r="O1312" s="8" t="s">
        <v>1935</v>
      </c>
      <c r="P1312" s="8">
        <v>796</v>
      </c>
      <c r="Q1312" s="8" t="s">
        <v>3196</v>
      </c>
      <c r="R1312" s="10">
        <v>20</v>
      </c>
      <c r="S1312" s="10">
        <v>2629</v>
      </c>
      <c r="T1312" s="10">
        <f t="shared" si="534"/>
        <v>52580</v>
      </c>
      <c r="U1312" s="10">
        <f t="shared" si="523"/>
        <v>58889.600000000006</v>
      </c>
      <c r="V1312" s="8"/>
      <c r="W1312" s="11">
        <v>2015</v>
      </c>
      <c r="X1312" s="1"/>
    </row>
    <row r="1313" spans="1:24" ht="76.5" customHeight="1" outlineLevel="1" x14ac:dyDescent="0.2">
      <c r="A1313" s="1" t="s">
        <v>5085</v>
      </c>
      <c r="B1313" s="24" t="s">
        <v>5277</v>
      </c>
      <c r="C1313" s="7" t="s">
        <v>4226</v>
      </c>
      <c r="D1313" s="7" t="s">
        <v>5562</v>
      </c>
      <c r="E1313" s="18" t="s">
        <v>5566</v>
      </c>
      <c r="F1313" s="25" t="s">
        <v>5569</v>
      </c>
      <c r="G1313" s="1" t="s">
        <v>3190</v>
      </c>
      <c r="H1313" s="17">
        <v>0</v>
      </c>
      <c r="I1313" s="18">
        <v>710000000</v>
      </c>
      <c r="J1313" s="4" t="s">
        <v>1931</v>
      </c>
      <c r="K1313" s="4" t="s">
        <v>5297</v>
      </c>
      <c r="L1313" s="7" t="s">
        <v>5689</v>
      </c>
      <c r="M1313" s="8" t="s">
        <v>3195</v>
      </c>
      <c r="N1313" s="8" t="s">
        <v>1890</v>
      </c>
      <c r="O1313" s="8" t="s">
        <v>1935</v>
      </c>
      <c r="P1313" s="8">
        <v>796</v>
      </c>
      <c r="Q1313" s="8" t="s">
        <v>3196</v>
      </c>
      <c r="R1313" s="10">
        <v>10</v>
      </c>
      <c r="S1313" s="10">
        <v>2182.5</v>
      </c>
      <c r="T1313" s="10">
        <f t="shared" si="534"/>
        <v>21825</v>
      </c>
      <c r="U1313" s="10">
        <f t="shared" si="523"/>
        <v>24444.000000000004</v>
      </c>
      <c r="V1313" s="8"/>
      <c r="W1313" s="11">
        <v>2015</v>
      </c>
      <c r="X1313" s="1"/>
    </row>
    <row r="1314" spans="1:24" ht="76.5" customHeight="1" outlineLevel="1" x14ac:dyDescent="0.2">
      <c r="A1314" s="1" t="s">
        <v>5086</v>
      </c>
      <c r="B1314" s="24" t="s">
        <v>5277</v>
      </c>
      <c r="C1314" s="7" t="s">
        <v>4226</v>
      </c>
      <c r="D1314" s="7" t="s">
        <v>5562</v>
      </c>
      <c r="E1314" s="18" t="s">
        <v>5566</v>
      </c>
      <c r="F1314" s="25" t="s">
        <v>5570</v>
      </c>
      <c r="G1314" s="1" t="s">
        <v>3190</v>
      </c>
      <c r="H1314" s="17">
        <v>0</v>
      </c>
      <c r="I1314" s="18">
        <v>710000000</v>
      </c>
      <c r="J1314" s="4" t="s">
        <v>1931</v>
      </c>
      <c r="K1314" s="4" t="s">
        <v>5297</v>
      </c>
      <c r="L1314" s="7" t="s">
        <v>5689</v>
      </c>
      <c r="M1314" s="8" t="s">
        <v>3195</v>
      </c>
      <c r="N1314" s="8" t="s">
        <v>1890</v>
      </c>
      <c r="O1314" s="8" t="s">
        <v>1935</v>
      </c>
      <c r="P1314" s="8">
        <v>796</v>
      </c>
      <c r="Q1314" s="8" t="s">
        <v>3196</v>
      </c>
      <c r="R1314" s="10">
        <v>10</v>
      </c>
      <c r="S1314" s="10">
        <v>4770.5</v>
      </c>
      <c r="T1314" s="10">
        <f t="shared" si="534"/>
        <v>47705</v>
      </c>
      <c r="U1314" s="10">
        <f t="shared" si="523"/>
        <v>53429.600000000006</v>
      </c>
      <c r="V1314" s="8"/>
      <c r="W1314" s="11">
        <v>2015</v>
      </c>
      <c r="X1314" s="1"/>
    </row>
    <row r="1315" spans="1:24" ht="76.5" customHeight="1" outlineLevel="1" x14ac:dyDescent="0.2">
      <c r="A1315" s="1" t="s">
        <v>5087</v>
      </c>
      <c r="B1315" s="24" t="s">
        <v>5277</v>
      </c>
      <c r="C1315" s="7" t="s">
        <v>1398</v>
      </c>
      <c r="D1315" s="7" t="s">
        <v>1399</v>
      </c>
      <c r="E1315" s="18" t="s">
        <v>1400</v>
      </c>
      <c r="F1315" s="25" t="s">
        <v>5571</v>
      </c>
      <c r="G1315" s="1" t="s">
        <v>3190</v>
      </c>
      <c r="H1315" s="17">
        <v>0</v>
      </c>
      <c r="I1315" s="18">
        <v>710000000</v>
      </c>
      <c r="J1315" s="4" t="s">
        <v>1931</v>
      </c>
      <c r="K1315" s="4" t="s">
        <v>5297</v>
      </c>
      <c r="L1315" s="7" t="s">
        <v>5689</v>
      </c>
      <c r="M1315" s="8" t="s">
        <v>3195</v>
      </c>
      <c r="N1315" s="8" t="s">
        <v>1890</v>
      </c>
      <c r="O1315" s="8" t="s">
        <v>1935</v>
      </c>
      <c r="P1315" s="8">
        <v>796</v>
      </c>
      <c r="Q1315" s="8" t="s">
        <v>3196</v>
      </c>
      <c r="R1315" s="10">
        <v>10</v>
      </c>
      <c r="S1315" s="10">
        <v>8424.5</v>
      </c>
      <c r="T1315" s="10">
        <f t="shared" si="534"/>
        <v>84245</v>
      </c>
      <c r="U1315" s="10">
        <f t="shared" si="523"/>
        <v>94354.400000000009</v>
      </c>
      <c r="V1315" s="8"/>
      <c r="W1315" s="11">
        <v>2015</v>
      </c>
      <c r="X1315" s="1"/>
    </row>
    <row r="1316" spans="1:24" ht="76.5" customHeight="1" outlineLevel="1" x14ac:dyDescent="0.2">
      <c r="A1316" s="1" t="s">
        <v>5088</v>
      </c>
      <c r="B1316" s="24" t="s">
        <v>5277</v>
      </c>
      <c r="C1316" s="7" t="s">
        <v>1398</v>
      </c>
      <c r="D1316" s="7" t="s">
        <v>1399</v>
      </c>
      <c r="E1316" s="18" t="s">
        <v>1400</v>
      </c>
      <c r="F1316" s="25" t="s">
        <v>5572</v>
      </c>
      <c r="G1316" s="1" t="s">
        <v>3190</v>
      </c>
      <c r="H1316" s="17">
        <v>0</v>
      </c>
      <c r="I1316" s="18">
        <v>710000000</v>
      </c>
      <c r="J1316" s="4" t="s">
        <v>1931</v>
      </c>
      <c r="K1316" s="4" t="s">
        <v>5297</v>
      </c>
      <c r="L1316" s="7" t="s">
        <v>5689</v>
      </c>
      <c r="M1316" s="8" t="s">
        <v>3195</v>
      </c>
      <c r="N1316" s="8" t="s">
        <v>1890</v>
      </c>
      <c r="O1316" s="8" t="s">
        <v>1935</v>
      </c>
      <c r="P1316" s="8">
        <v>796</v>
      </c>
      <c r="Q1316" s="8" t="s">
        <v>3196</v>
      </c>
      <c r="R1316" s="10">
        <v>30</v>
      </c>
      <c r="S1316" s="10">
        <v>1552.5</v>
      </c>
      <c r="T1316" s="10">
        <f t="shared" si="534"/>
        <v>46575</v>
      </c>
      <c r="U1316" s="10">
        <f t="shared" si="523"/>
        <v>52164.000000000007</v>
      </c>
      <c r="V1316" s="8"/>
      <c r="W1316" s="11">
        <v>2015</v>
      </c>
      <c r="X1316" s="1"/>
    </row>
    <row r="1317" spans="1:24" ht="76.5" customHeight="1" outlineLevel="1" x14ac:dyDescent="0.2">
      <c r="A1317" s="1" t="s">
        <v>5089</v>
      </c>
      <c r="B1317" s="24" t="s">
        <v>5277</v>
      </c>
      <c r="C1317" s="7" t="s">
        <v>1398</v>
      </c>
      <c r="D1317" s="7" t="s">
        <v>1399</v>
      </c>
      <c r="E1317" s="18" t="s">
        <v>1400</v>
      </c>
      <c r="F1317" s="25" t="s">
        <v>5573</v>
      </c>
      <c r="G1317" s="1" t="s">
        <v>3190</v>
      </c>
      <c r="H1317" s="17">
        <v>0</v>
      </c>
      <c r="I1317" s="18">
        <v>710000000</v>
      </c>
      <c r="J1317" s="4" t="s">
        <v>1931</v>
      </c>
      <c r="K1317" s="4" t="s">
        <v>5297</v>
      </c>
      <c r="L1317" s="7" t="s">
        <v>5689</v>
      </c>
      <c r="M1317" s="8" t="s">
        <v>3195</v>
      </c>
      <c r="N1317" s="8" t="s">
        <v>1890</v>
      </c>
      <c r="O1317" s="8" t="s">
        <v>1935</v>
      </c>
      <c r="P1317" s="8">
        <v>796</v>
      </c>
      <c r="Q1317" s="8" t="s">
        <v>3196</v>
      </c>
      <c r="R1317" s="10">
        <v>20</v>
      </c>
      <c r="S1317" s="10">
        <v>2030</v>
      </c>
      <c r="T1317" s="10">
        <f t="shared" si="534"/>
        <v>40600</v>
      </c>
      <c r="U1317" s="10">
        <f t="shared" si="523"/>
        <v>45472.000000000007</v>
      </c>
      <c r="V1317" s="8"/>
      <c r="W1317" s="11">
        <v>2015</v>
      </c>
      <c r="X1317" s="1"/>
    </row>
    <row r="1318" spans="1:24" ht="76.5" customHeight="1" outlineLevel="1" x14ac:dyDescent="0.2">
      <c r="A1318" s="1" t="s">
        <v>5090</v>
      </c>
      <c r="B1318" s="24" t="s">
        <v>5277</v>
      </c>
      <c r="C1318" s="7" t="s">
        <v>1398</v>
      </c>
      <c r="D1318" s="7" t="s">
        <v>1399</v>
      </c>
      <c r="E1318" s="18" t="s">
        <v>1400</v>
      </c>
      <c r="F1318" s="25" t="s">
        <v>5574</v>
      </c>
      <c r="G1318" s="1" t="s">
        <v>3190</v>
      </c>
      <c r="H1318" s="17">
        <v>0</v>
      </c>
      <c r="I1318" s="18">
        <v>710000000</v>
      </c>
      <c r="J1318" s="4" t="s">
        <v>1931</v>
      </c>
      <c r="K1318" s="4" t="s">
        <v>5297</v>
      </c>
      <c r="L1318" s="7" t="s">
        <v>5689</v>
      </c>
      <c r="M1318" s="8" t="s">
        <v>3195</v>
      </c>
      <c r="N1318" s="8" t="s">
        <v>1890</v>
      </c>
      <c r="O1318" s="8" t="s">
        <v>1935</v>
      </c>
      <c r="P1318" s="8">
        <v>796</v>
      </c>
      <c r="Q1318" s="8" t="s">
        <v>3196</v>
      </c>
      <c r="R1318" s="10">
        <v>10</v>
      </c>
      <c r="S1318" s="10">
        <v>3248</v>
      </c>
      <c r="T1318" s="10">
        <f t="shared" si="534"/>
        <v>32480</v>
      </c>
      <c r="U1318" s="10">
        <f t="shared" si="523"/>
        <v>36377.600000000006</v>
      </c>
      <c r="V1318" s="8"/>
      <c r="W1318" s="11">
        <v>2015</v>
      </c>
      <c r="X1318" s="1"/>
    </row>
    <row r="1319" spans="1:24" ht="76.5" customHeight="1" outlineLevel="1" x14ac:dyDescent="0.2">
      <c r="A1319" s="1" t="s">
        <v>5091</v>
      </c>
      <c r="B1319" s="24" t="s">
        <v>5277</v>
      </c>
      <c r="C1319" s="7" t="s">
        <v>1398</v>
      </c>
      <c r="D1319" s="7" t="s">
        <v>1399</v>
      </c>
      <c r="E1319" s="18" t="s">
        <v>1400</v>
      </c>
      <c r="F1319" s="25" t="s">
        <v>5575</v>
      </c>
      <c r="G1319" s="1" t="s">
        <v>3190</v>
      </c>
      <c r="H1319" s="17">
        <v>0</v>
      </c>
      <c r="I1319" s="18">
        <v>710000000</v>
      </c>
      <c r="J1319" s="4" t="s">
        <v>1931</v>
      </c>
      <c r="K1319" s="4" t="s">
        <v>5297</v>
      </c>
      <c r="L1319" s="7" t="s">
        <v>5689</v>
      </c>
      <c r="M1319" s="8" t="s">
        <v>3195</v>
      </c>
      <c r="N1319" s="8" t="s">
        <v>1890</v>
      </c>
      <c r="O1319" s="8" t="s">
        <v>1935</v>
      </c>
      <c r="P1319" s="8">
        <v>796</v>
      </c>
      <c r="Q1319" s="8" t="s">
        <v>3196</v>
      </c>
      <c r="R1319" s="10">
        <v>10</v>
      </c>
      <c r="S1319" s="10">
        <v>1563</v>
      </c>
      <c r="T1319" s="10">
        <f t="shared" si="534"/>
        <v>15630</v>
      </c>
      <c r="U1319" s="10">
        <f t="shared" si="523"/>
        <v>17505.600000000002</v>
      </c>
      <c r="V1319" s="8"/>
      <c r="W1319" s="11">
        <v>2015</v>
      </c>
      <c r="X1319" s="1"/>
    </row>
    <row r="1320" spans="1:24" ht="76.5" customHeight="1" outlineLevel="1" x14ac:dyDescent="0.2">
      <c r="A1320" s="1" t="s">
        <v>5092</v>
      </c>
      <c r="B1320" s="24" t="s">
        <v>5277</v>
      </c>
      <c r="C1320" s="7" t="s">
        <v>1398</v>
      </c>
      <c r="D1320" s="7" t="s">
        <v>1399</v>
      </c>
      <c r="E1320" s="18" t="s">
        <v>1400</v>
      </c>
      <c r="F1320" s="25" t="s">
        <v>5576</v>
      </c>
      <c r="G1320" s="1" t="s">
        <v>3190</v>
      </c>
      <c r="H1320" s="17">
        <v>0</v>
      </c>
      <c r="I1320" s="18">
        <v>710000000</v>
      </c>
      <c r="J1320" s="4" t="s">
        <v>1931</v>
      </c>
      <c r="K1320" s="4" t="s">
        <v>5297</v>
      </c>
      <c r="L1320" s="7" t="s">
        <v>5689</v>
      </c>
      <c r="M1320" s="8" t="s">
        <v>3195</v>
      </c>
      <c r="N1320" s="8" t="s">
        <v>1890</v>
      </c>
      <c r="O1320" s="8" t="s">
        <v>1935</v>
      </c>
      <c r="P1320" s="8">
        <v>796</v>
      </c>
      <c r="Q1320" s="8" t="s">
        <v>3196</v>
      </c>
      <c r="R1320" s="10">
        <v>2</v>
      </c>
      <c r="S1320" s="10">
        <v>3248</v>
      </c>
      <c r="T1320" s="10">
        <f t="shared" si="534"/>
        <v>6496</v>
      </c>
      <c r="U1320" s="10">
        <f t="shared" si="523"/>
        <v>7275.52</v>
      </c>
      <c r="V1320" s="8"/>
      <c r="W1320" s="11">
        <v>2015</v>
      </c>
      <c r="X1320" s="1"/>
    </row>
    <row r="1321" spans="1:24" ht="76.5" customHeight="1" outlineLevel="1" x14ac:dyDescent="0.2">
      <c r="A1321" s="1" t="s">
        <v>5093</v>
      </c>
      <c r="B1321" s="24" t="s">
        <v>5277</v>
      </c>
      <c r="C1321" s="7" t="s">
        <v>1401</v>
      </c>
      <c r="D1321" s="7" t="s">
        <v>1402</v>
      </c>
      <c r="E1321" s="18" t="s">
        <v>1403</v>
      </c>
      <c r="F1321" s="25"/>
      <c r="G1321" s="1" t="s">
        <v>3190</v>
      </c>
      <c r="H1321" s="17">
        <v>0</v>
      </c>
      <c r="I1321" s="18">
        <v>710000000</v>
      </c>
      <c r="J1321" s="4" t="s">
        <v>1931</v>
      </c>
      <c r="K1321" s="4" t="s">
        <v>5297</v>
      </c>
      <c r="L1321" s="7" t="s">
        <v>5689</v>
      </c>
      <c r="M1321" s="8" t="s">
        <v>3195</v>
      </c>
      <c r="N1321" s="8" t="s">
        <v>1890</v>
      </c>
      <c r="O1321" s="8" t="s">
        <v>1935</v>
      </c>
      <c r="P1321" s="8">
        <v>796</v>
      </c>
      <c r="Q1321" s="8" t="s">
        <v>3196</v>
      </c>
      <c r="R1321" s="10">
        <v>10</v>
      </c>
      <c r="S1321" s="10">
        <v>3979</v>
      </c>
      <c r="T1321" s="10">
        <f t="shared" si="534"/>
        <v>39790</v>
      </c>
      <c r="U1321" s="10">
        <f t="shared" si="523"/>
        <v>44564.800000000003</v>
      </c>
      <c r="V1321" s="8"/>
      <c r="W1321" s="11">
        <v>2015</v>
      </c>
      <c r="X1321" s="1"/>
    </row>
    <row r="1322" spans="1:24" s="23" customFormat="1" ht="76.5" customHeight="1" outlineLevel="1" x14ac:dyDescent="0.2">
      <c r="A1322" s="1" t="s">
        <v>5094</v>
      </c>
      <c r="B1322" s="24" t="s">
        <v>5277</v>
      </c>
      <c r="C1322" s="4" t="s">
        <v>3135</v>
      </c>
      <c r="D1322" s="18" t="s">
        <v>7009</v>
      </c>
      <c r="E1322" s="18" t="s">
        <v>7010</v>
      </c>
      <c r="F1322" s="4"/>
      <c r="G1322" s="4" t="s">
        <v>3190</v>
      </c>
      <c r="H1322" s="22">
        <v>0</v>
      </c>
      <c r="I1322" s="18">
        <v>710000000</v>
      </c>
      <c r="J1322" s="4" t="s">
        <v>1931</v>
      </c>
      <c r="K1322" s="4" t="s">
        <v>5706</v>
      </c>
      <c r="L1322" s="4" t="s">
        <v>1889</v>
      </c>
      <c r="M1322" s="8" t="s">
        <v>3195</v>
      </c>
      <c r="N1322" s="4" t="s">
        <v>1890</v>
      </c>
      <c r="O1322" s="8" t="s">
        <v>1935</v>
      </c>
      <c r="P1322" s="4">
        <v>778</v>
      </c>
      <c r="Q1322" s="4" t="s">
        <v>3327</v>
      </c>
      <c r="R1322" s="10">
        <v>4</v>
      </c>
      <c r="S1322" s="10">
        <v>1750.5</v>
      </c>
      <c r="T1322" s="10">
        <v>0</v>
      </c>
      <c r="U1322" s="10">
        <f t="shared" si="523"/>
        <v>0</v>
      </c>
      <c r="V1322" s="11"/>
      <c r="W1322" s="11">
        <v>2015</v>
      </c>
      <c r="X1322" s="4" t="s">
        <v>7243</v>
      </c>
    </row>
    <row r="1323" spans="1:24" s="23" customFormat="1" ht="76.5" customHeight="1" outlineLevel="1" x14ac:dyDescent="0.2">
      <c r="A1323" s="1" t="s">
        <v>7008</v>
      </c>
      <c r="B1323" s="16" t="s">
        <v>5277</v>
      </c>
      <c r="C1323" s="4" t="s">
        <v>3135</v>
      </c>
      <c r="D1323" s="4" t="s">
        <v>7009</v>
      </c>
      <c r="E1323" s="4" t="s">
        <v>7010</v>
      </c>
      <c r="F1323" s="4" t="s">
        <v>5705</v>
      </c>
      <c r="G1323" s="4" t="s">
        <v>3190</v>
      </c>
      <c r="H1323" s="22">
        <v>0</v>
      </c>
      <c r="I1323" s="18">
        <v>710000000</v>
      </c>
      <c r="J1323" s="4" t="s">
        <v>1931</v>
      </c>
      <c r="K1323" s="4" t="s">
        <v>5706</v>
      </c>
      <c r="L1323" s="4" t="s">
        <v>1889</v>
      </c>
      <c r="M1323" s="8" t="s">
        <v>3195</v>
      </c>
      <c r="N1323" s="4" t="s">
        <v>1890</v>
      </c>
      <c r="O1323" s="8" t="s">
        <v>1935</v>
      </c>
      <c r="P1323" s="4">
        <v>778</v>
      </c>
      <c r="Q1323" s="4" t="s">
        <v>3327</v>
      </c>
      <c r="R1323" s="10">
        <v>4</v>
      </c>
      <c r="S1323" s="10">
        <v>1750.5</v>
      </c>
      <c r="T1323" s="10">
        <v>0</v>
      </c>
      <c r="U1323" s="10">
        <f t="shared" ref="U1323" si="580">T1323*1.12</f>
        <v>0</v>
      </c>
      <c r="V1323" s="1"/>
      <c r="W1323" s="1">
        <v>2015</v>
      </c>
      <c r="X1323" s="4" t="s">
        <v>8195</v>
      </c>
    </row>
    <row r="1324" spans="1:24" s="23" customFormat="1" ht="76.5" customHeight="1" outlineLevel="1" x14ac:dyDescent="0.2">
      <c r="A1324" s="1" t="s">
        <v>8194</v>
      </c>
      <c r="B1324" s="16" t="s">
        <v>5277</v>
      </c>
      <c r="C1324" s="4" t="s">
        <v>3135</v>
      </c>
      <c r="D1324" s="4" t="s">
        <v>7009</v>
      </c>
      <c r="E1324" s="4" t="s">
        <v>7010</v>
      </c>
      <c r="F1324" s="4" t="s">
        <v>5705</v>
      </c>
      <c r="G1324" s="4" t="s">
        <v>3190</v>
      </c>
      <c r="H1324" s="22">
        <v>0</v>
      </c>
      <c r="I1324" s="18">
        <v>710000000</v>
      </c>
      <c r="J1324" s="4" t="s">
        <v>1931</v>
      </c>
      <c r="K1324" s="4" t="s">
        <v>756</v>
      </c>
      <c r="L1324" s="4" t="s">
        <v>1889</v>
      </c>
      <c r="M1324" s="8" t="s">
        <v>3195</v>
      </c>
      <c r="N1324" s="4" t="s">
        <v>1890</v>
      </c>
      <c r="O1324" s="8" t="s">
        <v>1935</v>
      </c>
      <c r="P1324" s="4">
        <v>778</v>
      </c>
      <c r="Q1324" s="4" t="s">
        <v>3327</v>
      </c>
      <c r="R1324" s="10">
        <v>30</v>
      </c>
      <c r="S1324" s="10">
        <v>26.785699999999999</v>
      </c>
      <c r="T1324" s="10">
        <f t="shared" ref="T1324" si="581">S1324*R1324</f>
        <v>803.57099999999991</v>
      </c>
      <c r="U1324" s="10">
        <f t="shared" ref="U1324" si="582">T1324*1.12</f>
        <v>899.99951999999996</v>
      </c>
      <c r="V1324" s="1"/>
      <c r="W1324" s="1">
        <v>2015</v>
      </c>
      <c r="X1324" s="4"/>
    </row>
    <row r="1325" spans="1:24" s="23" customFormat="1" ht="76.5" customHeight="1" outlineLevel="1" x14ac:dyDescent="0.2">
      <c r="A1325" s="1" t="s">
        <v>5095</v>
      </c>
      <c r="B1325" s="16" t="s">
        <v>5277</v>
      </c>
      <c r="C1325" s="4" t="s">
        <v>3136</v>
      </c>
      <c r="D1325" s="4" t="s">
        <v>6469</v>
      </c>
      <c r="E1325" s="4" t="s">
        <v>5707</v>
      </c>
      <c r="F1325" s="7"/>
      <c r="G1325" s="4" t="s">
        <v>3190</v>
      </c>
      <c r="H1325" s="22">
        <v>0</v>
      </c>
      <c r="I1325" s="18">
        <v>710000000</v>
      </c>
      <c r="J1325" s="4" t="s">
        <v>1931</v>
      </c>
      <c r="K1325" s="4" t="s">
        <v>5706</v>
      </c>
      <c r="L1325" s="4" t="s">
        <v>1889</v>
      </c>
      <c r="M1325" s="8" t="s">
        <v>3195</v>
      </c>
      <c r="N1325" s="4" t="s">
        <v>1890</v>
      </c>
      <c r="O1325" s="8" t="s">
        <v>1935</v>
      </c>
      <c r="P1325" s="4">
        <v>778</v>
      </c>
      <c r="Q1325" s="4" t="s">
        <v>3327</v>
      </c>
      <c r="R1325" s="10">
        <v>2</v>
      </c>
      <c r="S1325" s="10">
        <v>373</v>
      </c>
      <c r="T1325" s="10">
        <v>0</v>
      </c>
      <c r="U1325" s="10">
        <f t="shared" si="523"/>
        <v>0</v>
      </c>
      <c r="V1325" s="1"/>
      <c r="W1325" s="1">
        <v>2015</v>
      </c>
      <c r="X1325" s="4" t="s">
        <v>7597</v>
      </c>
    </row>
    <row r="1326" spans="1:24" s="23" customFormat="1" ht="76.5" customHeight="1" outlineLevel="1" x14ac:dyDescent="0.2">
      <c r="A1326" s="1" t="s">
        <v>8196</v>
      </c>
      <c r="B1326" s="16" t="s">
        <v>5277</v>
      </c>
      <c r="C1326" s="4" t="s">
        <v>3136</v>
      </c>
      <c r="D1326" s="4" t="s">
        <v>6469</v>
      </c>
      <c r="E1326" s="4" t="s">
        <v>5707</v>
      </c>
      <c r="F1326" s="7"/>
      <c r="G1326" s="4" t="s">
        <v>3190</v>
      </c>
      <c r="H1326" s="22">
        <v>0</v>
      </c>
      <c r="I1326" s="18">
        <v>710000000</v>
      </c>
      <c r="J1326" s="4" t="s">
        <v>1931</v>
      </c>
      <c r="K1326" s="4" t="s">
        <v>756</v>
      </c>
      <c r="L1326" s="4" t="s">
        <v>1889</v>
      </c>
      <c r="M1326" s="8" t="s">
        <v>3195</v>
      </c>
      <c r="N1326" s="4" t="s">
        <v>1890</v>
      </c>
      <c r="O1326" s="8" t="s">
        <v>1935</v>
      </c>
      <c r="P1326" s="4">
        <v>778</v>
      </c>
      <c r="Q1326" s="4" t="s">
        <v>3327</v>
      </c>
      <c r="R1326" s="10">
        <v>2</v>
      </c>
      <c r="S1326" s="10">
        <v>428.57139999999998</v>
      </c>
      <c r="T1326" s="10">
        <f t="shared" ref="T1326" si="583">S1326*R1326</f>
        <v>857.14279999999997</v>
      </c>
      <c r="U1326" s="10">
        <f t="shared" ref="U1326" si="584">T1326*1.12</f>
        <v>959.99993600000005</v>
      </c>
      <c r="V1326" s="1"/>
      <c r="W1326" s="1">
        <v>2015</v>
      </c>
      <c r="X1326" s="4"/>
    </row>
    <row r="1327" spans="1:24" s="23" customFormat="1" ht="76.5" customHeight="1" outlineLevel="1" x14ac:dyDescent="0.2">
      <c r="A1327" s="1" t="s">
        <v>5096</v>
      </c>
      <c r="B1327" s="24" t="s">
        <v>5277</v>
      </c>
      <c r="C1327" s="4" t="s">
        <v>3138</v>
      </c>
      <c r="D1327" s="4" t="s">
        <v>7011</v>
      </c>
      <c r="E1327" s="4" t="s">
        <v>7012</v>
      </c>
      <c r="F1327" s="214"/>
      <c r="G1327" s="4" t="s">
        <v>3190</v>
      </c>
      <c r="H1327" s="22">
        <v>0</v>
      </c>
      <c r="I1327" s="18">
        <v>710000000</v>
      </c>
      <c r="J1327" s="4" t="s">
        <v>1931</v>
      </c>
      <c r="K1327" s="4" t="s">
        <v>5706</v>
      </c>
      <c r="L1327" s="4" t="s">
        <v>1889</v>
      </c>
      <c r="M1327" s="8" t="s">
        <v>3195</v>
      </c>
      <c r="N1327" s="4" t="s">
        <v>1890</v>
      </c>
      <c r="O1327" s="8" t="s">
        <v>1935</v>
      </c>
      <c r="P1327" s="4">
        <v>872</v>
      </c>
      <c r="Q1327" s="4" t="s">
        <v>3139</v>
      </c>
      <c r="R1327" s="34">
        <v>10</v>
      </c>
      <c r="S1327" s="10">
        <v>178.6</v>
      </c>
      <c r="T1327" s="10">
        <v>0</v>
      </c>
      <c r="U1327" s="10">
        <f t="shared" si="523"/>
        <v>0</v>
      </c>
      <c r="V1327" s="11"/>
      <c r="W1327" s="11">
        <v>2015</v>
      </c>
      <c r="X1327" s="8" t="s">
        <v>7243</v>
      </c>
    </row>
    <row r="1328" spans="1:24" s="23" customFormat="1" ht="76.5" customHeight="1" outlineLevel="1" x14ac:dyDescent="0.2">
      <c r="A1328" s="1" t="s">
        <v>7013</v>
      </c>
      <c r="B1328" s="16" t="s">
        <v>5277</v>
      </c>
      <c r="C1328" s="4" t="s">
        <v>3138</v>
      </c>
      <c r="D1328" s="4" t="s">
        <v>7011</v>
      </c>
      <c r="E1328" s="4" t="s">
        <v>7012</v>
      </c>
      <c r="F1328" s="4" t="s">
        <v>5708</v>
      </c>
      <c r="G1328" s="4" t="s">
        <v>3190</v>
      </c>
      <c r="H1328" s="22">
        <v>0</v>
      </c>
      <c r="I1328" s="18">
        <v>710000000</v>
      </c>
      <c r="J1328" s="4" t="s">
        <v>1931</v>
      </c>
      <c r="K1328" s="4" t="s">
        <v>5706</v>
      </c>
      <c r="L1328" s="4" t="s">
        <v>1889</v>
      </c>
      <c r="M1328" s="8" t="s">
        <v>3195</v>
      </c>
      <c r="N1328" s="4" t="s">
        <v>1890</v>
      </c>
      <c r="O1328" s="8" t="s">
        <v>1935</v>
      </c>
      <c r="P1328" s="4">
        <v>872</v>
      </c>
      <c r="Q1328" s="4" t="s">
        <v>3139</v>
      </c>
      <c r="R1328" s="10">
        <v>10</v>
      </c>
      <c r="S1328" s="10">
        <v>178.6</v>
      </c>
      <c r="T1328" s="10">
        <v>0</v>
      </c>
      <c r="U1328" s="10">
        <f t="shared" ref="U1328" si="585">T1328*1.12</f>
        <v>0</v>
      </c>
      <c r="V1328" s="1"/>
      <c r="W1328" s="1">
        <v>2015</v>
      </c>
      <c r="X1328" s="8" t="s">
        <v>7597</v>
      </c>
    </row>
    <row r="1329" spans="1:24" s="23" customFormat="1" ht="76.5" customHeight="1" outlineLevel="1" x14ac:dyDescent="0.2">
      <c r="A1329" s="1" t="s">
        <v>8197</v>
      </c>
      <c r="B1329" s="16" t="s">
        <v>5277</v>
      </c>
      <c r="C1329" s="4" t="s">
        <v>3138</v>
      </c>
      <c r="D1329" s="4" t="s">
        <v>7011</v>
      </c>
      <c r="E1329" s="4" t="s">
        <v>7012</v>
      </c>
      <c r="F1329" s="4" t="s">
        <v>5708</v>
      </c>
      <c r="G1329" s="4" t="s">
        <v>3190</v>
      </c>
      <c r="H1329" s="22">
        <v>0</v>
      </c>
      <c r="I1329" s="18">
        <v>710000000</v>
      </c>
      <c r="J1329" s="4" t="s">
        <v>1931</v>
      </c>
      <c r="K1329" s="4" t="s">
        <v>756</v>
      </c>
      <c r="L1329" s="4" t="s">
        <v>1889</v>
      </c>
      <c r="M1329" s="8" t="s">
        <v>3195</v>
      </c>
      <c r="N1329" s="4" t="s">
        <v>1890</v>
      </c>
      <c r="O1329" s="8" t="s">
        <v>1935</v>
      </c>
      <c r="P1329" s="4">
        <v>872</v>
      </c>
      <c r="Q1329" s="4" t="s">
        <v>3139</v>
      </c>
      <c r="R1329" s="10">
        <v>10</v>
      </c>
      <c r="S1329" s="10">
        <v>785.71420000000001</v>
      </c>
      <c r="T1329" s="10">
        <f t="shared" ref="T1329" si="586">S1329*R1329</f>
        <v>7857.1419999999998</v>
      </c>
      <c r="U1329" s="10">
        <f t="shared" ref="U1329" si="587">T1329*1.12</f>
        <v>8799.9990400000006</v>
      </c>
      <c r="V1329" s="1"/>
      <c r="W1329" s="1">
        <v>2015</v>
      </c>
      <c r="X1329" s="8"/>
    </row>
    <row r="1330" spans="1:24" s="23" customFormat="1" ht="76.5" customHeight="1" outlineLevel="1" x14ac:dyDescent="0.2">
      <c r="A1330" s="1" t="s">
        <v>5097</v>
      </c>
      <c r="B1330" s="24" t="s">
        <v>5277</v>
      </c>
      <c r="C1330" s="4" t="s">
        <v>3140</v>
      </c>
      <c r="D1330" s="4" t="s">
        <v>5709</v>
      </c>
      <c r="E1330" s="4" t="s">
        <v>7010</v>
      </c>
      <c r="F1330" s="7"/>
      <c r="G1330" s="4" t="s">
        <v>3190</v>
      </c>
      <c r="H1330" s="22">
        <v>0</v>
      </c>
      <c r="I1330" s="18">
        <v>710000000</v>
      </c>
      <c r="J1330" s="4" t="s">
        <v>1931</v>
      </c>
      <c r="K1330" s="4" t="s">
        <v>5706</v>
      </c>
      <c r="L1330" s="4" t="s">
        <v>1889</v>
      </c>
      <c r="M1330" s="8" t="s">
        <v>3195</v>
      </c>
      <c r="N1330" s="4" t="s">
        <v>1890</v>
      </c>
      <c r="O1330" s="8" t="s">
        <v>1935</v>
      </c>
      <c r="P1330" s="4">
        <v>778</v>
      </c>
      <c r="Q1330" s="4" t="s">
        <v>3327</v>
      </c>
      <c r="R1330" s="34">
        <v>50</v>
      </c>
      <c r="S1330" s="10">
        <v>14.74</v>
      </c>
      <c r="T1330" s="10">
        <v>0</v>
      </c>
      <c r="U1330" s="10">
        <f t="shared" si="523"/>
        <v>0</v>
      </c>
      <c r="V1330" s="11"/>
      <c r="W1330" s="11">
        <v>2015</v>
      </c>
      <c r="X1330" s="8">
        <v>5</v>
      </c>
    </row>
    <row r="1331" spans="1:24" s="23" customFormat="1" ht="76.5" customHeight="1" outlineLevel="1" x14ac:dyDescent="0.2">
      <c r="A1331" s="1" t="s">
        <v>7014</v>
      </c>
      <c r="B1331" s="16" t="s">
        <v>5277</v>
      </c>
      <c r="C1331" s="4" t="s">
        <v>3140</v>
      </c>
      <c r="D1331" s="4" t="s">
        <v>5709</v>
      </c>
      <c r="E1331" s="4" t="s">
        <v>7010</v>
      </c>
      <c r="F1331" s="7"/>
      <c r="G1331" s="4" t="s">
        <v>3190</v>
      </c>
      <c r="H1331" s="22">
        <v>0</v>
      </c>
      <c r="I1331" s="18">
        <v>710000000</v>
      </c>
      <c r="J1331" s="4" t="s">
        <v>1931</v>
      </c>
      <c r="K1331" s="4" t="s">
        <v>5706</v>
      </c>
      <c r="L1331" s="4" t="s">
        <v>1889</v>
      </c>
      <c r="M1331" s="8" t="s">
        <v>3195</v>
      </c>
      <c r="N1331" s="4" t="s">
        <v>1890</v>
      </c>
      <c r="O1331" s="8" t="s">
        <v>1935</v>
      </c>
      <c r="P1331" s="4">
        <v>778</v>
      </c>
      <c r="Q1331" s="4" t="s">
        <v>3327</v>
      </c>
      <c r="R1331" s="10">
        <v>50</v>
      </c>
      <c r="S1331" s="10">
        <v>14.74</v>
      </c>
      <c r="T1331" s="10">
        <v>0</v>
      </c>
      <c r="U1331" s="10">
        <f t="shared" ref="U1331" si="588">T1331*1.12</f>
        <v>0</v>
      </c>
      <c r="V1331" s="1"/>
      <c r="W1331" s="1">
        <v>2015</v>
      </c>
      <c r="X1331" s="8" t="s">
        <v>7597</v>
      </c>
    </row>
    <row r="1332" spans="1:24" s="23" customFormat="1" ht="76.5" customHeight="1" outlineLevel="1" x14ac:dyDescent="0.2">
      <c r="A1332" s="1" t="s">
        <v>8198</v>
      </c>
      <c r="B1332" s="16" t="s">
        <v>5277</v>
      </c>
      <c r="C1332" s="4" t="s">
        <v>3140</v>
      </c>
      <c r="D1332" s="4" t="s">
        <v>5709</v>
      </c>
      <c r="E1332" s="4" t="s">
        <v>7010</v>
      </c>
      <c r="F1332" s="7"/>
      <c r="G1332" s="4" t="s">
        <v>3190</v>
      </c>
      <c r="H1332" s="22">
        <v>0</v>
      </c>
      <c r="I1332" s="18">
        <v>710000000</v>
      </c>
      <c r="J1332" s="4" t="s">
        <v>1931</v>
      </c>
      <c r="K1332" s="4" t="s">
        <v>756</v>
      </c>
      <c r="L1332" s="4" t="s">
        <v>1889</v>
      </c>
      <c r="M1332" s="8" t="s">
        <v>3195</v>
      </c>
      <c r="N1332" s="4" t="s">
        <v>1890</v>
      </c>
      <c r="O1332" s="8" t="s">
        <v>1935</v>
      </c>
      <c r="P1332" s="4">
        <v>778</v>
      </c>
      <c r="Q1332" s="4" t="s">
        <v>3327</v>
      </c>
      <c r="R1332" s="10">
        <v>50</v>
      </c>
      <c r="S1332" s="10">
        <v>22</v>
      </c>
      <c r="T1332" s="10">
        <f t="shared" ref="T1332" si="589">S1332*R1332</f>
        <v>1100</v>
      </c>
      <c r="U1332" s="10">
        <f t="shared" ref="U1332" si="590">T1332*1.12</f>
        <v>1232.0000000000002</v>
      </c>
      <c r="V1332" s="1"/>
      <c r="W1332" s="1">
        <v>2015</v>
      </c>
      <c r="X1332" s="8"/>
    </row>
    <row r="1333" spans="1:24" s="23" customFormat="1" ht="76.5" customHeight="1" outlineLevel="1" x14ac:dyDescent="0.2">
      <c r="A1333" s="1" t="s">
        <v>5098</v>
      </c>
      <c r="B1333" s="24" t="s">
        <v>5277</v>
      </c>
      <c r="C1333" s="4" t="s">
        <v>3141</v>
      </c>
      <c r="D1333" s="4" t="s">
        <v>7115</v>
      </c>
      <c r="E1333" s="4" t="s">
        <v>7012</v>
      </c>
      <c r="F1333" s="7"/>
      <c r="G1333" s="4" t="s">
        <v>3190</v>
      </c>
      <c r="H1333" s="22">
        <v>0</v>
      </c>
      <c r="I1333" s="18">
        <v>710000000</v>
      </c>
      <c r="J1333" s="4" t="s">
        <v>1931</v>
      </c>
      <c r="K1333" s="4" t="s">
        <v>5706</v>
      </c>
      <c r="L1333" s="4" t="s">
        <v>1889</v>
      </c>
      <c r="M1333" s="8" t="s">
        <v>3195</v>
      </c>
      <c r="N1333" s="4" t="s">
        <v>1890</v>
      </c>
      <c r="O1333" s="8" t="s">
        <v>1935</v>
      </c>
      <c r="P1333" s="4">
        <v>872</v>
      </c>
      <c r="Q1333" s="4" t="s">
        <v>3139</v>
      </c>
      <c r="R1333" s="34">
        <v>10</v>
      </c>
      <c r="S1333" s="10">
        <v>103.1</v>
      </c>
      <c r="T1333" s="10">
        <v>0</v>
      </c>
      <c r="U1333" s="10">
        <f t="shared" si="523"/>
        <v>0</v>
      </c>
      <c r="V1333" s="11"/>
      <c r="W1333" s="11">
        <v>2015</v>
      </c>
      <c r="X1333" s="8" t="s">
        <v>7243</v>
      </c>
    </row>
    <row r="1334" spans="1:24" s="23" customFormat="1" ht="76.5" customHeight="1" outlineLevel="1" x14ac:dyDescent="0.2">
      <c r="A1334" s="1" t="s">
        <v>7114</v>
      </c>
      <c r="B1334" s="16" t="s">
        <v>5277</v>
      </c>
      <c r="C1334" s="4" t="s">
        <v>3141</v>
      </c>
      <c r="D1334" s="4" t="s">
        <v>7115</v>
      </c>
      <c r="E1334" s="4" t="s">
        <v>7012</v>
      </c>
      <c r="F1334" s="4" t="s">
        <v>5708</v>
      </c>
      <c r="G1334" s="4" t="s">
        <v>3190</v>
      </c>
      <c r="H1334" s="22">
        <v>0</v>
      </c>
      <c r="I1334" s="18">
        <v>710000000</v>
      </c>
      <c r="J1334" s="4" t="s">
        <v>1931</v>
      </c>
      <c r="K1334" s="4" t="s">
        <v>5706</v>
      </c>
      <c r="L1334" s="4" t="s">
        <v>1889</v>
      </c>
      <c r="M1334" s="8" t="s">
        <v>3195</v>
      </c>
      <c r="N1334" s="4" t="s">
        <v>1890</v>
      </c>
      <c r="O1334" s="8" t="s">
        <v>1935</v>
      </c>
      <c r="P1334" s="4">
        <v>872</v>
      </c>
      <c r="Q1334" s="4" t="s">
        <v>3139</v>
      </c>
      <c r="R1334" s="10">
        <v>10</v>
      </c>
      <c r="S1334" s="10">
        <v>103.1</v>
      </c>
      <c r="T1334" s="10">
        <v>0</v>
      </c>
      <c r="U1334" s="10">
        <f t="shared" ref="U1334" si="591">T1334*1.12</f>
        <v>0</v>
      </c>
      <c r="V1334" s="1"/>
      <c r="W1334" s="1">
        <v>2015</v>
      </c>
      <c r="X1334" s="8" t="s">
        <v>7597</v>
      </c>
    </row>
    <row r="1335" spans="1:24" s="23" customFormat="1" ht="76.5" customHeight="1" outlineLevel="1" x14ac:dyDescent="0.2">
      <c r="A1335" s="1" t="s">
        <v>8199</v>
      </c>
      <c r="B1335" s="16" t="s">
        <v>5277</v>
      </c>
      <c r="C1335" s="4" t="s">
        <v>3141</v>
      </c>
      <c r="D1335" s="4" t="s">
        <v>7115</v>
      </c>
      <c r="E1335" s="4" t="s">
        <v>7012</v>
      </c>
      <c r="F1335" s="4" t="s">
        <v>5708</v>
      </c>
      <c r="G1335" s="4" t="s">
        <v>3190</v>
      </c>
      <c r="H1335" s="22">
        <v>0</v>
      </c>
      <c r="I1335" s="18">
        <v>710000000</v>
      </c>
      <c r="J1335" s="4" t="s">
        <v>1931</v>
      </c>
      <c r="K1335" s="4" t="s">
        <v>756</v>
      </c>
      <c r="L1335" s="4" t="s">
        <v>1889</v>
      </c>
      <c r="M1335" s="8" t="s">
        <v>3195</v>
      </c>
      <c r="N1335" s="4" t="s">
        <v>1890</v>
      </c>
      <c r="O1335" s="8" t="s">
        <v>1935</v>
      </c>
      <c r="P1335" s="4">
        <v>872</v>
      </c>
      <c r="Q1335" s="4" t="s">
        <v>3139</v>
      </c>
      <c r="R1335" s="10">
        <v>10</v>
      </c>
      <c r="S1335" s="10">
        <v>297.32139999999998</v>
      </c>
      <c r="T1335" s="10">
        <f t="shared" ref="T1335" si="592">S1335*R1335</f>
        <v>2973.2139999999999</v>
      </c>
      <c r="U1335" s="10">
        <f t="shared" ref="U1335" si="593">T1335*1.12</f>
        <v>3329.9996800000004</v>
      </c>
      <c r="V1335" s="1"/>
      <c r="W1335" s="1">
        <v>2015</v>
      </c>
      <c r="X1335" s="8"/>
    </row>
    <row r="1336" spans="1:24" s="23" customFormat="1" ht="76.5" customHeight="1" outlineLevel="1" x14ac:dyDescent="0.2">
      <c r="A1336" s="1" t="s">
        <v>5099</v>
      </c>
      <c r="B1336" s="24" t="s">
        <v>5277</v>
      </c>
      <c r="C1336" s="4" t="s">
        <v>3142</v>
      </c>
      <c r="D1336" s="4" t="s">
        <v>7016</v>
      </c>
      <c r="E1336" s="4" t="s">
        <v>7010</v>
      </c>
      <c r="F1336" s="7"/>
      <c r="G1336" s="4" t="s">
        <v>3190</v>
      </c>
      <c r="H1336" s="22">
        <v>0</v>
      </c>
      <c r="I1336" s="18">
        <v>710000000</v>
      </c>
      <c r="J1336" s="4" t="s">
        <v>1931</v>
      </c>
      <c r="K1336" s="4" t="s">
        <v>5706</v>
      </c>
      <c r="L1336" s="4" t="s">
        <v>1889</v>
      </c>
      <c r="M1336" s="8" t="s">
        <v>3195</v>
      </c>
      <c r="N1336" s="4" t="s">
        <v>1890</v>
      </c>
      <c r="O1336" s="8" t="s">
        <v>1935</v>
      </c>
      <c r="P1336" s="4">
        <v>778</v>
      </c>
      <c r="Q1336" s="4" t="s">
        <v>3327</v>
      </c>
      <c r="R1336" s="34">
        <v>10</v>
      </c>
      <c r="S1336" s="10">
        <v>87.5</v>
      </c>
      <c r="T1336" s="10">
        <v>0</v>
      </c>
      <c r="U1336" s="10">
        <f t="shared" si="523"/>
        <v>0</v>
      </c>
      <c r="V1336" s="11"/>
      <c r="W1336" s="11">
        <v>2015</v>
      </c>
      <c r="X1336" s="8">
        <v>4.5</v>
      </c>
    </row>
    <row r="1337" spans="1:24" s="23" customFormat="1" ht="76.5" customHeight="1" outlineLevel="1" x14ac:dyDescent="0.2">
      <c r="A1337" s="1" t="s">
        <v>7015</v>
      </c>
      <c r="B1337" s="16" t="s">
        <v>5277</v>
      </c>
      <c r="C1337" s="4" t="s">
        <v>3142</v>
      </c>
      <c r="D1337" s="4" t="s">
        <v>7016</v>
      </c>
      <c r="E1337" s="4" t="s">
        <v>7010</v>
      </c>
      <c r="F1337" s="7"/>
      <c r="G1337" s="4" t="s">
        <v>3190</v>
      </c>
      <c r="H1337" s="22">
        <v>0</v>
      </c>
      <c r="I1337" s="18">
        <v>710000000</v>
      </c>
      <c r="J1337" s="4" t="s">
        <v>1931</v>
      </c>
      <c r="K1337" s="4" t="s">
        <v>5706</v>
      </c>
      <c r="L1337" s="4" t="s">
        <v>1889</v>
      </c>
      <c r="M1337" s="8" t="s">
        <v>3195</v>
      </c>
      <c r="N1337" s="4" t="s">
        <v>1890</v>
      </c>
      <c r="O1337" s="8" t="s">
        <v>1935</v>
      </c>
      <c r="P1337" s="4">
        <v>778</v>
      </c>
      <c r="Q1337" s="4" t="s">
        <v>3327</v>
      </c>
      <c r="R1337" s="10">
        <v>10</v>
      </c>
      <c r="S1337" s="10">
        <v>87.5</v>
      </c>
      <c r="T1337" s="10">
        <v>0</v>
      </c>
      <c r="U1337" s="10">
        <f t="shared" ref="U1337" si="594">T1337*1.12</f>
        <v>0</v>
      </c>
      <c r="V1337" s="1"/>
      <c r="W1337" s="1">
        <v>2015</v>
      </c>
      <c r="X1337" s="8" t="s">
        <v>7597</v>
      </c>
    </row>
    <row r="1338" spans="1:24" s="23" customFormat="1" ht="76.5" customHeight="1" outlineLevel="1" x14ac:dyDescent="0.2">
      <c r="A1338" s="1" t="s">
        <v>8200</v>
      </c>
      <c r="B1338" s="16" t="s">
        <v>5277</v>
      </c>
      <c r="C1338" s="4" t="s">
        <v>3142</v>
      </c>
      <c r="D1338" s="4" t="s">
        <v>7016</v>
      </c>
      <c r="E1338" s="4" t="s">
        <v>7010</v>
      </c>
      <c r="F1338" s="7"/>
      <c r="G1338" s="4" t="s">
        <v>3190</v>
      </c>
      <c r="H1338" s="22">
        <v>0</v>
      </c>
      <c r="I1338" s="18">
        <v>710000000</v>
      </c>
      <c r="J1338" s="4" t="s">
        <v>1931</v>
      </c>
      <c r="K1338" s="4" t="s">
        <v>756</v>
      </c>
      <c r="L1338" s="4" t="s">
        <v>1889</v>
      </c>
      <c r="M1338" s="8" t="s">
        <v>3195</v>
      </c>
      <c r="N1338" s="4" t="s">
        <v>1890</v>
      </c>
      <c r="O1338" s="8" t="s">
        <v>1935</v>
      </c>
      <c r="P1338" s="4">
        <v>778</v>
      </c>
      <c r="Q1338" s="4" t="s">
        <v>3327</v>
      </c>
      <c r="R1338" s="10">
        <v>10</v>
      </c>
      <c r="S1338" s="10">
        <v>78.571399999999997</v>
      </c>
      <c r="T1338" s="10">
        <f t="shared" ref="T1338" si="595">S1338*R1338</f>
        <v>785.71399999999994</v>
      </c>
      <c r="U1338" s="10">
        <f t="shared" ref="U1338" si="596">T1338*1.12</f>
        <v>879.99968000000001</v>
      </c>
      <c r="V1338" s="1"/>
      <c r="W1338" s="1">
        <v>2015</v>
      </c>
      <c r="X1338" s="8"/>
    </row>
    <row r="1339" spans="1:24" s="23" customFormat="1" ht="76.5" customHeight="1" outlineLevel="1" x14ac:dyDescent="0.2">
      <c r="A1339" s="1" t="s">
        <v>5100</v>
      </c>
      <c r="B1339" s="24" t="s">
        <v>5277</v>
      </c>
      <c r="C1339" s="4" t="s">
        <v>3143</v>
      </c>
      <c r="D1339" s="4" t="s">
        <v>7018</v>
      </c>
      <c r="E1339" s="4" t="s">
        <v>7019</v>
      </c>
      <c r="F1339" s="7"/>
      <c r="G1339" s="4" t="s">
        <v>3190</v>
      </c>
      <c r="H1339" s="22">
        <v>0</v>
      </c>
      <c r="I1339" s="18">
        <v>710000000</v>
      </c>
      <c r="J1339" s="4" t="s">
        <v>1931</v>
      </c>
      <c r="K1339" s="4" t="s">
        <v>5706</v>
      </c>
      <c r="L1339" s="4" t="s">
        <v>1889</v>
      </c>
      <c r="M1339" s="8" t="s">
        <v>3195</v>
      </c>
      <c r="N1339" s="4" t="s">
        <v>1890</v>
      </c>
      <c r="O1339" s="8" t="s">
        <v>1935</v>
      </c>
      <c r="P1339" s="4">
        <v>872</v>
      </c>
      <c r="Q1339" s="4" t="s">
        <v>3139</v>
      </c>
      <c r="R1339" s="34">
        <v>5</v>
      </c>
      <c r="S1339" s="10">
        <v>276.8</v>
      </c>
      <c r="T1339" s="10">
        <v>0</v>
      </c>
      <c r="U1339" s="10">
        <f t="shared" si="523"/>
        <v>0</v>
      </c>
      <c r="V1339" s="11"/>
      <c r="W1339" s="11">
        <v>2015</v>
      </c>
      <c r="X1339" s="4">
        <v>4.5</v>
      </c>
    </row>
    <row r="1340" spans="1:24" s="23" customFormat="1" ht="76.5" customHeight="1" outlineLevel="1" x14ac:dyDescent="0.2">
      <c r="A1340" s="1" t="s">
        <v>7017</v>
      </c>
      <c r="B1340" s="16" t="s">
        <v>5277</v>
      </c>
      <c r="C1340" s="4" t="s">
        <v>3143</v>
      </c>
      <c r="D1340" s="4" t="s">
        <v>7018</v>
      </c>
      <c r="E1340" s="4" t="s">
        <v>7019</v>
      </c>
      <c r="F1340" s="7"/>
      <c r="G1340" s="4" t="s">
        <v>3190</v>
      </c>
      <c r="H1340" s="22">
        <v>0</v>
      </c>
      <c r="I1340" s="18">
        <v>710000000</v>
      </c>
      <c r="J1340" s="4" t="s">
        <v>1931</v>
      </c>
      <c r="K1340" s="4" t="s">
        <v>5706</v>
      </c>
      <c r="L1340" s="4" t="s">
        <v>1889</v>
      </c>
      <c r="M1340" s="8" t="s">
        <v>3195</v>
      </c>
      <c r="N1340" s="4" t="s">
        <v>1890</v>
      </c>
      <c r="O1340" s="8" t="s">
        <v>1935</v>
      </c>
      <c r="P1340" s="4">
        <v>872</v>
      </c>
      <c r="Q1340" s="4" t="s">
        <v>3139</v>
      </c>
      <c r="R1340" s="10">
        <v>5</v>
      </c>
      <c r="S1340" s="10">
        <v>276.8</v>
      </c>
      <c r="T1340" s="10">
        <v>0</v>
      </c>
      <c r="U1340" s="10">
        <f t="shared" ref="U1340" si="597">T1340*1.12</f>
        <v>0</v>
      </c>
      <c r="V1340" s="1"/>
      <c r="W1340" s="1">
        <v>2015</v>
      </c>
      <c r="X1340" s="8" t="s">
        <v>7597</v>
      </c>
    </row>
    <row r="1341" spans="1:24" s="23" customFormat="1" ht="76.5" customHeight="1" outlineLevel="1" x14ac:dyDescent="0.2">
      <c r="A1341" s="1" t="s">
        <v>8201</v>
      </c>
      <c r="B1341" s="16" t="s">
        <v>5277</v>
      </c>
      <c r="C1341" s="4" t="s">
        <v>3143</v>
      </c>
      <c r="D1341" s="4" t="s">
        <v>7018</v>
      </c>
      <c r="E1341" s="4" t="s">
        <v>7019</v>
      </c>
      <c r="F1341" s="7"/>
      <c r="G1341" s="4" t="s">
        <v>3190</v>
      </c>
      <c r="H1341" s="22">
        <v>0</v>
      </c>
      <c r="I1341" s="18">
        <v>710000000</v>
      </c>
      <c r="J1341" s="4" t="s">
        <v>1931</v>
      </c>
      <c r="K1341" s="4" t="s">
        <v>756</v>
      </c>
      <c r="L1341" s="4" t="s">
        <v>1889</v>
      </c>
      <c r="M1341" s="8" t="s">
        <v>3195</v>
      </c>
      <c r="N1341" s="4" t="s">
        <v>1890</v>
      </c>
      <c r="O1341" s="8" t="s">
        <v>1935</v>
      </c>
      <c r="P1341" s="4">
        <v>872</v>
      </c>
      <c r="Q1341" s="4" t="s">
        <v>3139</v>
      </c>
      <c r="R1341" s="10">
        <v>5</v>
      </c>
      <c r="S1341" s="10">
        <v>411.6071</v>
      </c>
      <c r="T1341" s="10">
        <f t="shared" ref="T1341" si="598">S1341*R1341</f>
        <v>2058.0355</v>
      </c>
      <c r="U1341" s="10">
        <f t="shared" ref="U1341" si="599">T1341*1.12</f>
        <v>2304.9997600000002</v>
      </c>
      <c r="V1341" s="1"/>
      <c r="W1341" s="1">
        <v>2015</v>
      </c>
      <c r="X1341" s="4"/>
    </row>
    <row r="1342" spans="1:24" s="23" customFormat="1" ht="76.5" customHeight="1" outlineLevel="1" x14ac:dyDescent="0.2">
      <c r="A1342" s="1" t="s">
        <v>5101</v>
      </c>
      <c r="B1342" s="24" t="s">
        <v>5277</v>
      </c>
      <c r="C1342" s="4" t="s">
        <v>2736</v>
      </c>
      <c r="D1342" s="4" t="s">
        <v>2737</v>
      </c>
      <c r="E1342" s="4" t="s">
        <v>6470</v>
      </c>
      <c r="F1342" s="7"/>
      <c r="G1342" s="4" t="s">
        <v>3190</v>
      </c>
      <c r="H1342" s="22">
        <v>0</v>
      </c>
      <c r="I1342" s="18">
        <v>710000000</v>
      </c>
      <c r="J1342" s="4" t="s">
        <v>1931</v>
      </c>
      <c r="K1342" s="4" t="s">
        <v>5706</v>
      </c>
      <c r="L1342" s="4" t="s">
        <v>1889</v>
      </c>
      <c r="M1342" s="8" t="s">
        <v>3195</v>
      </c>
      <c r="N1342" s="4" t="s">
        <v>1890</v>
      </c>
      <c r="O1342" s="8" t="s">
        <v>1935</v>
      </c>
      <c r="P1342" s="4">
        <v>872</v>
      </c>
      <c r="Q1342" s="4" t="s">
        <v>3139</v>
      </c>
      <c r="R1342" s="34">
        <v>8</v>
      </c>
      <c r="S1342" s="10">
        <v>735.25</v>
      </c>
      <c r="T1342" s="10">
        <v>0</v>
      </c>
      <c r="U1342" s="10">
        <f t="shared" si="523"/>
        <v>0</v>
      </c>
      <c r="V1342" s="11"/>
      <c r="W1342" s="11">
        <v>2015</v>
      </c>
      <c r="X1342" s="8" t="s">
        <v>7071</v>
      </c>
    </row>
    <row r="1343" spans="1:24" s="23" customFormat="1" ht="76.5" customHeight="1" outlineLevel="1" x14ac:dyDescent="0.2">
      <c r="A1343" s="1" t="s">
        <v>7116</v>
      </c>
      <c r="B1343" s="16" t="s">
        <v>5277</v>
      </c>
      <c r="C1343" s="4" t="s">
        <v>7119</v>
      </c>
      <c r="D1343" s="4" t="s">
        <v>7117</v>
      </c>
      <c r="E1343" s="4" t="s">
        <v>7118</v>
      </c>
      <c r="F1343" s="7"/>
      <c r="G1343" s="4" t="s">
        <v>3190</v>
      </c>
      <c r="H1343" s="22">
        <v>0</v>
      </c>
      <c r="I1343" s="18">
        <v>710000000</v>
      </c>
      <c r="J1343" s="4" t="s">
        <v>1931</v>
      </c>
      <c r="K1343" s="4" t="s">
        <v>5706</v>
      </c>
      <c r="L1343" s="4" t="s">
        <v>1889</v>
      </c>
      <c r="M1343" s="8" t="s">
        <v>3195</v>
      </c>
      <c r="N1343" s="4" t="s">
        <v>1890</v>
      </c>
      <c r="O1343" s="8" t="s">
        <v>1935</v>
      </c>
      <c r="P1343" s="4">
        <v>872</v>
      </c>
      <c r="Q1343" s="4" t="s">
        <v>3139</v>
      </c>
      <c r="R1343" s="10">
        <v>8</v>
      </c>
      <c r="S1343" s="10">
        <v>735.25</v>
      </c>
      <c r="T1343" s="10">
        <v>0</v>
      </c>
      <c r="U1343" s="10">
        <f t="shared" ref="U1343" si="600">T1343*1.12</f>
        <v>0</v>
      </c>
      <c r="V1343" s="1"/>
      <c r="W1343" s="1">
        <v>2015</v>
      </c>
      <c r="X1343" s="8" t="s">
        <v>7597</v>
      </c>
    </row>
    <row r="1344" spans="1:24" s="23" customFormat="1" ht="76.5" customHeight="1" outlineLevel="1" x14ac:dyDescent="0.2">
      <c r="A1344" s="1" t="s">
        <v>8211</v>
      </c>
      <c r="B1344" s="16" t="s">
        <v>5277</v>
      </c>
      <c r="C1344" s="4" t="s">
        <v>7119</v>
      </c>
      <c r="D1344" s="4" t="s">
        <v>7117</v>
      </c>
      <c r="E1344" s="4" t="s">
        <v>7118</v>
      </c>
      <c r="F1344" s="7"/>
      <c r="G1344" s="4" t="s">
        <v>3190</v>
      </c>
      <c r="H1344" s="22">
        <v>0</v>
      </c>
      <c r="I1344" s="18">
        <v>710000000</v>
      </c>
      <c r="J1344" s="4" t="s">
        <v>1931</v>
      </c>
      <c r="K1344" s="4" t="s">
        <v>756</v>
      </c>
      <c r="L1344" s="4" t="s">
        <v>1889</v>
      </c>
      <c r="M1344" s="8" t="s">
        <v>3195</v>
      </c>
      <c r="N1344" s="4" t="s">
        <v>1890</v>
      </c>
      <c r="O1344" s="8" t="s">
        <v>1935</v>
      </c>
      <c r="P1344" s="4">
        <v>872</v>
      </c>
      <c r="Q1344" s="4" t="s">
        <v>3139</v>
      </c>
      <c r="R1344" s="10">
        <v>8</v>
      </c>
      <c r="S1344" s="10">
        <v>848.21420000000001</v>
      </c>
      <c r="T1344" s="10">
        <f t="shared" ref="T1344" si="601">S1344*R1344</f>
        <v>6785.7136</v>
      </c>
      <c r="U1344" s="10">
        <f t="shared" ref="U1344" si="602">T1344*1.12</f>
        <v>7599.999232000001</v>
      </c>
      <c r="V1344" s="1"/>
      <c r="W1344" s="1">
        <v>2015</v>
      </c>
      <c r="X1344" s="8"/>
    </row>
    <row r="1345" spans="1:24" s="23" customFormat="1" ht="76.5" customHeight="1" outlineLevel="1" x14ac:dyDescent="0.2">
      <c r="A1345" s="1" t="s">
        <v>5102</v>
      </c>
      <c r="B1345" s="24" t="s">
        <v>5277</v>
      </c>
      <c r="C1345" s="4" t="s">
        <v>2738</v>
      </c>
      <c r="D1345" s="4" t="s">
        <v>2739</v>
      </c>
      <c r="E1345" s="4" t="s">
        <v>7010</v>
      </c>
      <c r="F1345" s="7"/>
      <c r="G1345" s="4" t="s">
        <v>3190</v>
      </c>
      <c r="H1345" s="22">
        <v>0</v>
      </c>
      <c r="I1345" s="18">
        <v>710000000</v>
      </c>
      <c r="J1345" s="4" t="s">
        <v>1931</v>
      </c>
      <c r="K1345" s="4" t="s">
        <v>5706</v>
      </c>
      <c r="L1345" s="4" t="s">
        <v>1889</v>
      </c>
      <c r="M1345" s="8" t="s">
        <v>3195</v>
      </c>
      <c r="N1345" s="4" t="s">
        <v>1890</v>
      </c>
      <c r="O1345" s="8" t="s">
        <v>1935</v>
      </c>
      <c r="P1345" s="4">
        <v>778</v>
      </c>
      <c r="Q1345" s="4" t="s">
        <v>3327</v>
      </c>
      <c r="R1345" s="34">
        <v>20</v>
      </c>
      <c r="S1345" s="10">
        <v>47.3</v>
      </c>
      <c r="T1345" s="10">
        <v>0</v>
      </c>
      <c r="U1345" s="10">
        <f t="shared" si="523"/>
        <v>0</v>
      </c>
      <c r="V1345" s="11"/>
      <c r="W1345" s="11">
        <v>2015</v>
      </c>
      <c r="X1345" s="4">
        <v>5</v>
      </c>
    </row>
    <row r="1346" spans="1:24" s="23" customFormat="1" ht="76.5" customHeight="1" outlineLevel="1" x14ac:dyDescent="0.2">
      <c r="A1346" s="1" t="s">
        <v>7020</v>
      </c>
      <c r="B1346" s="16" t="s">
        <v>5277</v>
      </c>
      <c r="C1346" s="4" t="s">
        <v>2738</v>
      </c>
      <c r="D1346" s="4" t="s">
        <v>7021</v>
      </c>
      <c r="E1346" s="4" t="s">
        <v>7010</v>
      </c>
      <c r="F1346" s="7"/>
      <c r="G1346" s="4" t="s">
        <v>3190</v>
      </c>
      <c r="H1346" s="22">
        <v>0</v>
      </c>
      <c r="I1346" s="18">
        <v>710000000</v>
      </c>
      <c r="J1346" s="4" t="s">
        <v>1931</v>
      </c>
      <c r="K1346" s="4" t="s">
        <v>5706</v>
      </c>
      <c r="L1346" s="4" t="s">
        <v>1889</v>
      </c>
      <c r="M1346" s="8" t="s">
        <v>3195</v>
      </c>
      <c r="N1346" s="4" t="s">
        <v>1890</v>
      </c>
      <c r="O1346" s="8" t="s">
        <v>1935</v>
      </c>
      <c r="P1346" s="4">
        <v>778</v>
      </c>
      <c r="Q1346" s="4" t="s">
        <v>3327</v>
      </c>
      <c r="R1346" s="10">
        <v>20</v>
      </c>
      <c r="S1346" s="10">
        <v>47.3</v>
      </c>
      <c r="T1346" s="10">
        <v>0</v>
      </c>
      <c r="U1346" s="10">
        <f t="shared" ref="U1346" si="603">T1346*1.12</f>
        <v>0</v>
      </c>
      <c r="V1346" s="1"/>
      <c r="W1346" s="1">
        <v>2015</v>
      </c>
      <c r="X1346" s="8" t="s">
        <v>7597</v>
      </c>
    </row>
    <row r="1347" spans="1:24" s="23" customFormat="1" ht="76.5" customHeight="1" outlineLevel="1" x14ac:dyDescent="0.2">
      <c r="A1347" s="1" t="s">
        <v>8212</v>
      </c>
      <c r="B1347" s="16" t="s">
        <v>5277</v>
      </c>
      <c r="C1347" s="4" t="s">
        <v>2738</v>
      </c>
      <c r="D1347" s="4" t="s">
        <v>7021</v>
      </c>
      <c r="E1347" s="4" t="s">
        <v>7010</v>
      </c>
      <c r="F1347" s="7"/>
      <c r="G1347" s="4" t="s">
        <v>3190</v>
      </c>
      <c r="H1347" s="22">
        <v>0</v>
      </c>
      <c r="I1347" s="18">
        <v>710000000</v>
      </c>
      <c r="J1347" s="4" t="s">
        <v>1931</v>
      </c>
      <c r="K1347" s="4" t="s">
        <v>756</v>
      </c>
      <c r="L1347" s="4" t="s">
        <v>1889</v>
      </c>
      <c r="M1347" s="8" t="s">
        <v>3195</v>
      </c>
      <c r="N1347" s="4" t="s">
        <v>1890</v>
      </c>
      <c r="O1347" s="8" t="s">
        <v>1935</v>
      </c>
      <c r="P1347" s="4">
        <v>778</v>
      </c>
      <c r="Q1347" s="4" t="s">
        <v>3327</v>
      </c>
      <c r="R1347" s="10">
        <v>20</v>
      </c>
      <c r="S1347" s="10">
        <v>46.4285</v>
      </c>
      <c r="T1347" s="10">
        <f t="shared" ref="T1347" si="604">S1347*R1347</f>
        <v>928.56999999999994</v>
      </c>
      <c r="U1347" s="10">
        <f t="shared" ref="U1347" si="605">T1347*1.12</f>
        <v>1039.9983999999999</v>
      </c>
      <c r="V1347" s="1"/>
      <c r="W1347" s="1">
        <v>2015</v>
      </c>
      <c r="X1347" s="4"/>
    </row>
    <row r="1348" spans="1:24" s="23" customFormat="1" ht="76.5" customHeight="1" outlineLevel="1" x14ac:dyDescent="0.2">
      <c r="A1348" s="1" t="s">
        <v>5103</v>
      </c>
      <c r="B1348" s="24" t="s">
        <v>5277</v>
      </c>
      <c r="C1348" s="4" t="s">
        <v>7105</v>
      </c>
      <c r="D1348" s="4" t="s">
        <v>7097</v>
      </c>
      <c r="E1348" s="4" t="s">
        <v>7049</v>
      </c>
      <c r="F1348" s="7"/>
      <c r="G1348" s="4" t="s">
        <v>3190</v>
      </c>
      <c r="H1348" s="22">
        <v>0</v>
      </c>
      <c r="I1348" s="18">
        <v>710000000</v>
      </c>
      <c r="J1348" s="4" t="s">
        <v>1931</v>
      </c>
      <c r="K1348" s="4" t="s">
        <v>5706</v>
      </c>
      <c r="L1348" s="4" t="s">
        <v>1889</v>
      </c>
      <c r="M1348" s="8" t="s">
        <v>3195</v>
      </c>
      <c r="N1348" s="4" t="s">
        <v>1890</v>
      </c>
      <c r="O1348" s="8" t="s">
        <v>1935</v>
      </c>
      <c r="P1348" s="4">
        <v>872</v>
      </c>
      <c r="Q1348" s="4" t="s">
        <v>3139</v>
      </c>
      <c r="R1348" s="34">
        <v>10</v>
      </c>
      <c r="S1348" s="10">
        <v>45.5</v>
      </c>
      <c r="T1348" s="10">
        <v>0</v>
      </c>
      <c r="U1348" s="10">
        <f t="shared" si="523"/>
        <v>0</v>
      </c>
      <c r="V1348" s="11"/>
      <c r="W1348" s="11">
        <v>2015</v>
      </c>
      <c r="X1348" s="8" t="s">
        <v>7071</v>
      </c>
    </row>
    <row r="1349" spans="1:24" s="23" customFormat="1" ht="76.5" customHeight="1" outlineLevel="1" x14ac:dyDescent="0.2">
      <c r="A1349" s="1" t="s">
        <v>7098</v>
      </c>
      <c r="B1349" s="16" t="s">
        <v>5277</v>
      </c>
      <c r="C1349" s="4" t="s">
        <v>7105</v>
      </c>
      <c r="D1349" s="4" t="s">
        <v>7097</v>
      </c>
      <c r="E1349" s="4" t="s">
        <v>7049</v>
      </c>
      <c r="F1349" s="7"/>
      <c r="G1349" s="4" t="s">
        <v>3190</v>
      </c>
      <c r="H1349" s="22">
        <v>0</v>
      </c>
      <c r="I1349" s="18">
        <v>710000000</v>
      </c>
      <c r="J1349" s="4" t="s">
        <v>1931</v>
      </c>
      <c r="K1349" s="4" t="s">
        <v>5706</v>
      </c>
      <c r="L1349" s="4" t="s">
        <v>1889</v>
      </c>
      <c r="M1349" s="8" t="s">
        <v>3195</v>
      </c>
      <c r="N1349" s="4" t="s">
        <v>1890</v>
      </c>
      <c r="O1349" s="8" t="s">
        <v>1935</v>
      </c>
      <c r="P1349" s="4">
        <v>872</v>
      </c>
      <c r="Q1349" s="4" t="s">
        <v>3139</v>
      </c>
      <c r="R1349" s="10">
        <v>10</v>
      </c>
      <c r="S1349" s="10">
        <v>45.5</v>
      </c>
      <c r="T1349" s="10">
        <v>0</v>
      </c>
      <c r="U1349" s="10">
        <f t="shared" ref="U1349" si="606">T1349*1.12</f>
        <v>0</v>
      </c>
      <c r="V1349" s="1"/>
      <c r="W1349" s="1">
        <v>2015</v>
      </c>
      <c r="X1349" s="8" t="s">
        <v>7597</v>
      </c>
    </row>
    <row r="1350" spans="1:24" s="23" customFormat="1" ht="76.5" customHeight="1" outlineLevel="1" x14ac:dyDescent="0.2">
      <c r="A1350" s="1" t="s">
        <v>8213</v>
      </c>
      <c r="B1350" s="16" t="s">
        <v>5277</v>
      </c>
      <c r="C1350" s="4" t="s">
        <v>7105</v>
      </c>
      <c r="D1350" s="4" t="s">
        <v>7097</v>
      </c>
      <c r="E1350" s="4" t="s">
        <v>7049</v>
      </c>
      <c r="F1350" s="7"/>
      <c r="G1350" s="4" t="s">
        <v>3190</v>
      </c>
      <c r="H1350" s="22">
        <v>0</v>
      </c>
      <c r="I1350" s="18">
        <v>710000000</v>
      </c>
      <c r="J1350" s="4" t="s">
        <v>1931</v>
      </c>
      <c r="K1350" s="4" t="s">
        <v>756</v>
      </c>
      <c r="L1350" s="4" t="s">
        <v>1889</v>
      </c>
      <c r="M1350" s="8" t="s">
        <v>3195</v>
      </c>
      <c r="N1350" s="4" t="s">
        <v>1890</v>
      </c>
      <c r="O1350" s="8" t="s">
        <v>1935</v>
      </c>
      <c r="P1350" s="4">
        <v>872</v>
      </c>
      <c r="Q1350" s="4" t="s">
        <v>3139</v>
      </c>
      <c r="R1350" s="10">
        <v>10</v>
      </c>
      <c r="S1350" s="10">
        <v>40.1785</v>
      </c>
      <c r="T1350" s="10">
        <f t="shared" ref="T1350" si="607">S1350*R1350</f>
        <v>401.78499999999997</v>
      </c>
      <c r="U1350" s="10">
        <f t="shared" ref="U1350" si="608">T1350*1.12</f>
        <v>449.99920000000003</v>
      </c>
      <c r="V1350" s="1"/>
      <c r="W1350" s="1">
        <v>2015</v>
      </c>
      <c r="X1350" s="8"/>
    </row>
    <row r="1351" spans="1:24" s="23" customFormat="1" ht="76.5" customHeight="1" outlineLevel="1" x14ac:dyDescent="0.2">
      <c r="A1351" s="1" t="s">
        <v>5104</v>
      </c>
      <c r="B1351" s="24" t="s">
        <v>5277</v>
      </c>
      <c r="C1351" s="4" t="s">
        <v>1581</v>
      </c>
      <c r="D1351" s="4" t="s">
        <v>1582</v>
      </c>
      <c r="E1351" s="4" t="s">
        <v>1583</v>
      </c>
      <c r="F1351" s="7"/>
      <c r="G1351" s="4" t="s">
        <v>3190</v>
      </c>
      <c r="H1351" s="22">
        <v>0</v>
      </c>
      <c r="I1351" s="18">
        <v>710000000</v>
      </c>
      <c r="J1351" s="4" t="s">
        <v>1931</v>
      </c>
      <c r="K1351" s="4" t="s">
        <v>5706</v>
      </c>
      <c r="L1351" s="4" t="s">
        <v>1889</v>
      </c>
      <c r="M1351" s="8" t="s">
        <v>3195</v>
      </c>
      <c r="N1351" s="4" t="s">
        <v>1890</v>
      </c>
      <c r="O1351" s="8" t="s">
        <v>1935</v>
      </c>
      <c r="P1351" s="4">
        <v>870</v>
      </c>
      <c r="Q1351" s="4" t="s">
        <v>3137</v>
      </c>
      <c r="R1351" s="34">
        <v>5</v>
      </c>
      <c r="S1351" s="10">
        <v>121</v>
      </c>
      <c r="T1351" s="10">
        <v>0</v>
      </c>
      <c r="U1351" s="10">
        <f t="shared" si="523"/>
        <v>0</v>
      </c>
      <c r="V1351" s="11"/>
      <c r="W1351" s="11">
        <v>2015</v>
      </c>
      <c r="X1351" s="4" t="s">
        <v>7071</v>
      </c>
    </row>
    <row r="1352" spans="1:24" s="23" customFormat="1" ht="76.5" customHeight="1" outlineLevel="1" x14ac:dyDescent="0.2">
      <c r="A1352" s="1" t="s">
        <v>7099</v>
      </c>
      <c r="B1352" s="16" t="s">
        <v>5277</v>
      </c>
      <c r="C1352" s="4" t="s">
        <v>7104</v>
      </c>
      <c r="D1352" s="4" t="s">
        <v>7100</v>
      </c>
      <c r="E1352" s="4" t="s">
        <v>7086</v>
      </c>
      <c r="F1352" s="7"/>
      <c r="G1352" s="4" t="s">
        <v>3190</v>
      </c>
      <c r="H1352" s="22">
        <v>0</v>
      </c>
      <c r="I1352" s="18">
        <v>710000000</v>
      </c>
      <c r="J1352" s="4" t="s">
        <v>1931</v>
      </c>
      <c r="K1352" s="4" t="s">
        <v>5706</v>
      </c>
      <c r="L1352" s="4" t="s">
        <v>1889</v>
      </c>
      <c r="M1352" s="8" t="s">
        <v>3195</v>
      </c>
      <c r="N1352" s="4" t="s">
        <v>1890</v>
      </c>
      <c r="O1352" s="8" t="s">
        <v>1935</v>
      </c>
      <c r="P1352" s="4">
        <v>870</v>
      </c>
      <c r="Q1352" s="4" t="s">
        <v>3137</v>
      </c>
      <c r="R1352" s="10">
        <v>5</v>
      </c>
      <c r="S1352" s="10">
        <v>121</v>
      </c>
      <c r="T1352" s="10">
        <v>0</v>
      </c>
      <c r="U1352" s="10">
        <f t="shared" ref="U1352" si="609">T1352*1.12</f>
        <v>0</v>
      </c>
      <c r="V1352" s="1"/>
      <c r="W1352" s="1">
        <v>2015</v>
      </c>
      <c r="X1352" s="8" t="s">
        <v>7597</v>
      </c>
    </row>
    <row r="1353" spans="1:24" s="23" customFormat="1" ht="76.5" customHeight="1" outlineLevel="1" x14ac:dyDescent="0.2">
      <c r="A1353" s="1" t="s">
        <v>8214</v>
      </c>
      <c r="B1353" s="16" t="s">
        <v>5277</v>
      </c>
      <c r="C1353" s="4" t="s">
        <v>7104</v>
      </c>
      <c r="D1353" s="4" t="s">
        <v>7100</v>
      </c>
      <c r="E1353" s="4" t="s">
        <v>7086</v>
      </c>
      <c r="F1353" s="7"/>
      <c r="G1353" s="4" t="s">
        <v>3190</v>
      </c>
      <c r="H1353" s="22">
        <v>0</v>
      </c>
      <c r="I1353" s="18">
        <v>710000000</v>
      </c>
      <c r="J1353" s="4" t="s">
        <v>1931</v>
      </c>
      <c r="K1353" s="4" t="s">
        <v>756</v>
      </c>
      <c r="L1353" s="4" t="s">
        <v>1889</v>
      </c>
      <c r="M1353" s="8" t="s">
        <v>3195</v>
      </c>
      <c r="N1353" s="4" t="s">
        <v>1890</v>
      </c>
      <c r="O1353" s="8" t="s">
        <v>1935</v>
      </c>
      <c r="P1353" s="4">
        <v>870</v>
      </c>
      <c r="Q1353" s="4" t="s">
        <v>3137</v>
      </c>
      <c r="R1353" s="10">
        <v>5</v>
      </c>
      <c r="S1353" s="10">
        <v>161.6071</v>
      </c>
      <c r="T1353" s="10">
        <f t="shared" ref="T1353" si="610">S1353*R1353</f>
        <v>808.03549999999996</v>
      </c>
      <c r="U1353" s="10">
        <f t="shared" ref="U1353" si="611">T1353*1.12</f>
        <v>904.99976000000004</v>
      </c>
      <c r="V1353" s="1"/>
      <c r="W1353" s="1">
        <v>2015</v>
      </c>
      <c r="X1353" s="4"/>
    </row>
    <row r="1354" spans="1:24" s="23" customFormat="1" ht="76.5" customHeight="1" outlineLevel="1" x14ac:dyDescent="0.2">
      <c r="A1354" s="1" t="s">
        <v>5105</v>
      </c>
      <c r="B1354" s="24" t="s">
        <v>5277</v>
      </c>
      <c r="C1354" s="4" t="s">
        <v>2740</v>
      </c>
      <c r="D1354" s="4" t="s">
        <v>1582</v>
      </c>
      <c r="E1354" s="4" t="s">
        <v>5710</v>
      </c>
      <c r="F1354" s="7"/>
      <c r="G1354" s="4" t="s">
        <v>3190</v>
      </c>
      <c r="H1354" s="22">
        <v>0</v>
      </c>
      <c r="I1354" s="18">
        <v>710000000</v>
      </c>
      <c r="J1354" s="4" t="s">
        <v>1931</v>
      </c>
      <c r="K1354" s="4" t="s">
        <v>5706</v>
      </c>
      <c r="L1354" s="4" t="s">
        <v>1889</v>
      </c>
      <c r="M1354" s="8" t="s">
        <v>3195</v>
      </c>
      <c r="N1354" s="4" t="s">
        <v>1890</v>
      </c>
      <c r="O1354" s="8" t="s">
        <v>1935</v>
      </c>
      <c r="P1354" s="4">
        <v>778</v>
      </c>
      <c r="Q1354" s="4" t="s">
        <v>3327</v>
      </c>
      <c r="R1354" s="34">
        <v>15</v>
      </c>
      <c r="S1354" s="10">
        <v>17.87</v>
      </c>
      <c r="T1354" s="10">
        <v>0</v>
      </c>
      <c r="U1354" s="10">
        <f t="shared" si="523"/>
        <v>0</v>
      </c>
      <c r="V1354" s="11"/>
      <c r="W1354" s="11">
        <v>2015</v>
      </c>
      <c r="X1354" s="4" t="s">
        <v>7071</v>
      </c>
    </row>
    <row r="1355" spans="1:24" s="23" customFormat="1" ht="76.5" customHeight="1" outlineLevel="1" x14ac:dyDescent="0.2">
      <c r="A1355" s="1" t="s">
        <v>7101</v>
      </c>
      <c r="B1355" s="16" t="s">
        <v>5277</v>
      </c>
      <c r="C1355" s="4" t="s">
        <v>7103</v>
      </c>
      <c r="D1355" s="4" t="s">
        <v>7102</v>
      </c>
      <c r="E1355" s="4" t="s">
        <v>7010</v>
      </c>
      <c r="F1355" s="7"/>
      <c r="G1355" s="4" t="s">
        <v>3190</v>
      </c>
      <c r="H1355" s="22">
        <v>0</v>
      </c>
      <c r="I1355" s="18">
        <v>710000000</v>
      </c>
      <c r="J1355" s="4" t="s">
        <v>1931</v>
      </c>
      <c r="K1355" s="4" t="s">
        <v>5706</v>
      </c>
      <c r="L1355" s="4" t="s">
        <v>1889</v>
      </c>
      <c r="M1355" s="8" t="s">
        <v>3195</v>
      </c>
      <c r="N1355" s="4" t="s">
        <v>1890</v>
      </c>
      <c r="O1355" s="8" t="s">
        <v>1935</v>
      </c>
      <c r="P1355" s="4">
        <v>778</v>
      </c>
      <c r="Q1355" s="4" t="s">
        <v>3327</v>
      </c>
      <c r="R1355" s="10">
        <v>15</v>
      </c>
      <c r="S1355" s="10">
        <v>17.87</v>
      </c>
      <c r="T1355" s="10">
        <v>0</v>
      </c>
      <c r="U1355" s="10">
        <f t="shared" ref="U1355" si="612">T1355*1.12</f>
        <v>0</v>
      </c>
      <c r="V1355" s="1"/>
      <c r="W1355" s="1">
        <v>2015</v>
      </c>
      <c r="X1355" s="8" t="s">
        <v>7597</v>
      </c>
    </row>
    <row r="1356" spans="1:24" s="23" customFormat="1" ht="76.5" customHeight="1" outlineLevel="1" x14ac:dyDescent="0.2">
      <c r="A1356" s="1" t="s">
        <v>8215</v>
      </c>
      <c r="B1356" s="16" t="s">
        <v>5277</v>
      </c>
      <c r="C1356" s="4" t="s">
        <v>7103</v>
      </c>
      <c r="D1356" s="4" t="s">
        <v>7102</v>
      </c>
      <c r="E1356" s="4" t="s">
        <v>7010</v>
      </c>
      <c r="F1356" s="7"/>
      <c r="G1356" s="4" t="s">
        <v>3190</v>
      </c>
      <c r="H1356" s="22">
        <v>0</v>
      </c>
      <c r="I1356" s="18">
        <v>710000000</v>
      </c>
      <c r="J1356" s="4" t="s">
        <v>1931</v>
      </c>
      <c r="K1356" s="4" t="s">
        <v>756</v>
      </c>
      <c r="L1356" s="4" t="s">
        <v>1889</v>
      </c>
      <c r="M1356" s="8" t="s">
        <v>3195</v>
      </c>
      <c r="N1356" s="4" t="s">
        <v>1890</v>
      </c>
      <c r="O1356" s="8" t="s">
        <v>1935</v>
      </c>
      <c r="P1356" s="4">
        <v>778</v>
      </c>
      <c r="Q1356" s="4" t="s">
        <v>3327</v>
      </c>
      <c r="R1356" s="10">
        <v>15</v>
      </c>
      <c r="S1356" s="10">
        <v>22.321400000000001</v>
      </c>
      <c r="T1356" s="10">
        <f t="shared" ref="T1356" si="613">S1356*R1356</f>
        <v>334.82100000000003</v>
      </c>
      <c r="U1356" s="10">
        <f t="shared" ref="U1356" si="614">T1356*1.12</f>
        <v>374.99952000000008</v>
      </c>
      <c r="V1356" s="1"/>
      <c r="W1356" s="1">
        <v>2015</v>
      </c>
      <c r="X1356" s="4"/>
    </row>
    <row r="1357" spans="1:24" s="23" customFormat="1" ht="76.5" customHeight="1" outlineLevel="1" x14ac:dyDescent="0.2">
      <c r="A1357" s="1" t="s">
        <v>5106</v>
      </c>
      <c r="B1357" s="24" t="s">
        <v>5277</v>
      </c>
      <c r="C1357" s="4" t="s">
        <v>2741</v>
      </c>
      <c r="D1357" s="4" t="s">
        <v>7023</v>
      </c>
      <c r="E1357" s="4" t="s">
        <v>7010</v>
      </c>
      <c r="F1357" s="7"/>
      <c r="G1357" s="4" t="s">
        <v>3190</v>
      </c>
      <c r="H1357" s="22">
        <v>0</v>
      </c>
      <c r="I1357" s="18">
        <v>710000000</v>
      </c>
      <c r="J1357" s="4" t="s">
        <v>1931</v>
      </c>
      <c r="K1357" s="4" t="s">
        <v>5706</v>
      </c>
      <c r="L1357" s="4" t="s">
        <v>1889</v>
      </c>
      <c r="M1357" s="8" t="s">
        <v>3195</v>
      </c>
      <c r="N1357" s="4" t="s">
        <v>1890</v>
      </c>
      <c r="O1357" s="8" t="s">
        <v>1935</v>
      </c>
      <c r="P1357" s="4">
        <v>778</v>
      </c>
      <c r="Q1357" s="4" t="s">
        <v>3327</v>
      </c>
      <c r="R1357" s="34">
        <v>60</v>
      </c>
      <c r="S1357" s="10">
        <v>22.32</v>
      </c>
      <c r="T1357" s="10">
        <v>0</v>
      </c>
      <c r="U1357" s="10">
        <f t="shared" si="523"/>
        <v>0</v>
      </c>
      <c r="V1357" s="11"/>
      <c r="W1357" s="11">
        <v>2015</v>
      </c>
      <c r="X1357" s="8">
        <v>4.5</v>
      </c>
    </row>
    <row r="1358" spans="1:24" s="23" customFormat="1" ht="76.5" customHeight="1" outlineLevel="1" x14ac:dyDescent="0.2">
      <c r="A1358" s="1" t="s">
        <v>7022</v>
      </c>
      <c r="B1358" s="16" t="s">
        <v>5277</v>
      </c>
      <c r="C1358" s="4" t="s">
        <v>2741</v>
      </c>
      <c r="D1358" s="4" t="s">
        <v>7023</v>
      </c>
      <c r="E1358" s="4" t="s">
        <v>7010</v>
      </c>
      <c r="F1358" s="7"/>
      <c r="G1358" s="4" t="s">
        <v>3190</v>
      </c>
      <c r="H1358" s="22">
        <v>0</v>
      </c>
      <c r="I1358" s="18">
        <v>710000000</v>
      </c>
      <c r="J1358" s="4" t="s">
        <v>1931</v>
      </c>
      <c r="K1358" s="4" t="s">
        <v>5706</v>
      </c>
      <c r="L1358" s="4" t="s">
        <v>1889</v>
      </c>
      <c r="M1358" s="8" t="s">
        <v>3195</v>
      </c>
      <c r="N1358" s="4" t="s">
        <v>1890</v>
      </c>
      <c r="O1358" s="8" t="s">
        <v>1935</v>
      </c>
      <c r="P1358" s="4">
        <v>778</v>
      </c>
      <c r="Q1358" s="4" t="s">
        <v>3327</v>
      </c>
      <c r="R1358" s="10">
        <v>60</v>
      </c>
      <c r="S1358" s="10">
        <v>22.32</v>
      </c>
      <c r="T1358" s="10">
        <v>0</v>
      </c>
      <c r="U1358" s="10">
        <f t="shared" ref="U1358" si="615">T1358*1.12</f>
        <v>0</v>
      </c>
      <c r="V1358" s="1"/>
      <c r="W1358" s="1">
        <v>2015</v>
      </c>
      <c r="X1358" s="8" t="s">
        <v>7597</v>
      </c>
    </row>
    <row r="1359" spans="1:24" s="23" customFormat="1" ht="76.5" customHeight="1" outlineLevel="1" x14ac:dyDescent="0.2">
      <c r="A1359" s="1" t="s">
        <v>8216</v>
      </c>
      <c r="B1359" s="16" t="s">
        <v>5277</v>
      </c>
      <c r="C1359" s="4" t="s">
        <v>2741</v>
      </c>
      <c r="D1359" s="4" t="s">
        <v>7023</v>
      </c>
      <c r="E1359" s="4" t="s">
        <v>7010</v>
      </c>
      <c r="F1359" s="7"/>
      <c r="G1359" s="4" t="s">
        <v>3190</v>
      </c>
      <c r="H1359" s="22">
        <v>0</v>
      </c>
      <c r="I1359" s="18">
        <v>710000000</v>
      </c>
      <c r="J1359" s="4" t="s">
        <v>1931</v>
      </c>
      <c r="K1359" s="4" t="s">
        <v>756</v>
      </c>
      <c r="L1359" s="4" t="s">
        <v>1889</v>
      </c>
      <c r="M1359" s="8" t="s">
        <v>3195</v>
      </c>
      <c r="N1359" s="4" t="s">
        <v>1890</v>
      </c>
      <c r="O1359" s="8" t="s">
        <v>1935</v>
      </c>
      <c r="P1359" s="4">
        <v>778</v>
      </c>
      <c r="Q1359" s="4" t="s">
        <v>3327</v>
      </c>
      <c r="R1359" s="10">
        <v>60</v>
      </c>
      <c r="S1359" s="10">
        <v>44.642800000000001</v>
      </c>
      <c r="T1359" s="10">
        <f t="shared" ref="T1359" si="616">S1359*R1359</f>
        <v>2678.5680000000002</v>
      </c>
      <c r="U1359" s="10">
        <f t="shared" ref="U1359" si="617">T1359*1.12</f>
        <v>2999.9961600000006</v>
      </c>
      <c r="V1359" s="1"/>
      <c r="W1359" s="1">
        <v>2015</v>
      </c>
      <c r="X1359" s="8"/>
    </row>
    <row r="1360" spans="1:24" s="23" customFormat="1" ht="76.5" customHeight="1" outlineLevel="1" x14ac:dyDescent="0.2">
      <c r="A1360" s="1" t="s">
        <v>5107</v>
      </c>
      <c r="B1360" s="24" t="s">
        <v>5277</v>
      </c>
      <c r="C1360" s="4" t="s">
        <v>2742</v>
      </c>
      <c r="D1360" s="4" t="s">
        <v>7025</v>
      </c>
      <c r="E1360" s="4" t="s">
        <v>7010</v>
      </c>
      <c r="F1360" s="7"/>
      <c r="G1360" s="4" t="s">
        <v>3190</v>
      </c>
      <c r="H1360" s="22">
        <v>0</v>
      </c>
      <c r="I1360" s="18">
        <v>710000000</v>
      </c>
      <c r="J1360" s="4" t="s">
        <v>1931</v>
      </c>
      <c r="K1360" s="4" t="s">
        <v>5706</v>
      </c>
      <c r="L1360" s="4" t="s">
        <v>1889</v>
      </c>
      <c r="M1360" s="8" t="s">
        <v>3195</v>
      </c>
      <c r="N1360" s="4" t="s">
        <v>1890</v>
      </c>
      <c r="O1360" s="8" t="s">
        <v>1935</v>
      </c>
      <c r="P1360" s="4">
        <v>778</v>
      </c>
      <c r="Q1360" s="4" t="s">
        <v>3327</v>
      </c>
      <c r="R1360" s="34">
        <v>60</v>
      </c>
      <c r="S1360" s="10">
        <v>200</v>
      </c>
      <c r="T1360" s="10">
        <v>0</v>
      </c>
      <c r="U1360" s="10">
        <f t="shared" si="523"/>
        <v>0</v>
      </c>
      <c r="V1360" s="11"/>
      <c r="W1360" s="11">
        <v>2015</v>
      </c>
      <c r="X1360" s="8" t="s">
        <v>7243</v>
      </c>
    </row>
    <row r="1361" spans="1:24" s="23" customFormat="1" ht="76.5" customHeight="1" outlineLevel="1" x14ac:dyDescent="0.2">
      <c r="A1361" s="1" t="s">
        <v>7024</v>
      </c>
      <c r="B1361" s="16" t="s">
        <v>5277</v>
      </c>
      <c r="C1361" s="4" t="s">
        <v>2742</v>
      </c>
      <c r="D1361" s="4" t="s">
        <v>7025</v>
      </c>
      <c r="E1361" s="4" t="s">
        <v>7010</v>
      </c>
      <c r="F1361" s="4" t="s">
        <v>5711</v>
      </c>
      <c r="G1361" s="4" t="s">
        <v>3190</v>
      </c>
      <c r="H1361" s="22">
        <v>0</v>
      </c>
      <c r="I1361" s="18">
        <v>710000000</v>
      </c>
      <c r="J1361" s="4" t="s">
        <v>1931</v>
      </c>
      <c r="K1361" s="4" t="s">
        <v>5706</v>
      </c>
      <c r="L1361" s="4" t="s">
        <v>1889</v>
      </c>
      <c r="M1361" s="8" t="s">
        <v>3195</v>
      </c>
      <c r="N1361" s="4" t="s">
        <v>1890</v>
      </c>
      <c r="O1361" s="8" t="s">
        <v>1935</v>
      </c>
      <c r="P1361" s="4">
        <v>778</v>
      </c>
      <c r="Q1361" s="4" t="s">
        <v>3327</v>
      </c>
      <c r="R1361" s="10">
        <v>60</v>
      </c>
      <c r="S1361" s="10">
        <v>200</v>
      </c>
      <c r="T1361" s="10">
        <v>0</v>
      </c>
      <c r="U1361" s="10">
        <f t="shared" ref="U1361" si="618">T1361*1.12</f>
        <v>0</v>
      </c>
      <c r="V1361" s="1"/>
      <c r="W1361" s="1">
        <v>2015</v>
      </c>
      <c r="X1361" s="8" t="s">
        <v>7597</v>
      </c>
    </row>
    <row r="1362" spans="1:24" s="23" customFormat="1" ht="76.5" customHeight="1" outlineLevel="1" x14ac:dyDescent="0.2">
      <c r="A1362" s="1" t="s">
        <v>8217</v>
      </c>
      <c r="B1362" s="16" t="s">
        <v>5277</v>
      </c>
      <c r="C1362" s="4" t="s">
        <v>2742</v>
      </c>
      <c r="D1362" s="4" t="s">
        <v>7025</v>
      </c>
      <c r="E1362" s="4" t="s">
        <v>7010</v>
      </c>
      <c r="F1362" s="4" t="s">
        <v>5711</v>
      </c>
      <c r="G1362" s="4" t="s">
        <v>3190</v>
      </c>
      <c r="H1362" s="22">
        <v>0</v>
      </c>
      <c r="I1362" s="18">
        <v>710000000</v>
      </c>
      <c r="J1362" s="4" t="s">
        <v>1931</v>
      </c>
      <c r="K1362" s="4" t="s">
        <v>5706</v>
      </c>
      <c r="L1362" s="4" t="s">
        <v>1889</v>
      </c>
      <c r="M1362" s="8" t="s">
        <v>3195</v>
      </c>
      <c r="N1362" s="4" t="s">
        <v>1890</v>
      </c>
      <c r="O1362" s="8" t="s">
        <v>1935</v>
      </c>
      <c r="P1362" s="4">
        <v>778</v>
      </c>
      <c r="Q1362" s="4" t="s">
        <v>3327</v>
      </c>
      <c r="R1362" s="10">
        <v>60</v>
      </c>
      <c r="S1362" s="10">
        <v>215.17850000000001</v>
      </c>
      <c r="T1362" s="10">
        <f t="shared" ref="T1362" si="619">S1362*R1362</f>
        <v>12910.710000000001</v>
      </c>
      <c r="U1362" s="10">
        <f t="shared" ref="U1362" si="620">T1362*1.12</f>
        <v>14459.995200000003</v>
      </c>
      <c r="V1362" s="1"/>
      <c r="W1362" s="1">
        <v>2015</v>
      </c>
      <c r="X1362" s="8"/>
    </row>
    <row r="1363" spans="1:24" s="23" customFormat="1" ht="89.25" customHeight="1" outlineLevel="1" x14ac:dyDescent="0.2">
      <c r="A1363" s="1" t="s">
        <v>5108</v>
      </c>
      <c r="B1363" s="24" t="s">
        <v>5277</v>
      </c>
      <c r="C1363" s="4" t="s">
        <v>1584</v>
      </c>
      <c r="D1363" s="4" t="s">
        <v>1585</v>
      </c>
      <c r="E1363" s="4" t="s">
        <v>1586</v>
      </c>
      <c r="F1363" s="7"/>
      <c r="G1363" s="4" t="s">
        <v>3190</v>
      </c>
      <c r="H1363" s="22">
        <v>0</v>
      </c>
      <c r="I1363" s="18">
        <v>710000000</v>
      </c>
      <c r="J1363" s="4" t="s">
        <v>1931</v>
      </c>
      <c r="K1363" s="4" t="s">
        <v>5706</v>
      </c>
      <c r="L1363" s="4" t="s">
        <v>1889</v>
      </c>
      <c r="M1363" s="8" t="s">
        <v>3195</v>
      </c>
      <c r="N1363" s="4" t="s">
        <v>1890</v>
      </c>
      <c r="O1363" s="8" t="s">
        <v>1935</v>
      </c>
      <c r="P1363" s="4">
        <v>778</v>
      </c>
      <c r="Q1363" s="4" t="s">
        <v>3327</v>
      </c>
      <c r="R1363" s="34">
        <v>60</v>
      </c>
      <c r="S1363" s="10">
        <v>67.849999999999994</v>
      </c>
      <c r="T1363" s="10">
        <v>0</v>
      </c>
      <c r="U1363" s="10">
        <f t="shared" si="523"/>
        <v>0</v>
      </c>
      <c r="V1363" s="11"/>
      <c r="W1363" s="11">
        <v>2015</v>
      </c>
      <c r="X1363" s="8" t="s">
        <v>7071</v>
      </c>
    </row>
    <row r="1364" spans="1:24" s="23" customFormat="1" ht="76.5" customHeight="1" outlineLevel="1" x14ac:dyDescent="0.2">
      <c r="A1364" s="1" t="s">
        <v>7106</v>
      </c>
      <c r="B1364" s="16" t="s">
        <v>5277</v>
      </c>
      <c r="C1364" s="4" t="s">
        <v>7108</v>
      </c>
      <c r="D1364" s="4" t="s">
        <v>7107</v>
      </c>
      <c r="E1364" s="4" t="s">
        <v>7010</v>
      </c>
      <c r="F1364" s="7"/>
      <c r="G1364" s="4" t="s">
        <v>3190</v>
      </c>
      <c r="H1364" s="22">
        <v>0</v>
      </c>
      <c r="I1364" s="18">
        <v>710000000</v>
      </c>
      <c r="J1364" s="4" t="s">
        <v>1931</v>
      </c>
      <c r="K1364" s="4" t="s">
        <v>5706</v>
      </c>
      <c r="L1364" s="4" t="s">
        <v>1889</v>
      </c>
      <c r="M1364" s="8" t="s">
        <v>3195</v>
      </c>
      <c r="N1364" s="4" t="s">
        <v>1890</v>
      </c>
      <c r="O1364" s="8" t="s">
        <v>1935</v>
      </c>
      <c r="P1364" s="4">
        <v>778</v>
      </c>
      <c r="Q1364" s="4" t="s">
        <v>3327</v>
      </c>
      <c r="R1364" s="10">
        <v>60</v>
      </c>
      <c r="S1364" s="10">
        <v>67.849999999999994</v>
      </c>
      <c r="T1364" s="10">
        <v>0</v>
      </c>
      <c r="U1364" s="10">
        <f t="shared" ref="U1364" si="621">T1364*1.12</f>
        <v>0</v>
      </c>
      <c r="V1364" s="1"/>
      <c r="W1364" s="1">
        <v>2015</v>
      </c>
      <c r="X1364" s="8" t="s">
        <v>7597</v>
      </c>
    </row>
    <row r="1365" spans="1:24" s="23" customFormat="1" ht="76.5" customHeight="1" outlineLevel="1" x14ac:dyDescent="0.2">
      <c r="A1365" s="1" t="s">
        <v>8218</v>
      </c>
      <c r="B1365" s="16" t="s">
        <v>5277</v>
      </c>
      <c r="C1365" s="4" t="s">
        <v>7108</v>
      </c>
      <c r="D1365" s="4" t="s">
        <v>7107</v>
      </c>
      <c r="E1365" s="4" t="s">
        <v>7010</v>
      </c>
      <c r="F1365" s="7"/>
      <c r="G1365" s="4" t="s">
        <v>3190</v>
      </c>
      <c r="H1365" s="22">
        <v>0</v>
      </c>
      <c r="I1365" s="18">
        <v>710000000</v>
      </c>
      <c r="J1365" s="4" t="s">
        <v>1931</v>
      </c>
      <c r="K1365" s="4" t="s">
        <v>756</v>
      </c>
      <c r="L1365" s="4" t="s">
        <v>1889</v>
      </c>
      <c r="M1365" s="8" t="s">
        <v>3195</v>
      </c>
      <c r="N1365" s="4" t="s">
        <v>1890</v>
      </c>
      <c r="O1365" s="8" t="s">
        <v>1935</v>
      </c>
      <c r="P1365" s="4">
        <v>778</v>
      </c>
      <c r="Q1365" s="4" t="s">
        <v>3327</v>
      </c>
      <c r="R1365" s="10">
        <v>60</v>
      </c>
      <c r="S1365" s="10">
        <v>87.5</v>
      </c>
      <c r="T1365" s="10">
        <f t="shared" ref="T1365" si="622">S1365*R1365</f>
        <v>5250</v>
      </c>
      <c r="U1365" s="10">
        <f t="shared" ref="U1365" si="623">T1365*1.12</f>
        <v>5880.0000000000009</v>
      </c>
      <c r="V1365" s="1"/>
      <c r="W1365" s="1">
        <v>2015</v>
      </c>
      <c r="X1365" s="8"/>
    </row>
    <row r="1366" spans="1:24" s="23" customFormat="1" ht="76.5" customHeight="1" outlineLevel="1" x14ac:dyDescent="0.2">
      <c r="A1366" s="1" t="s">
        <v>5109</v>
      </c>
      <c r="B1366" s="24" t="s">
        <v>5277</v>
      </c>
      <c r="C1366" s="4" t="s">
        <v>2743</v>
      </c>
      <c r="D1366" s="4" t="s">
        <v>1596</v>
      </c>
      <c r="E1366" s="4" t="s">
        <v>7110</v>
      </c>
      <c r="F1366" s="7"/>
      <c r="G1366" s="4" t="s">
        <v>3190</v>
      </c>
      <c r="H1366" s="22">
        <v>0</v>
      </c>
      <c r="I1366" s="18">
        <v>710000000</v>
      </c>
      <c r="J1366" s="4" t="s">
        <v>1931</v>
      </c>
      <c r="K1366" s="4" t="s">
        <v>5706</v>
      </c>
      <c r="L1366" s="4" t="s">
        <v>1889</v>
      </c>
      <c r="M1366" s="8" t="s">
        <v>3195</v>
      </c>
      <c r="N1366" s="4" t="s">
        <v>1890</v>
      </c>
      <c r="O1366" s="8" t="s">
        <v>1935</v>
      </c>
      <c r="P1366" s="4">
        <v>166</v>
      </c>
      <c r="Q1366" s="4" t="s">
        <v>3324</v>
      </c>
      <c r="R1366" s="34">
        <v>10</v>
      </c>
      <c r="S1366" s="10">
        <v>80.400000000000006</v>
      </c>
      <c r="T1366" s="10">
        <v>0</v>
      </c>
      <c r="U1366" s="10">
        <f t="shared" si="523"/>
        <v>0</v>
      </c>
      <c r="V1366" s="11"/>
      <c r="W1366" s="11">
        <v>2015</v>
      </c>
      <c r="X1366" s="4">
        <v>4.5</v>
      </c>
    </row>
    <row r="1367" spans="1:24" s="23" customFormat="1" ht="76.5" customHeight="1" outlineLevel="1" x14ac:dyDescent="0.2">
      <c r="A1367" s="1" t="s">
        <v>7109</v>
      </c>
      <c r="B1367" s="24" t="s">
        <v>5277</v>
      </c>
      <c r="C1367" s="4" t="s">
        <v>2743</v>
      </c>
      <c r="D1367" s="4" t="s">
        <v>1596</v>
      </c>
      <c r="E1367" s="4" t="s">
        <v>7110</v>
      </c>
      <c r="F1367" s="7"/>
      <c r="G1367" s="4" t="s">
        <v>3190</v>
      </c>
      <c r="H1367" s="22">
        <v>0</v>
      </c>
      <c r="I1367" s="18">
        <v>710000000</v>
      </c>
      <c r="J1367" s="4" t="s">
        <v>1931</v>
      </c>
      <c r="K1367" s="4" t="s">
        <v>5706</v>
      </c>
      <c r="L1367" s="4" t="s">
        <v>1889</v>
      </c>
      <c r="M1367" s="8" t="s">
        <v>3195</v>
      </c>
      <c r="N1367" s="4" t="s">
        <v>1890</v>
      </c>
      <c r="O1367" s="8" t="s">
        <v>1935</v>
      </c>
      <c r="P1367" s="4">
        <v>166</v>
      </c>
      <c r="Q1367" s="4" t="s">
        <v>3324</v>
      </c>
      <c r="R1367" s="34">
        <v>10</v>
      </c>
      <c r="S1367" s="10">
        <v>80.400000000000006</v>
      </c>
      <c r="T1367" s="10">
        <f t="shared" ref="T1367" si="624">S1367*R1367</f>
        <v>804</v>
      </c>
      <c r="U1367" s="10">
        <f t="shared" ref="U1367" si="625">T1367*1.12</f>
        <v>900.48000000000013</v>
      </c>
      <c r="V1367" s="11"/>
      <c r="W1367" s="11">
        <v>2015</v>
      </c>
      <c r="X1367" s="4"/>
    </row>
    <row r="1368" spans="1:24" s="23" customFormat="1" ht="76.5" customHeight="1" outlineLevel="1" x14ac:dyDescent="0.2">
      <c r="A1368" s="1" t="s">
        <v>5110</v>
      </c>
      <c r="B1368" s="24" t="s">
        <v>5277</v>
      </c>
      <c r="C1368" s="4" t="s">
        <v>1587</v>
      </c>
      <c r="D1368" s="4" t="s">
        <v>1588</v>
      </c>
      <c r="E1368" s="4" t="s">
        <v>1589</v>
      </c>
      <c r="F1368" s="7"/>
      <c r="G1368" s="4" t="s">
        <v>3190</v>
      </c>
      <c r="H1368" s="22">
        <v>0</v>
      </c>
      <c r="I1368" s="18">
        <v>710000000</v>
      </c>
      <c r="J1368" s="4" t="s">
        <v>1931</v>
      </c>
      <c r="K1368" s="4" t="s">
        <v>5706</v>
      </c>
      <c r="L1368" s="4" t="s">
        <v>1889</v>
      </c>
      <c r="M1368" s="8" t="s">
        <v>3195</v>
      </c>
      <c r="N1368" s="4" t="s">
        <v>1890</v>
      </c>
      <c r="O1368" s="8" t="s">
        <v>1935</v>
      </c>
      <c r="P1368" s="4">
        <v>778</v>
      </c>
      <c r="Q1368" s="4" t="s">
        <v>3327</v>
      </c>
      <c r="R1368" s="34">
        <v>30</v>
      </c>
      <c r="S1368" s="10">
        <v>17.87</v>
      </c>
      <c r="T1368" s="10">
        <v>0</v>
      </c>
      <c r="U1368" s="10">
        <f t="shared" si="523"/>
        <v>0</v>
      </c>
      <c r="V1368" s="11"/>
      <c r="W1368" s="11">
        <v>2015</v>
      </c>
      <c r="X1368" s="4" t="s">
        <v>7071</v>
      </c>
    </row>
    <row r="1369" spans="1:24" s="23" customFormat="1" ht="76.5" customHeight="1" outlineLevel="1" x14ac:dyDescent="0.2">
      <c r="A1369" s="1" t="s">
        <v>7111</v>
      </c>
      <c r="B1369" s="16" t="s">
        <v>5277</v>
      </c>
      <c r="C1369" s="4" t="s">
        <v>7113</v>
      </c>
      <c r="D1369" s="4" t="s">
        <v>7112</v>
      </c>
      <c r="E1369" s="4" t="s">
        <v>7010</v>
      </c>
      <c r="F1369" s="7"/>
      <c r="G1369" s="4" t="s">
        <v>3190</v>
      </c>
      <c r="H1369" s="22">
        <v>0</v>
      </c>
      <c r="I1369" s="18">
        <v>710000000</v>
      </c>
      <c r="J1369" s="4" t="s">
        <v>1931</v>
      </c>
      <c r="K1369" s="4" t="s">
        <v>5706</v>
      </c>
      <c r="L1369" s="4" t="s">
        <v>1889</v>
      </c>
      <c r="M1369" s="8" t="s">
        <v>3195</v>
      </c>
      <c r="N1369" s="4" t="s">
        <v>1890</v>
      </c>
      <c r="O1369" s="8" t="s">
        <v>1935</v>
      </c>
      <c r="P1369" s="4">
        <v>778</v>
      </c>
      <c r="Q1369" s="4" t="s">
        <v>3327</v>
      </c>
      <c r="R1369" s="10">
        <v>30</v>
      </c>
      <c r="S1369" s="10">
        <v>17.87</v>
      </c>
      <c r="T1369" s="10">
        <v>0</v>
      </c>
      <c r="U1369" s="10">
        <f t="shared" ref="U1369" si="626">T1369*1.12</f>
        <v>0</v>
      </c>
      <c r="V1369" s="1"/>
      <c r="W1369" s="1">
        <v>2015</v>
      </c>
      <c r="X1369" s="8" t="s">
        <v>7597</v>
      </c>
    </row>
    <row r="1370" spans="1:24" s="23" customFormat="1" ht="76.5" customHeight="1" outlineLevel="1" x14ac:dyDescent="0.2">
      <c r="A1370" s="1" t="s">
        <v>8219</v>
      </c>
      <c r="B1370" s="16" t="s">
        <v>5277</v>
      </c>
      <c r="C1370" s="4" t="s">
        <v>7113</v>
      </c>
      <c r="D1370" s="4" t="s">
        <v>7112</v>
      </c>
      <c r="E1370" s="4" t="s">
        <v>7010</v>
      </c>
      <c r="F1370" s="7"/>
      <c r="G1370" s="4" t="s">
        <v>3190</v>
      </c>
      <c r="H1370" s="22">
        <v>0</v>
      </c>
      <c r="I1370" s="18">
        <v>710000000</v>
      </c>
      <c r="J1370" s="4" t="s">
        <v>1931</v>
      </c>
      <c r="K1370" s="4" t="s">
        <v>5706</v>
      </c>
      <c r="L1370" s="4" t="s">
        <v>1889</v>
      </c>
      <c r="M1370" s="8" t="s">
        <v>3195</v>
      </c>
      <c r="N1370" s="4" t="s">
        <v>1890</v>
      </c>
      <c r="O1370" s="8" t="s">
        <v>1935</v>
      </c>
      <c r="P1370" s="4">
        <v>778</v>
      </c>
      <c r="Q1370" s="4" t="s">
        <v>3327</v>
      </c>
      <c r="R1370" s="10">
        <v>30</v>
      </c>
      <c r="S1370" s="10">
        <v>15.1785</v>
      </c>
      <c r="T1370" s="10">
        <f t="shared" ref="T1370" si="627">S1370*R1370</f>
        <v>455.35500000000002</v>
      </c>
      <c r="U1370" s="10">
        <f t="shared" ref="U1370" si="628">T1370*1.12</f>
        <v>509.99760000000009</v>
      </c>
      <c r="V1370" s="1"/>
      <c r="W1370" s="1">
        <v>2015</v>
      </c>
      <c r="X1370" s="4"/>
    </row>
    <row r="1371" spans="1:24" s="23" customFormat="1" ht="76.5" customHeight="1" outlineLevel="1" x14ac:dyDescent="0.2">
      <c r="A1371" s="1" t="s">
        <v>5111</v>
      </c>
      <c r="B1371" s="24" t="s">
        <v>5277</v>
      </c>
      <c r="C1371" s="4" t="s">
        <v>2744</v>
      </c>
      <c r="D1371" s="4" t="s">
        <v>5712</v>
      </c>
      <c r="E1371" s="4" t="s">
        <v>5713</v>
      </c>
      <c r="F1371" s="7"/>
      <c r="G1371" s="4" t="s">
        <v>3190</v>
      </c>
      <c r="H1371" s="22">
        <v>0</v>
      </c>
      <c r="I1371" s="18">
        <v>710000000</v>
      </c>
      <c r="J1371" s="4" t="s">
        <v>1931</v>
      </c>
      <c r="K1371" s="4" t="s">
        <v>5706</v>
      </c>
      <c r="L1371" s="4" t="s">
        <v>1889</v>
      </c>
      <c r="M1371" s="8" t="s">
        <v>3195</v>
      </c>
      <c r="N1371" s="4" t="s">
        <v>1890</v>
      </c>
      <c r="O1371" s="8" t="s">
        <v>1935</v>
      </c>
      <c r="P1371" s="4">
        <v>778</v>
      </c>
      <c r="Q1371" s="4" t="s">
        <v>3327</v>
      </c>
      <c r="R1371" s="34">
        <v>3</v>
      </c>
      <c r="S1371" s="10">
        <v>363.33</v>
      </c>
      <c r="T1371" s="10">
        <v>0</v>
      </c>
      <c r="U1371" s="10">
        <f t="shared" si="523"/>
        <v>0</v>
      </c>
      <c r="V1371" s="11"/>
      <c r="W1371" s="11">
        <v>2015</v>
      </c>
      <c r="X1371" s="4" t="s">
        <v>7071</v>
      </c>
    </row>
    <row r="1372" spans="1:24" s="23" customFormat="1" ht="76.5" customHeight="1" outlineLevel="1" x14ac:dyDescent="0.2">
      <c r="A1372" s="1" t="s">
        <v>7242</v>
      </c>
      <c r="B1372" s="16" t="s">
        <v>5277</v>
      </c>
      <c r="C1372" s="4" t="s">
        <v>7264</v>
      </c>
      <c r="D1372" s="4" t="s">
        <v>7263</v>
      </c>
      <c r="E1372" s="4" t="s">
        <v>7121</v>
      </c>
      <c r="F1372" s="7"/>
      <c r="G1372" s="4" t="s">
        <v>3190</v>
      </c>
      <c r="H1372" s="22">
        <v>0</v>
      </c>
      <c r="I1372" s="18">
        <v>710000000</v>
      </c>
      <c r="J1372" s="4" t="s">
        <v>1931</v>
      </c>
      <c r="K1372" s="4" t="s">
        <v>5706</v>
      </c>
      <c r="L1372" s="4" t="s">
        <v>1889</v>
      </c>
      <c r="M1372" s="8" t="s">
        <v>3195</v>
      </c>
      <c r="N1372" s="4" t="s">
        <v>1890</v>
      </c>
      <c r="O1372" s="8" t="s">
        <v>1935</v>
      </c>
      <c r="P1372" s="4">
        <v>778</v>
      </c>
      <c r="Q1372" s="4" t="s">
        <v>3327</v>
      </c>
      <c r="R1372" s="10">
        <v>3</v>
      </c>
      <c r="S1372" s="10">
        <v>363.33</v>
      </c>
      <c r="T1372" s="10">
        <v>0</v>
      </c>
      <c r="U1372" s="10">
        <f t="shared" ref="U1372" si="629">T1372*1.12</f>
        <v>0</v>
      </c>
      <c r="V1372" s="1"/>
      <c r="W1372" s="1">
        <v>2015</v>
      </c>
      <c r="X1372" s="4" t="s">
        <v>7597</v>
      </c>
    </row>
    <row r="1373" spans="1:24" s="23" customFormat="1" ht="76.5" customHeight="1" outlineLevel="1" x14ac:dyDescent="0.2">
      <c r="A1373" s="1" t="s">
        <v>8220</v>
      </c>
      <c r="B1373" s="16" t="s">
        <v>5277</v>
      </c>
      <c r="C1373" s="4" t="s">
        <v>7264</v>
      </c>
      <c r="D1373" s="4" t="s">
        <v>7263</v>
      </c>
      <c r="E1373" s="4" t="s">
        <v>7121</v>
      </c>
      <c r="F1373" s="7"/>
      <c r="G1373" s="4" t="s">
        <v>3190</v>
      </c>
      <c r="H1373" s="22">
        <v>0</v>
      </c>
      <c r="I1373" s="18">
        <v>710000000</v>
      </c>
      <c r="J1373" s="4" t="s">
        <v>1931</v>
      </c>
      <c r="K1373" s="4" t="s">
        <v>756</v>
      </c>
      <c r="L1373" s="4" t="s">
        <v>1889</v>
      </c>
      <c r="M1373" s="8" t="s">
        <v>3195</v>
      </c>
      <c r="N1373" s="4" t="s">
        <v>1890</v>
      </c>
      <c r="O1373" s="8" t="s">
        <v>1935</v>
      </c>
      <c r="P1373" s="4">
        <v>778</v>
      </c>
      <c r="Q1373" s="4" t="s">
        <v>3327</v>
      </c>
      <c r="R1373" s="10">
        <v>3</v>
      </c>
      <c r="S1373" s="10">
        <v>285.71420000000001</v>
      </c>
      <c r="T1373" s="10">
        <f t="shared" ref="T1373" si="630">S1373*R1373</f>
        <v>857.14260000000002</v>
      </c>
      <c r="U1373" s="10">
        <f t="shared" ref="U1373" si="631">T1373*1.12</f>
        <v>959.99971200000016</v>
      </c>
      <c r="V1373" s="1"/>
      <c r="W1373" s="1">
        <v>2015</v>
      </c>
      <c r="X1373" s="4"/>
    </row>
    <row r="1374" spans="1:24" s="23" customFormat="1" ht="76.5" customHeight="1" outlineLevel="1" x14ac:dyDescent="0.2">
      <c r="A1374" s="1" t="s">
        <v>5112</v>
      </c>
      <c r="B1374" s="24" t="s">
        <v>5277</v>
      </c>
      <c r="C1374" s="4" t="s">
        <v>2745</v>
      </c>
      <c r="D1374" s="4" t="s">
        <v>7120</v>
      </c>
      <c r="E1374" s="4" t="s">
        <v>7121</v>
      </c>
      <c r="F1374" s="7"/>
      <c r="G1374" s="4" t="s">
        <v>3190</v>
      </c>
      <c r="H1374" s="22">
        <v>0</v>
      </c>
      <c r="I1374" s="18">
        <v>710000000</v>
      </c>
      <c r="J1374" s="4" t="s">
        <v>1931</v>
      </c>
      <c r="K1374" s="4" t="s">
        <v>5706</v>
      </c>
      <c r="L1374" s="4" t="s">
        <v>1889</v>
      </c>
      <c r="M1374" s="8" t="s">
        <v>3195</v>
      </c>
      <c r="N1374" s="4" t="s">
        <v>1890</v>
      </c>
      <c r="O1374" s="8" t="s">
        <v>1935</v>
      </c>
      <c r="P1374" s="4">
        <v>881</v>
      </c>
      <c r="Q1374" s="4" t="s">
        <v>2746</v>
      </c>
      <c r="R1374" s="34">
        <v>3</v>
      </c>
      <c r="S1374" s="10">
        <v>28.67</v>
      </c>
      <c r="T1374" s="10">
        <v>0</v>
      </c>
      <c r="U1374" s="10">
        <f t="shared" si="523"/>
        <v>0</v>
      </c>
      <c r="V1374" s="11"/>
      <c r="W1374" s="11">
        <v>2015</v>
      </c>
      <c r="X1374" s="4">
        <v>4.5</v>
      </c>
    </row>
    <row r="1375" spans="1:24" s="23" customFormat="1" ht="76.5" customHeight="1" outlineLevel="1" x14ac:dyDescent="0.2">
      <c r="A1375" s="1" t="s">
        <v>7122</v>
      </c>
      <c r="B1375" s="16" t="s">
        <v>5277</v>
      </c>
      <c r="C1375" s="4" t="s">
        <v>2745</v>
      </c>
      <c r="D1375" s="4" t="s">
        <v>7120</v>
      </c>
      <c r="E1375" s="4" t="s">
        <v>7121</v>
      </c>
      <c r="F1375" s="7"/>
      <c r="G1375" s="4" t="s">
        <v>3190</v>
      </c>
      <c r="H1375" s="22">
        <v>0</v>
      </c>
      <c r="I1375" s="18">
        <v>710000000</v>
      </c>
      <c r="J1375" s="4" t="s">
        <v>1931</v>
      </c>
      <c r="K1375" s="4" t="s">
        <v>5706</v>
      </c>
      <c r="L1375" s="4" t="s">
        <v>1889</v>
      </c>
      <c r="M1375" s="8" t="s">
        <v>3195</v>
      </c>
      <c r="N1375" s="4" t="s">
        <v>1890</v>
      </c>
      <c r="O1375" s="8" t="s">
        <v>1935</v>
      </c>
      <c r="P1375" s="4">
        <v>881</v>
      </c>
      <c r="Q1375" s="4" t="s">
        <v>2746</v>
      </c>
      <c r="R1375" s="10">
        <v>3</v>
      </c>
      <c r="S1375" s="10">
        <v>28.67</v>
      </c>
      <c r="T1375" s="10">
        <v>0</v>
      </c>
      <c r="U1375" s="10">
        <f t="shared" ref="U1375" si="632">T1375*1.12</f>
        <v>0</v>
      </c>
      <c r="V1375" s="1"/>
      <c r="W1375" s="1">
        <v>2015</v>
      </c>
      <c r="X1375" s="4" t="s">
        <v>7597</v>
      </c>
    </row>
    <row r="1376" spans="1:24" s="23" customFormat="1" ht="76.5" customHeight="1" outlineLevel="1" x14ac:dyDescent="0.2">
      <c r="A1376" s="1" t="s">
        <v>8221</v>
      </c>
      <c r="B1376" s="16" t="s">
        <v>5277</v>
      </c>
      <c r="C1376" s="4" t="s">
        <v>2745</v>
      </c>
      <c r="D1376" s="4" t="s">
        <v>7120</v>
      </c>
      <c r="E1376" s="4" t="s">
        <v>7121</v>
      </c>
      <c r="F1376" s="7"/>
      <c r="G1376" s="4" t="s">
        <v>3190</v>
      </c>
      <c r="H1376" s="22">
        <v>0</v>
      </c>
      <c r="I1376" s="18">
        <v>710000000</v>
      </c>
      <c r="J1376" s="4" t="s">
        <v>1931</v>
      </c>
      <c r="K1376" s="4" t="s">
        <v>756</v>
      </c>
      <c r="L1376" s="4" t="s">
        <v>1889</v>
      </c>
      <c r="M1376" s="8" t="s">
        <v>3195</v>
      </c>
      <c r="N1376" s="4" t="s">
        <v>1890</v>
      </c>
      <c r="O1376" s="8" t="s">
        <v>1935</v>
      </c>
      <c r="P1376" s="4">
        <v>881</v>
      </c>
      <c r="Q1376" s="4" t="s">
        <v>2746</v>
      </c>
      <c r="R1376" s="10">
        <v>3</v>
      </c>
      <c r="S1376" s="10">
        <v>84.821399999999997</v>
      </c>
      <c r="T1376" s="10">
        <f t="shared" ref="T1376" si="633">S1376*R1376</f>
        <v>254.46420000000001</v>
      </c>
      <c r="U1376" s="10">
        <f t="shared" ref="U1376" si="634">T1376*1.12</f>
        <v>284.99990400000002</v>
      </c>
      <c r="V1376" s="1"/>
      <c r="W1376" s="1">
        <v>2015</v>
      </c>
      <c r="X1376" s="4"/>
    </row>
    <row r="1377" spans="1:24" s="23" customFormat="1" ht="76.5" customHeight="1" outlineLevel="1" x14ac:dyDescent="0.2">
      <c r="A1377" s="1" t="s">
        <v>5113</v>
      </c>
      <c r="B1377" s="24" t="s">
        <v>5277</v>
      </c>
      <c r="C1377" s="4" t="s">
        <v>2747</v>
      </c>
      <c r="D1377" s="4" t="s">
        <v>2748</v>
      </c>
      <c r="E1377" s="4" t="s">
        <v>5714</v>
      </c>
      <c r="F1377" s="7"/>
      <c r="G1377" s="4" t="s">
        <v>3190</v>
      </c>
      <c r="H1377" s="22">
        <v>0</v>
      </c>
      <c r="I1377" s="18">
        <v>710000000</v>
      </c>
      <c r="J1377" s="4" t="s">
        <v>1931</v>
      </c>
      <c r="K1377" s="4" t="s">
        <v>5706</v>
      </c>
      <c r="L1377" s="4" t="s">
        <v>1889</v>
      </c>
      <c r="M1377" s="8" t="s">
        <v>3195</v>
      </c>
      <c r="N1377" s="4" t="s">
        <v>1890</v>
      </c>
      <c r="O1377" s="8" t="s">
        <v>1935</v>
      </c>
      <c r="P1377" s="4">
        <v>872</v>
      </c>
      <c r="Q1377" s="4" t="s">
        <v>3139</v>
      </c>
      <c r="R1377" s="34">
        <v>1</v>
      </c>
      <c r="S1377" s="10">
        <v>1339</v>
      </c>
      <c r="T1377" s="10">
        <v>0</v>
      </c>
      <c r="U1377" s="10">
        <f t="shared" si="523"/>
        <v>0</v>
      </c>
      <c r="V1377" s="11"/>
      <c r="W1377" s="11">
        <v>2015</v>
      </c>
      <c r="X1377" s="4" t="s">
        <v>7071</v>
      </c>
    </row>
    <row r="1378" spans="1:24" s="23" customFormat="1" ht="76.5" customHeight="1" outlineLevel="1" x14ac:dyDescent="0.2">
      <c r="A1378" s="1" t="s">
        <v>7123</v>
      </c>
      <c r="B1378" s="16" t="s">
        <v>5277</v>
      </c>
      <c r="C1378" s="4" t="s">
        <v>7126</v>
      </c>
      <c r="D1378" s="4" t="s">
        <v>7124</v>
      </c>
      <c r="E1378" s="4" t="s">
        <v>7125</v>
      </c>
      <c r="F1378" s="7"/>
      <c r="G1378" s="4" t="s">
        <v>3190</v>
      </c>
      <c r="H1378" s="22">
        <v>0</v>
      </c>
      <c r="I1378" s="18">
        <v>710000000</v>
      </c>
      <c r="J1378" s="4" t="s">
        <v>1931</v>
      </c>
      <c r="K1378" s="4" t="s">
        <v>5706</v>
      </c>
      <c r="L1378" s="4" t="s">
        <v>1889</v>
      </c>
      <c r="M1378" s="8" t="s">
        <v>3195</v>
      </c>
      <c r="N1378" s="4" t="s">
        <v>1890</v>
      </c>
      <c r="O1378" s="8" t="s">
        <v>1935</v>
      </c>
      <c r="P1378" s="4">
        <v>872</v>
      </c>
      <c r="Q1378" s="4" t="s">
        <v>3139</v>
      </c>
      <c r="R1378" s="10">
        <v>1</v>
      </c>
      <c r="S1378" s="10">
        <v>1339</v>
      </c>
      <c r="T1378" s="10">
        <v>0</v>
      </c>
      <c r="U1378" s="10">
        <f t="shared" ref="U1378" si="635">T1378*1.12</f>
        <v>0</v>
      </c>
      <c r="V1378" s="1"/>
      <c r="W1378" s="1">
        <v>2015</v>
      </c>
      <c r="X1378" s="4" t="s">
        <v>7597</v>
      </c>
    </row>
    <row r="1379" spans="1:24" s="23" customFormat="1" ht="76.5" customHeight="1" outlineLevel="1" x14ac:dyDescent="0.2">
      <c r="A1379" s="1" t="s">
        <v>8222</v>
      </c>
      <c r="B1379" s="16" t="s">
        <v>5277</v>
      </c>
      <c r="C1379" s="4" t="s">
        <v>7126</v>
      </c>
      <c r="D1379" s="4" t="s">
        <v>7124</v>
      </c>
      <c r="E1379" s="4" t="s">
        <v>7125</v>
      </c>
      <c r="F1379" s="7"/>
      <c r="G1379" s="4" t="s">
        <v>3190</v>
      </c>
      <c r="H1379" s="22">
        <v>0</v>
      </c>
      <c r="I1379" s="18">
        <v>710000000</v>
      </c>
      <c r="J1379" s="4" t="s">
        <v>1931</v>
      </c>
      <c r="K1379" s="4" t="s">
        <v>756</v>
      </c>
      <c r="L1379" s="4" t="s">
        <v>1889</v>
      </c>
      <c r="M1379" s="8" t="s">
        <v>3195</v>
      </c>
      <c r="N1379" s="4" t="s">
        <v>1890</v>
      </c>
      <c r="O1379" s="8" t="s">
        <v>1935</v>
      </c>
      <c r="P1379" s="4">
        <v>872</v>
      </c>
      <c r="Q1379" s="4" t="s">
        <v>3139</v>
      </c>
      <c r="R1379" s="10">
        <v>1</v>
      </c>
      <c r="S1379" s="10">
        <v>1561.6070999999999</v>
      </c>
      <c r="T1379" s="10">
        <f t="shared" ref="T1379" si="636">S1379*R1379</f>
        <v>1561.6070999999999</v>
      </c>
      <c r="U1379" s="10">
        <f t="shared" ref="U1379" si="637">T1379*1.12</f>
        <v>1748.9999520000001</v>
      </c>
      <c r="V1379" s="1"/>
      <c r="W1379" s="1">
        <v>2015</v>
      </c>
      <c r="X1379" s="4"/>
    </row>
    <row r="1380" spans="1:24" s="23" customFormat="1" ht="76.5" customHeight="1" outlineLevel="1" x14ac:dyDescent="0.2">
      <c r="A1380" s="1" t="s">
        <v>5114</v>
      </c>
      <c r="B1380" s="24" t="s">
        <v>5277</v>
      </c>
      <c r="C1380" s="4" t="s">
        <v>2749</v>
      </c>
      <c r="D1380" s="4" t="s">
        <v>2750</v>
      </c>
      <c r="E1380" s="4" t="s">
        <v>5715</v>
      </c>
      <c r="F1380" s="7"/>
      <c r="G1380" s="4" t="s">
        <v>3190</v>
      </c>
      <c r="H1380" s="22">
        <v>0</v>
      </c>
      <c r="I1380" s="18">
        <v>710000000</v>
      </c>
      <c r="J1380" s="4" t="s">
        <v>1931</v>
      </c>
      <c r="K1380" s="4" t="s">
        <v>5706</v>
      </c>
      <c r="L1380" s="4" t="s">
        <v>1889</v>
      </c>
      <c r="M1380" s="8" t="s">
        <v>3195</v>
      </c>
      <c r="N1380" s="4" t="s">
        <v>1890</v>
      </c>
      <c r="O1380" s="8" t="s">
        <v>1935</v>
      </c>
      <c r="P1380" s="4">
        <v>778</v>
      </c>
      <c r="Q1380" s="4" t="s">
        <v>3327</v>
      </c>
      <c r="R1380" s="34">
        <v>10</v>
      </c>
      <c r="S1380" s="10">
        <v>200</v>
      </c>
      <c r="T1380" s="10">
        <v>0</v>
      </c>
      <c r="U1380" s="10">
        <f t="shared" ref="U1380:U1561" si="638">T1380*1.12</f>
        <v>0</v>
      </c>
      <c r="V1380" s="11"/>
      <c r="W1380" s="11">
        <v>2015</v>
      </c>
      <c r="X1380" s="4" t="s">
        <v>7071</v>
      </c>
    </row>
    <row r="1381" spans="1:24" s="23" customFormat="1" ht="76.5" customHeight="1" outlineLevel="1" x14ac:dyDescent="0.2">
      <c r="A1381" s="1" t="s">
        <v>7127</v>
      </c>
      <c r="B1381" s="16" t="s">
        <v>5277</v>
      </c>
      <c r="C1381" s="4" t="s">
        <v>7129</v>
      </c>
      <c r="D1381" s="4" t="s">
        <v>7128</v>
      </c>
      <c r="E1381" s="4" t="s">
        <v>7010</v>
      </c>
      <c r="F1381" s="7"/>
      <c r="G1381" s="4" t="s">
        <v>3190</v>
      </c>
      <c r="H1381" s="22">
        <v>0</v>
      </c>
      <c r="I1381" s="18">
        <v>710000000</v>
      </c>
      <c r="J1381" s="4" t="s">
        <v>1931</v>
      </c>
      <c r="K1381" s="4" t="s">
        <v>5706</v>
      </c>
      <c r="L1381" s="4" t="s">
        <v>1889</v>
      </c>
      <c r="M1381" s="8" t="s">
        <v>3195</v>
      </c>
      <c r="N1381" s="4" t="s">
        <v>1890</v>
      </c>
      <c r="O1381" s="8" t="s">
        <v>1935</v>
      </c>
      <c r="P1381" s="4">
        <v>778</v>
      </c>
      <c r="Q1381" s="4" t="s">
        <v>3327</v>
      </c>
      <c r="R1381" s="10">
        <v>10</v>
      </c>
      <c r="S1381" s="10">
        <v>200</v>
      </c>
      <c r="T1381" s="10">
        <v>0</v>
      </c>
      <c r="U1381" s="10">
        <f t="shared" ref="U1381" si="639">T1381*1.12</f>
        <v>0</v>
      </c>
      <c r="V1381" s="1"/>
      <c r="W1381" s="1">
        <v>2015</v>
      </c>
      <c r="X1381" s="4" t="s">
        <v>7597</v>
      </c>
    </row>
    <row r="1382" spans="1:24" s="23" customFormat="1" ht="76.5" customHeight="1" outlineLevel="1" x14ac:dyDescent="0.2">
      <c r="A1382" s="1" t="s">
        <v>8223</v>
      </c>
      <c r="B1382" s="16" t="s">
        <v>5277</v>
      </c>
      <c r="C1382" s="4" t="s">
        <v>7129</v>
      </c>
      <c r="D1382" s="4" t="s">
        <v>7128</v>
      </c>
      <c r="E1382" s="4" t="s">
        <v>7010</v>
      </c>
      <c r="F1382" s="7"/>
      <c r="G1382" s="4" t="s">
        <v>3190</v>
      </c>
      <c r="H1382" s="22">
        <v>0</v>
      </c>
      <c r="I1382" s="18">
        <v>710000000</v>
      </c>
      <c r="J1382" s="4" t="s">
        <v>1931</v>
      </c>
      <c r="K1382" s="4" t="s">
        <v>756</v>
      </c>
      <c r="L1382" s="4" t="s">
        <v>1889</v>
      </c>
      <c r="M1382" s="8" t="s">
        <v>3195</v>
      </c>
      <c r="N1382" s="4" t="s">
        <v>1890</v>
      </c>
      <c r="O1382" s="8" t="s">
        <v>1935</v>
      </c>
      <c r="P1382" s="4">
        <v>778</v>
      </c>
      <c r="Q1382" s="4" t="s">
        <v>3327</v>
      </c>
      <c r="R1382" s="10">
        <v>10</v>
      </c>
      <c r="S1382" s="10">
        <v>177.67850000000001</v>
      </c>
      <c r="T1382" s="10">
        <f t="shared" ref="T1382" si="640">S1382*R1382</f>
        <v>1776.7850000000001</v>
      </c>
      <c r="U1382" s="10">
        <f t="shared" ref="U1382" si="641">T1382*1.12</f>
        <v>1989.9992000000002</v>
      </c>
      <c r="V1382" s="1"/>
      <c r="W1382" s="1">
        <v>2015</v>
      </c>
      <c r="X1382" s="4"/>
    </row>
    <row r="1383" spans="1:24" s="23" customFormat="1" ht="76.5" customHeight="1" outlineLevel="1" x14ac:dyDescent="0.2">
      <c r="A1383" s="1" t="s">
        <v>2369</v>
      </c>
      <c r="B1383" s="24" t="s">
        <v>5277</v>
      </c>
      <c r="C1383" s="4" t="s">
        <v>2751</v>
      </c>
      <c r="D1383" s="4" t="s">
        <v>3160</v>
      </c>
      <c r="E1383" s="4" t="s">
        <v>7028</v>
      </c>
      <c r="F1383" s="7"/>
      <c r="G1383" s="4" t="s">
        <v>3190</v>
      </c>
      <c r="H1383" s="22">
        <v>0</v>
      </c>
      <c r="I1383" s="18">
        <v>710000000</v>
      </c>
      <c r="J1383" s="4" t="s">
        <v>1931</v>
      </c>
      <c r="K1383" s="4" t="s">
        <v>5706</v>
      </c>
      <c r="L1383" s="4" t="s">
        <v>1889</v>
      </c>
      <c r="M1383" s="8" t="s">
        <v>3195</v>
      </c>
      <c r="N1383" s="4" t="s">
        <v>1890</v>
      </c>
      <c r="O1383" s="8" t="s">
        <v>1935</v>
      </c>
      <c r="P1383" s="4">
        <v>872</v>
      </c>
      <c r="Q1383" s="4" t="s">
        <v>3139</v>
      </c>
      <c r="R1383" s="34">
        <v>15</v>
      </c>
      <c r="S1383" s="10">
        <v>17.87</v>
      </c>
      <c r="T1383" s="10">
        <v>0</v>
      </c>
      <c r="U1383" s="10">
        <f t="shared" si="638"/>
        <v>0</v>
      </c>
      <c r="V1383" s="11"/>
      <c r="W1383" s="11">
        <v>2015</v>
      </c>
      <c r="X1383" s="8">
        <v>5</v>
      </c>
    </row>
    <row r="1384" spans="1:24" s="23" customFormat="1" ht="76.5" customHeight="1" outlineLevel="1" x14ac:dyDescent="0.2">
      <c r="A1384" s="1" t="s">
        <v>7095</v>
      </c>
      <c r="B1384" s="16" t="s">
        <v>5277</v>
      </c>
      <c r="C1384" s="4" t="s">
        <v>2751</v>
      </c>
      <c r="D1384" s="4" t="s">
        <v>3160</v>
      </c>
      <c r="E1384" s="4" t="s">
        <v>7028</v>
      </c>
      <c r="F1384" s="7"/>
      <c r="G1384" s="4" t="s">
        <v>3190</v>
      </c>
      <c r="H1384" s="22">
        <v>0</v>
      </c>
      <c r="I1384" s="18">
        <v>710000000</v>
      </c>
      <c r="J1384" s="4" t="s">
        <v>1931</v>
      </c>
      <c r="K1384" s="4" t="s">
        <v>5706</v>
      </c>
      <c r="L1384" s="4" t="s">
        <v>1889</v>
      </c>
      <c r="M1384" s="8" t="s">
        <v>3195</v>
      </c>
      <c r="N1384" s="4" t="s">
        <v>1890</v>
      </c>
      <c r="O1384" s="8" t="s">
        <v>1935</v>
      </c>
      <c r="P1384" s="4">
        <v>872</v>
      </c>
      <c r="Q1384" s="4" t="s">
        <v>3139</v>
      </c>
      <c r="R1384" s="10">
        <v>15</v>
      </c>
      <c r="S1384" s="10">
        <v>17.87</v>
      </c>
      <c r="T1384" s="10">
        <v>0</v>
      </c>
      <c r="U1384" s="10">
        <f t="shared" ref="U1384" si="642">T1384*1.12</f>
        <v>0</v>
      </c>
      <c r="V1384" s="1"/>
      <c r="W1384" s="1">
        <v>2015</v>
      </c>
      <c r="X1384" s="4" t="s">
        <v>7597</v>
      </c>
    </row>
    <row r="1385" spans="1:24" s="23" customFormat="1" ht="76.5" customHeight="1" outlineLevel="1" x14ac:dyDescent="0.2">
      <c r="A1385" s="1" t="s">
        <v>8224</v>
      </c>
      <c r="B1385" s="16" t="s">
        <v>5277</v>
      </c>
      <c r="C1385" s="4" t="s">
        <v>2751</v>
      </c>
      <c r="D1385" s="4" t="s">
        <v>3160</v>
      </c>
      <c r="E1385" s="4" t="s">
        <v>7028</v>
      </c>
      <c r="F1385" s="7"/>
      <c r="G1385" s="4" t="s">
        <v>3190</v>
      </c>
      <c r="H1385" s="22">
        <v>0</v>
      </c>
      <c r="I1385" s="18">
        <v>710000000</v>
      </c>
      <c r="J1385" s="4" t="s">
        <v>1931</v>
      </c>
      <c r="K1385" s="4" t="s">
        <v>756</v>
      </c>
      <c r="L1385" s="4" t="s">
        <v>1889</v>
      </c>
      <c r="M1385" s="8" t="s">
        <v>3195</v>
      </c>
      <c r="N1385" s="4" t="s">
        <v>1890</v>
      </c>
      <c r="O1385" s="8" t="s">
        <v>1935</v>
      </c>
      <c r="P1385" s="4">
        <v>872</v>
      </c>
      <c r="Q1385" s="4" t="s">
        <v>3139</v>
      </c>
      <c r="R1385" s="10">
        <v>15</v>
      </c>
      <c r="S1385" s="10">
        <v>19.642800000000001</v>
      </c>
      <c r="T1385" s="10">
        <f t="shared" ref="T1385" si="643">S1385*R1385</f>
        <v>294.642</v>
      </c>
      <c r="U1385" s="10">
        <f t="shared" ref="U1385" si="644">T1385*1.12</f>
        <v>329.99904000000004</v>
      </c>
      <c r="V1385" s="1"/>
      <c r="W1385" s="1">
        <v>2015</v>
      </c>
      <c r="X1385" s="8"/>
    </row>
    <row r="1386" spans="1:24" s="23" customFormat="1" ht="76.5" customHeight="1" outlineLevel="1" x14ac:dyDescent="0.2">
      <c r="A1386" s="1" t="s">
        <v>2370</v>
      </c>
      <c r="B1386" s="24" t="s">
        <v>5277</v>
      </c>
      <c r="C1386" s="4" t="s">
        <v>1590</v>
      </c>
      <c r="D1386" s="4" t="s">
        <v>1591</v>
      </c>
      <c r="E1386" s="4" t="s">
        <v>7028</v>
      </c>
      <c r="F1386" s="7"/>
      <c r="G1386" s="4" t="s">
        <v>3190</v>
      </c>
      <c r="H1386" s="22">
        <v>0</v>
      </c>
      <c r="I1386" s="18">
        <v>710000000</v>
      </c>
      <c r="J1386" s="4" t="s">
        <v>1931</v>
      </c>
      <c r="K1386" s="4" t="s">
        <v>5706</v>
      </c>
      <c r="L1386" s="4" t="s">
        <v>1889</v>
      </c>
      <c r="M1386" s="8" t="s">
        <v>3195</v>
      </c>
      <c r="N1386" s="4" t="s">
        <v>1890</v>
      </c>
      <c r="O1386" s="8" t="s">
        <v>1935</v>
      </c>
      <c r="P1386" s="4">
        <v>778</v>
      </c>
      <c r="Q1386" s="4" t="s">
        <v>3327</v>
      </c>
      <c r="R1386" s="34">
        <v>50</v>
      </c>
      <c r="S1386" s="10">
        <v>38.22</v>
      </c>
      <c r="T1386" s="10">
        <v>0</v>
      </c>
      <c r="U1386" s="10">
        <f t="shared" si="638"/>
        <v>0</v>
      </c>
      <c r="V1386" s="11"/>
      <c r="W1386" s="11">
        <v>2015</v>
      </c>
      <c r="X1386" s="8">
        <v>5</v>
      </c>
    </row>
    <row r="1387" spans="1:24" s="23" customFormat="1" ht="76.5" customHeight="1" outlineLevel="1" x14ac:dyDescent="0.2">
      <c r="A1387" s="1" t="s">
        <v>7096</v>
      </c>
      <c r="B1387" s="24" t="s">
        <v>5277</v>
      </c>
      <c r="C1387" s="4" t="s">
        <v>1590</v>
      </c>
      <c r="D1387" s="4" t="s">
        <v>1591</v>
      </c>
      <c r="E1387" s="4" t="s">
        <v>7028</v>
      </c>
      <c r="F1387" s="7"/>
      <c r="G1387" s="4" t="s">
        <v>3190</v>
      </c>
      <c r="H1387" s="22">
        <v>0</v>
      </c>
      <c r="I1387" s="18">
        <v>710000000</v>
      </c>
      <c r="J1387" s="4" t="s">
        <v>1931</v>
      </c>
      <c r="K1387" s="4" t="s">
        <v>5706</v>
      </c>
      <c r="L1387" s="4" t="s">
        <v>1889</v>
      </c>
      <c r="M1387" s="8" t="s">
        <v>3195</v>
      </c>
      <c r="N1387" s="4" t="s">
        <v>1890</v>
      </c>
      <c r="O1387" s="8" t="s">
        <v>1935</v>
      </c>
      <c r="P1387" s="4">
        <v>778</v>
      </c>
      <c r="Q1387" s="4" t="s">
        <v>3327</v>
      </c>
      <c r="R1387" s="34">
        <v>50</v>
      </c>
      <c r="S1387" s="10">
        <v>38.22</v>
      </c>
      <c r="T1387" s="10">
        <f t="shared" ref="T1387" si="645">S1387*R1387</f>
        <v>1911</v>
      </c>
      <c r="U1387" s="10">
        <f t="shared" ref="U1387" si="646">T1387*1.12</f>
        <v>2140.3200000000002</v>
      </c>
      <c r="V1387" s="11"/>
      <c r="W1387" s="11">
        <v>2015</v>
      </c>
      <c r="X1387" s="8"/>
    </row>
    <row r="1388" spans="1:24" s="23" customFormat="1" ht="76.5" customHeight="1" outlineLevel="1" x14ac:dyDescent="0.2">
      <c r="A1388" s="1" t="s">
        <v>2371</v>
      </c>
      <c r="B1388" s="24" t="s">
        <v>5277</v>
      </c>
      <c r="C1388" s="4" t="s">
        <v>1592</v>
      </c>
      <c r="D1388" s="4" t="s">
        <v>5145</v>
      </c>
      <c r="E1388" s="4" t="s">
        <v>1593</v>
      </c>
      <c r="F1388" s="7" t="s">
        <v>1594</v>
      </c>
      <c r="G1388" s="4" t="s">
        <v>3190</v>
      </c>
      <c r="H1388" s="22">
        <v>0</v>
      </c>
      <c r="I1388" s="18">
        <v>710000000</v>
      </c>
      <c r="J1388" s="4" t="s">
        <v>1931</v>
      </c>
      <c r="K1388" s="4" t="s">
        <v>5706</v>
      </c>
      <c r="L1388" s="4" t="s">
        <v>1889</v>
      </c>
      <c r="M1388" s="8" t="s">
        <v>3195</v>
      </c>
      <c r="N1388" s="4" t="s">
        <v>1890</v>
      </c>
      <c r="O1388" s="8" t="s">
        <v>1935</v>
      </c>
      <c r="P1388" s="4">
        <v>778</v>
      </c>
      <c r="Q1388" s="4" t="s">
        <v>3327</v>
      </c>
      <c r="R1388" s="34">
        <v>25</v>
      </c>
      <c r="S1388" s="10">
        <v>35.72</v>
      </c>
      <c r="T1388" s="10">
        <v>0</v>
      </c>
      <c r="U1388" s="10">
        <f t="shared" si="638"/>
        <v>0</v>
      </c>
      <c r="V1388" s="11"/>
      <c r="W1388" s="11">
        <v>2015</v>
      </c>
      <c r="X1388" s="8">
        <v>3.5</v>
      </c>
    </row>
    <row r="1389" spans="1:24" s="23" customFormat="1" ht="76.5" customHeight="1" outlineLevel="1" x14ac:dyDescent="0.2">
      <c r="A1389" s="1" t="s">
        <v>7254</v>
      </c>
      <c r="B1389" s="16" t="s">
        <v>5277</v>
      </c>
      <c r="C1389" s="4" t="s">
        <v>7262</v>
      </c>
      <c r="D1389" s="4" t="s">
        <v>5145</v>
      </c>
      <c r="E1389" s="4" t="s">
        <v>7045</v>
      </c>
      <c r="F1389" s="7" t="s">
        <v>1594</v>
      </c>
      <c r="G1389" s="4" t="s">
        <v>3190</v>
      </c>
      <c r="H1389" s="22">
        <v>0</v>
      </c>
      <c r="I1389" s="18">
        <v>710000000</v>
      </c>
      <c r="J1389" s="4" t="s">
        <v>1931</v>
      </c>
      <c r="K1389" s="4" t="s">
        <v>5706</v>
      </c>
      <c r="L1389" s="4" t="s">
        <v>1889</v>
      </c>
      <c r="M1389" s="8" t="s">
        <v>3195</v>
      </c>
      <c r="N1389" s="4" t="s">
        <v>1890</v>
      </c>
      <c r="O1389" s="8" t="s">
        <v>1935</v>
      </c>
      <c r="P1389" s="4">
        <v>778</v>
      </c>
      <c r="Q1389" s="4" t="s">
        <v>3327</v>
      </c>
      <c r="R1389" s="10">
        <v>25</v>
      </c>
      <c r="S1389" s="10">
        <v>35.72</v>
      </c>
      <c r="T1389" s="10">
        <v>0</v>
      </c>
      <c r="U1389" s="10">
        <f t="shared" ref="U1389" si="647">T1389*1.12</f>
        <v>0</v>
      </c>
      <c r="V1389" s="1"/>
      <c r="W1389" s="1">
        <v>2015</v>
      </c>
      <c r="X1389" s="4" t="s">
        <v>7597</v>
      </c>
    </row>
    <row r="1390" spans="1:24" s="23" customFormat="1" ht="76.5" customHeight="1" outlineLevel="1" x14ac:dyDescent="0.2">
      <c r="A1390" s="1" t="s">
        <v>8225</v>
      </c>
      <c r="B1390" s="16" t="s">
        <v>5277</v>
      </c>
      <c r="C1390" s="4" t="s">
        <v>7262</v>
      </c>
      <c r="D1390" s="4" t="s">
        <v>5145</v>
      </c>
      <c r="E1390" s="4" t="s">
        <v>7045</v>
      </c>
      <c r="F1390" s="7" t="s">
        <v>1594</v>
      </c>
      <c r="G1390" s="4" t="s">
        <v>3190</v>
      </c>
      <c r="H1390" s="22">
        <v>0</v>
      </c>
      <c r="I1390" s="18">
        <v>710000000</v>
      </c>
      <c r="J1390" s="4" t="s">
        <v>1931</v>
      </c>
      <c r="K1390" s="4" t="s">
        <v>756</v>
      </c>
      <c r="L1390" s="4" t="s">
        <v>1889</v>
      </c>
      <c r="M1390" s="8" t="s">
        <v>3195</v>
      </c>
      <c r="N1390" s="4" t="s">
        <v>1890</v>
      </c>
      <c r="O1390" s="8" t="s">
        <v>1935</v>
      </c>
      <c r="P1390" s="4">
        <v>778</v>
      </c>
      <c r="Q1390" s="4" t="s">
        <v>3327</v>
      </c>
      <c r="R1390" s="10">
        <v>25</v>
      </c>
      <c r="S1390" s="10">
        <v>35.714199999999998</v>
      </c>
      <c r="T1390" s="10">
        <f t="shared" ref="T1390" si="648">S1390*R1390</f>
        <v>892.8549999999999</v>
      </c>
      <c r="U1390" s="10">
        <f t="shared" ref="U1390" si="649">T1390*1.12</f>
        <v>999.99760000000003</v>
      </c>
      <c r="V1390" s="1"/>
      <c r="W1390" s="1">
        <v>2015</v>
      </c>
      <c r="X1390" s="8"/>
    </row>
    <row r="1391" spans="1:24" s="23" customFormat="1" ht="76.5" customHeight="1" outlineLevel="1" x14ac:dyDescent="0.2">
      <c r="A1391" s="1" t="s">
        <v>2372</v>
      </c>
      <c r="B1391" s="24" t="s">
        <v>5277</v>
      </c>
      <c r="C1391" s="4" t="s">
        <v>3161</v>
      </c>
      <c r="D1391" s="4" t="s">
        <v>7088</v>
      </c>
      <c r="E1391" s="4" t="s">
        <v>7010</v>
      </c>
      <c r="F1391" s="7"/>
      <c r="G1391" s="4" t="s">
        <v>3190</v>
      </c>
      <c r="H1391" s="22">
        <v>0</v>
      </c>
      <c r="I1391" s="18">
        <v>710000000</v>
      </c>
      <c r="J1391" s="4" t="s">
        <v>1931</v>
      </c>
      <c r="K1391" s="4" t="s">
        <v>5706</v>
      </c>
      <c r="L1391" s="4" t="s">
        <v>1889</v>
      </c>
      <c r="M1391" s="8" t="s">
        <v>3195</v>
      </c>
      <c r="N1391" s="4" t="s">
        <v>1890</v>
      </c>
      <c r="O1391" s="8" t="s">
        <v>1935</v>
      </c>
      <c r="P1391" s="4">
        <v>778</v>
      </c>
      <c r="Q1391" s="4" t="s">
        <v>3327</v>
      </c>
      <c r="R1391" s="34">
        <v>10</v>
      </c>
      <c r="S1391" s="10">
        <v>32.1</v>
      </c>
      <c r="T1391" s="10">
        <v>0</v>
      </c>
      <c r="U1391" s="10">
        <f t="shared" si="638"/>
        <v>0</v>
      </c>
      <c r="V1391" s="11"/>
      <c r="W1391" s="11">
        <v>2015</v>
      </c>
      <c r="X1391" s="8">
        <v>4.5</v>
      </c>
    </row>
    <row r="1392" spans="1:24" s="23" customFormat="1" ht="76.5" customHeight="1" outlineLevel="1" x14ac:dyDescent="0.2">
      <c r="A1392" s="1" t="s">
        <v>7089</v>
      </c>
      <c r="B1392" s="16" t="s">
        <v>5277</v>
      </c>
      <c r="C1392" s="4" t="s">
        <v>3161</v>
      </c>
      <c r="D1392" s="4" t="s">
        <v>7088</v>
      </c>
      <c r="E1392" s="4" t="s">
        <v>7010</v>
      </c>
      <c r="F1392" s="7"/>
      <c r="G1392" s="4" t="s">
        <v>3190</v>
      </c>
      <c r="H1392" s="22">
        <v>0</v>
      </c>
      <c r="I1392" s="18">
        <v>710000000</v>
      </c>
      <c r="J1392" s="4" t="s">
        <v>1931</v>
      </c>
      <c r="K1392" s="4" t="s">
        <v>5706</v>
      </c>
      <c r="L1392" s="4" t="s">
        <v>1889</v>
      </c>
      <c r="M1392" s="8" t="s">
        <v>3195</v>
      </c>
      <c r="N1392" s="4" t="s">
        <v>1890</v>
      </c>
      <c r="O1392" s="8" t="s">
        <v>1935</v>
      </c>
      <c r="P1392" s="4">
        <v>778</v>
      </c>
      <c r="Q1392" s="4" t="s">
        <v>3327</v>
      </c>
      <c r="R1392" s="10">
        <v>10</v>
      </c>
      <c r="S1392" s="10">
        <v>32.1</v>
      </c>
      <c r="T1392" s="10">
        <v>0</v>
      </c>
      <c r="U1392" s="10">
        <f t="shared" ref="U1392" si="650">T1392*1.12</f>
        <v>0</v>
      </c>
      <c r="V1392" s="1"/>
      <c r="W1392" s="1">
        <v>2015</v>
      </c>
      <c r="X1392" s="4" t="s">
        <v>7597</v>
      </c>
    </row>
    <row r="1393" spans="1:24" s="23" customFormat="1" ht="76.5" customHeight="1" outlineLevel="1" x14ac:dyDescent="0.2">
      <c r="A1393" s="1" t="s">
        <v>8226</v>
      </c>
      <c r="B1393" s="16" t="s">
        <v>5277</v>
      </c>
      <c r="C1393" s="4" t="s">
        <v>3161</v>
      </c>
      <c r="D1393" s="4" t="s">
        <v>7088</v>
      </c>
      <c r="E1393" s="4" t="s">
        <v>7010</v>
      </c>
      <c r="F1393" s="7"/>
      <c r="G1393" s="4" t="s">
        <v>3190</v>
      </c>
      <c r="H1393" s="22">
        <v>0</v>
      </c>
      <c r="I1393" s="18">
        <v>710000000</v>
      </c>
      <c r="J1393" s="4" t="s">
        <v>1931</v>
      </c>
      <c r="K1393" s="4" t="s">
        <v>756</v>
      </c>
      <c r="L1393" s="4" t="s">
        <v>1889</v>
      </c>
      <c r="M1393" s="8" t="s">
        <v>3195</v>
      </c>
      <c r="N1393" s="4" t="s">
        <v>1890</v>
      </c>
      <c r="O1393" s="8" t="s">
        <v>1935</v>
      </c>
      <c r="P1393" s="4">
        <v>778</v>
      </c>
      <c r="Q1393" s="4" t="s">
        <v>3327</v>
      </c>
      <c r="R1393" s="10">
        <v>10</v>
      </c>
      <c r="S1393" s="10">
        <v>28.571400000000001</v>
      </c>
      <c r="T1393" s="10">
        <f t="shared" ref="T1393" si="651">S1393*R1393</f>
        <v>285.714</v>
      </c>
      <c r="U1393" s="10">
        <f t="shared" ref="U1393" si="652">T1393*1.12</f>
        <v>319.99968000000001</v>
      </c>
      <c r="V1393" s="1"/>
      <c r="W1393" s="1">
        <v>2015</v>
      </c>
      <c r="X1393" s="8"/>
    </row>
    <row r="1394" spans="1:24" s="23" customFormat="1" ht="76.5" customHeight="1" outlineLevel="1" x14ac:dyDescent="0.2">
      <c r="A1394" s="1" t="s">
        <v>2373</v>
      </c>
      <c r="B1394" s="24" t="s">
        <v>5277</v>
      </c>
      <c r="C1394" s="4" t="s">
        <v>3162</v>
      </c>
      <c r="D1394" s="4" t="s">
        <v>7091</v>
      </c>
      <c r="E1394" s="4" t="s">
        <v>7028</v>
      </c>
      <c r="F1394" s="7"/>
      <c r="G1394" s="4" t="s">
        <v>3190</v>
      </c>
      <c r="H1394" s="22">
        <v>0</v>
      </c>
      <c r="I1394" s="18">
        <v>710000000</v>
      </c>
      <c r="J1394" s="4" t="s">
        <v>1931</v>
      </c>
      <c r="K1394" s="4" t="s">
        <v>5706</v>
      </c>
      <c r="L1394" s="4" t="s">
        <v>1889</v>
      </c>
      <c r="M1394" s="8" t="s">
        <v>3195</v>
      </c>
      <c r="N1394" s="4" t="s">
        <v>1890</v>
      </c>
      <c r="O1394" s="8" t="s">
        <v>1935</v>
      </c>
      <c r="P1394" s="4">
        <v>872</v>
      </c>
      <c r="Q1394" s="4" t="s">
        <v>3139</v>
      </c>
      <c r="R1394" s="34">
        <v>5</v>
      </c>
      <c r="S1394" s="10">
        <v>438.4</v>
      </c>
      <c r="T1394" s="10">
        <v>0</v>
      </c>
      <c r="U1394" s="10">
        <f t="shared" si="638"/>
        <v>0</v>
      </c>
      <c r="V1394" s="11"/>
      <c r="W1394" s="11">
        <v>2015</v>
      </c>
      <c r="X1394" s="8">
        <v>4.5</v>
      </c>
    </row>
    <row r="1395" spans="1:24" s="23" customFormat="1" ht="76.5" customHeight="1" outlineLevel="1" x14ac:dyDescent="0.2">
      <c r="A1395" s="1" t="s">
        <v>7090</v>
      </c>
      <c r="B1395" s="16" t="s">
        <v>5277</v>
      </c>
      <c r="C1395" s="4" t="s">
        <v>3162</v>
      </c>
      <c r="D1395" s="4" t="s">
        <v>7091</v>
      </c>
      <c r="E1395" s="4" t="s">
        <v>7028</v>
      </c>
      <c r="F1395" s="7"/>
      <c r="G1395" s="4" t="s">
        <v>3190</v>
      </c>
      <c r="H1395" s="22">
        <v>0</v>
      </c>
      <c r="I1395" s="18">
        <v>710000000</v>
      </c>
      <c r="J1395" s="4" t="s">
        <v>1931</v>
      </c>
      <c r="K1395" s="4" t="s">
        <v>5706</v>
      </c>
      <c r="L1395" s="4" t="s">
        <v>1889</v>
      </c>
      <c r="M1395" s="8" t="s">
        <v>3195</v>
      </c>
      <c r="N1395" s="4" t="s">
        <v>1890</v>
      </c>
      <c r="O1395" s="8" t="s">
        <v>1935</v>
      </c>
      <c r="P1395" s="4">
        <v>872</v>
      </c>
      <c r="Q1395" s="4" t="s">
        <v>3139</v>
      </c>
      <c r="R1395" s="10">
        <v>5</v>
      </c>
      <c r="S1395" s="10">
        <v>438.4</v>
      </c>
      <c r="T1395" s="10">
        <v>0</v>
      </c>
      <c r="U1395" s="10">
        <f t="shared" ref="U1395" si="653">T1395*1.12</f>
        <v>0</v>
      </c>
      <c r="V1395" s="1"/>
      <c r="W1395" s="1">
        <v>2015</v>
      </c>
      <c r="X1395" s="8" t="s">
        <v>7597</v>
      </c>
    </row>
    <row r="1396" spans="1:24" s="23" customFormat="1" ht="76.5" customHeight="1" outlineLevel="1" x14ac:dyDescent="0.2">
      <c r="A1396" s="1" t="s">
        <v>8202</v>
      </c>
      <c r="B1396" s="16" t="s">
        <v>5277</v>
      </c>
      <c r="C1396" s="4" t="s">
        <v>3162</v>
      </c>
      <c r="D1396" s="4" t="s">
        <v>7091</v>
      </c>
      <c r="E1396" s="4" t="s">
        <v>7028</v>
      </c>
      <c r="F1396" s="7"/>
      <c r="G1396" s="4" t="s">
        <v>3190</v>
      </c>
      <c r="H1396" s="22">
        <v>0</v>
      </c>
      <c r="I1396" s="18">
        <v>710000000</v>
      </c>
      <c r="J1396" s="4" t="s">
        <v>1931</v>
      </c>
      <c r="K1396" s="4" t="s">
        <v>756</v>
      </c>
      <c r="L1396" s="4" t="s">
        <v>1889</v>
      </c>
      <c r="M1396" s="8" t="s">
        <v>3195</v>
      </c>
      <c r="N1396" s="4" t="s">
        <v>1890</v>
      </c>
      <c r="O1396" s="8" t="s">
        <v>1935</v>
      </c>
      <c r="P1396" s="4">
        <v>872</v>
      </c>
      <c r="Q1396" s="4" t="s">
        <v>3139</v>
      </c>
      <c r="R1396" s="10">
        <v>5</v>
      </c>
      <c r="S1396" s="10">
        <v>285.71420000000001</v>
      </c>
      <c r="T1396" s="10">
        <f t="shared" ref="T1396" si="654">S1396*R1396</f>
        <v>1428.5709999999999</v>
      </c>
      <c r="U1396" s="10">
        <f t="shared" ref="U1396" si="655">T1396*1.12</f>
        <v>1599.9995200000001</v>
      </c>
      <c r="V1396" s="1"/>
      <c r="W1396" s="1">
        <v>2015</v>
      </c>
      <c r="X1396" s="8"/>
    </row>
    <row r="1397" spans="1:24" s="23" customFormat="1" ht="76.5" customHeight="1" outlineLevel="1" x14ac:dyDescent="0.2">
      <c r="A1397" s="1" t="s">
        <v>2374</v>
      </c>
      <c r="B1397" s="16" t="s">
        <v>5277</v>
      </c>
      <c r="C1397" s="4" t="s">
        <v>1595</v>
      </c>
      <c r="D1397" s="4" t="s">
        <v>1596</v>
      </c>
      <c r="E1397" s="4" t="s">
        <v>7092</v>
      </c>
      <c r="F1397" s="7" t="s">
        <v>1597</v>
      </c>
      <c r="G1397" s="4" t="s">
        <v>3190</v>
      </c>
      <c r="H1397" s="22">
        <v>0</v>
      </c>
      <c r="I1397" s="18">
        <v>710000000</v>
      </c>
      <c r="J1397" s="4" t="s">
        <v>1931</v>
      </c>
      <c r="K1397" s="4" t="s">
        <v>5706</v>
      </c>
      <c r="L1397" s="4" t="s">
        <v>1889</v>
      </c>
      <c r="M1397" s="8" t="s">
        <v>3195</v>
      </c>
      <c r="N1397" s="4" t="s">
        <v>1890</v>
      </c>
      <c r="O1397" s="8" t="s">
        <v>1935</v>
      </c>
      <c r="P1397" s="4">
        <v>778</v>
      </c>
      <c r="Q1397" s="4" t="s">
        <v>3327</v>
      </c>
      <c r="R1397" s="10">
        <v>5</v>
      </c>
      <c r="S1397" s="10">
        <v>134</v>
      </c>
      <c r="T1397" s="10">
        <v>0</v>
      </c>
      <c r="U1397" s="10">
        <f t="shared" si="638"/>
        <v>0</v>
      </c>
      <c r="V1397" s="1"/>
      <c r="W1397" s="1">
        <v>2015</v>
      </c>
      <c r="X1397" s="8" t="s">
        <v>7597</v>
      </c>
    </row>
    <row r="1398" spans="1:24" s="23" customFormat="1" ht="76.5" customHeight="1" outlineLevel="1" x14ac:dyDescent="0.2">
      <c r="A1398" s="1" t="s">
        <v>8203</v>
      </c>
      <c r="B1398" s="16" t="s">
        <v>5277</v>
      </c>
      <c r="C1398" s="4" t="s">
        <v>1595</v>
      </c>
      <c r="D1398" s="4" t="s">
        <v>1596</v>
      </c>
      <c r="E1398" s="4" t="s">
        <v>7092</v>
      </c>
      <c r="F1398" s="7" t="s">
        <v>1597</v>
      </c>
      <c r="G1398" s="4" t="s">
        <v>3190</v>
      </c>
      <c r="H1398" s="22">
        <v>0</v>
      </c>
      <c r="I1398" s="18">
        <v>710000000</v>
      </c>
      <c r="J1398" s="4" t="s">
        <v>1931</v>
      </c>
      <c r="K1398" s="4" t="s">
        <v>756</v>
      </c>
      <c r="L1398" s="4" t="s">
        <v>1889</v>
      </c>
      <c r="M1398" s="8" t="s">
        <v>3195</v>
      </c>
      <c r="N1398" s="4" t="s">
        <v>1890</v>
      </c>
      <c r="O1398" s="8" t="s">
        <v>1935</v>
      </c>
      <c r="P1398" s="4">
        <v>778</v>
      </c>
      <c r="Q1398" s="4" t="s">
        <v>3327</v>
      </c>
      <c r="R1398" s="10">
        <v>5</v>
      </c>
      <c r="S1398" s="10">
        <v>58.035699999999999</v>
      </c>
      <c r="T1398" s="10">
        <f t="shared" ref="T1398" si="656">S1398*R1398</f>
        <v>290.17849999999999</v>
      </c>
      <c r="U1398" s="10">
        <f t="shared" ref="U1398" si="657">T1398*1.12</f>
        <v>324.99992000000003</v>
      </c>
      <c r="V1398" s="1"/>
      <c r="W1398" s="1">
        <v>2015</v>
      </c>
      <c r="X1398" s="8"/>
    </row>
    <row r="1399" spans="1:24" s="23" customFormat="1" ht="76.5" customHeight="1" outlineLevel="1" x14ac:dyDescent="0.2">
      <c r="A1399" s="1" t="s">
        <v>2375</v>
      </c>
      <c r="B1399" s="24" t="s">
        <v>5277</v>
      </c>
      <c r="C1399" s="4" t="s">
        <v>3163</v>
      </c>
      <c r="D1399" s="4" t="s">
        <v>5317</v>
      </c>
      <c r="E1399" s="4" t="s">
        <v>7010</v>
      </c>
      <c r="F1399" s="7"/>
      <c r="G1399" s="4" t="s">
        <v>3190</v>
      </c>
      <c r="H1399" s="22">
        <v>0</v>
      </c>
      <c r="I1399" s="18">
        <v>710000000</v>
      </c>
      <c r="J1399" s="4" t="s">
        <v>1931</v>
      </c>
      <c r="K1399" s="4" t="s">
        <v>5706</v>
      </c>
      <c r="L1399" s="4" t="s">
        <v>1889</v>
      </c>
      <c r="M1399" s="8" t="s">
        <v>3195</v>
      </c>
      <c r="N1399" s="4" t="s">
        <v>1890</v>
      </c>
      <c r="O1399" s="8" t="s">
        <v>1935</v>
      </c>
      <c r="P1399" s="4">
        <v>778</v>
      </c>
      <c r="Q1399" s="4" t="s">
        <v>3327</v>
      </c>
      <c r="R1399" s="34">
        <v>5</v>
      </c>
      <c r="S1399" s="10">
        <v>86.6</v>
      </c>
      <c r="T1399" s="10">
        <v>0</v>
      </c>
      <c r="U1399" s="10">
        <f t="shared" si="638"/>
        <v>0</v>
      </c>
      <c r="V1399" s="11"/>
      <c r="W1399" s="11">
        <v>2015</v>
      </c>
      <c r="X1399" s="8">
        <v>5</v>
      </c>
    </row>
    <row r="1400" spans="1:24" s="23" customFormat="1" ht="76.5" customHeight="1" outlineLevel="1" x14ac:dyDescent="0.2">
      <c r="A1400" s="1" t="s">
        <v>7093</v>
      </c>
      <c r="B1400" s="16" t="s">
        <v>5277</v>
      </c>
      <c r="C1400" s="4" t="s">
        <v>3163</v>
      </c>
      <c r="D1400" s="4" t="s">
        <v>5317</v>
      </c>
      <c r="E1400" s="4" t="s">
        <v>7010</v>
      </c>
      <c r="F1400" s="7"/>
      <c r="G1400" s="4" t="s">
        <v>3190</v>
      </c>
      <c r="H1400" s="22">
        <v>0</v>
      </c>
      <c r="I1400" s="18">
        <v>710000000</v>
      </c>
      <c r="J1400" s="4" t="s">
        <v>1931</v>
      </c>
      <c r="K1400" s="4" t="s">
        <v>5706</v>
      </c>
      <c r="L1400" s="4" t="s">
        <v>1889</v>
      </c>
      <c r="M1400" s="8" t="s">
        <v>3195</v>
      </c>
      <c r="N1400" s="4" t="s">
        <v>1890</v>
      </c>
      <c r="O1400" s="8" t="s">
        <v>1935</v>
      </c>
      <c r="P1400" s="4">
        <v>778</v>
      </c>
      <c r="Q1400" s="4" t="s">
        <v>3327</v>
      </c>
      <c r="R1400" s="10">
        <v>5</v>
      </c>
      <c r="S1400" s="10">
        <v>86.6</v>
      </c>
      <c r="T1400" s="10">
        <v>0</v>
      </c>
      <c r="U1400" s="10">
        <f t="shared" ref="U1400" si="658">T1400*1.12</f>
        <v>0</v>
      </c>
      <c r="V1400" s="1"/>
      <c r="W1400" s="1">
        <v>2015</v>
      </c>
      <c r="X1400" s="8" t="s">
        <v>7597</v>
      </c>
    </row>
    <row r="1401" spans="1:24" s="23" customFormat="1" ht="76.5" customHeight="1" outlineLevel="1" x14ac:dyDescent="0.2">
      <c r="A1401" s="1" t="s">
        <v>8204</v>
      </c>
      <c r="B1401" s="16" t="s">
        <v>5277</v>
      </c>
      <c r="C1401" s="4" t="s">
        <v>3163</v>
      </c>
      <c r="D1401" s="4" t="s">
        <v>5317</v>
      </c>
      <c r="E1401" s="4" t="s">
        <v>7010</v>
      </c>
      <c r="F1401" s="7"/>
      <c r="G1401" s="4" t="s">
        <v>3190</v>
      </c>
      <c r="H1401" s="22">
        <v>0</v>
      </c>
      <c r="I1401" s="18">
        <v>710000000</v>
      </c>
      <c r="J1401" s="4" t="s">
        <v>1931</v>
      </c>
      <c r="K1401" s="4" t="s">
        <v>756</v>
      </c>
      <c r="L1401" s="4" t="s">
        <v>1889</v>
      </c>
      <c r="M1401" s="8" t="s">
        <v>3195</v>
      </c>
      <c r="N1401" s="4" t="s">
        <v>1890</v>
      </c>
      <c r="O1401" s="8" t="s">
        <v>1935</v>
      </c>
      <c r="P1401" s="4">
        <v>778</v>
      </c>
      <c r="Q1401" s="4" t="s">
        <v>3327</v>
      </c>
      <c r="R1401" s="10">
        <v>5</v>
      </c>
      <c r="S1401" s="10">
        <v>108.9285</v>
      </c>
      <c r="T1401" s="10">
        <f t="shared" ref="T1401" si="659">S1401*R1401</f>
        <v>544.64250000000004</v>
      </c>
      <c r="U1401" s="10">
        <f t="shared" ref="U1401" si="660">T1401*1.12</f>
        <v>609.9996000000001</v>
      </c>
      <c r="V1401" s="1"/>
      <c r="W1401" s="1">
        <v>2015</v>
      </c>
      <c r="X1401" s="8"/>
    </row>
    <row r="1402" spans="1:24" s="23" customFormat="1" ht="76.5" customHeight="1" outlineLevel="1" x14ac:dyDescent="0.2">
      <c r="A1402" s="1" t="s">
        <v>2376</v>
      </c>
      <c r="B1402" s="24" t="s">
        <v>5277</v>
      </c>
      <c r="C1402" s="4" t="s">
        <v>3164</v>
      </c>
      <c r="D1402" s="4" t="s">
        <v>3165</v>
      </c>
      <c r="E1402" s="4" t="s">
        <v>5318</v>
      </c>
      <c r="F1402" s="7"/>
      <c r="G1402" s="4" t="s">
        <v>3190</v>
      </c>
      <c r="H1402" s="22">
        <v>0</v>
      </c>
      <c r="I1402" s="18">
        <v>710000000</v>
      </c>
      <c r="J1402" s="4" t="s">
        <v>1931</v>
      </c>
      <c r="K1402" s="4" t="s">
        <v>5706</v>
      </c>
      <c r="L1402" s="4" t="s">
        <v>1889</v>
      </c>
      <c r="M1402" s="8" t="s">
        <v>3195</v>
      </c>
      <c r="N1402" s="4" t="s">
        <v>1890</v>
      </c>
      <c r="O1402" s="8" t="s">
        <v>1935</v>
      </c>
      <c r="P1402" s="4">
        <v>778</v>
      </c>
      <c r="Q1402" s="4" t="s">
        <v>3327</v>
      </c>
      <c r="R1402" s="34">
        <v>3</v>
      </c>
      <c r="S1402" s="10">
        <v>412.67</v>
      </c>
      <c r="T1402" s="10">
        <v>0</v>
      </c>
      <c r="U1402" s="10">
        <f t="shared" si="638"/>
        <v>0</v>
      </c>
      <c r="V1402" s="11"/>
      <c r="W1402" s="11">
        <v>2015</v>
      </c>
      <c r="X1402" s="8" t="s">
        <v>7071</v>
      </c>
    </row>
    <row r="1403" spans="1:24" s="23" customFormat="1" ht="76.5" customHeight="1" outlineLevel="1" x14ac:dyDescent="0.2">
      <c r="A1403" s="1" t="s">
        <v>7224</v>
      </c>
      <c r="B1403" s="16" t="s">
        <v>5277</v>
      </c>
      <c r="C1403" s="4" t="s">
        <v>7226</v>
      </c>
      <c r="D1403" s="4" t="s">
        <v>7225</v>
      </c>
      <c r="E1403" s="4" t="s">
        <v>7028</v>
      </c>
      <c r="F1403" s="7"/>
      <c r="G1403" s="4" t="s">
        <v>3190</v>
      </c>
      <c r="H1403" s="22">
        <v>0</v>
      </c>
      <c r="I1403" s="18">
        <v>710000000</v>
      </c>
      <c r="J1403" s="4" t="s">
        <v>1931</v>
      </c>
      <c r="K1403" s="4" t="s">
        <v>5706</v>
      </c>
      <c r="L1403" s="4" t="s">
        <v>1889</v>
      </c>
      <c r="M1403" s="8" t="s">
        <v>3195</v>
      </c>
      <c r="N1403" s="4" t="s">
        <v>1890</v>
      </c>
      <c r="O1403" s="8" t="s">
        <v>1935</v>
      </c>
      <c r="P1403" s="4">
        <v>778</v>
      </c>
      <c r="Q1403" s="4" t="s">
        <v>3327</v>
      </c>
      <c r="R1403" s="10">
        <v>3</v>
      </c>
      <c r="S1403" s="10">
        <v>412.67</v>
      </c>
      <c r="T1403" s="10">
        <v>0</v>
      </c>
      <c r="U1403" s="10">
        <f t="shared" ref="U1403" si="661">T1403*1.12</f>
        <v>0</v>
      </c>
      <c r="V1403" s="1"/>
      <c r="W1403" s="1">
        <v>2015</v>
      </c>
      <c r="X1403" s="8" t="s">
        <v>7597</v>
      </c>
    </row>
    <row r="1404" spans="1:24" s="23" customFormat="1" ht="76.5" customHeight="1" outlineLevel="1" x14ac:dyDescent="0.2">
      <c r="A1404" s="1" t="s">
        <v>8205</v>
      </c>
      <c r="B1404" s="16" t="s">
        <v>5277</v>
      </c>
      <c r="C1404" s="4" t="s">
        <v>7226</v>
      </c>
      <c r="D1404" s="4" t="s">
        <v>7225</v>
      </c>
      <c r="E1404" s="4" t="s">
        <v>7028</v>
      </c>
      <c r="F1404" s="7"/>
      <c r="G1404" s="4" t="s">
        <v>3190</v>
      </c>
      <c r="H1404" s="22">
        <v>0</v>
      </c>
      <c r="I1404" s="18">
        <v>710000000</v>
      </c>
      <c r="J1404" s="4" t="s">
        <v>1931</v>
      </c>
      <c r="K1404" s="4" t="s">
        <v>756</v>
      </c>
      <c r="L1404" s="4" t="s">
        <v>1889</v>
      </c>
      <c r="M1404" s="8" t="s">
        <v>3195</v>
      </c>
      <c r="N1404" s="4" t="s">
        <v>1890</v>
      </c>
      <c r="O1404" s="8" t="s">
        <v>1935</v>
      </c>
      <c r="P1404" s="4">
        <v>778</v>
      </c>
      <c r="Q1404" s="4" t="s">
        <v>3327</v>
      </c>
      <c r="R1404" s="10">
        <v>3</v>
      </c>
      <c r="S1404" s="10">
        <v>75.892799999999994</v>
      </c>
      <c r="T1404" s="10">
        <f t="shared" ref="T1404" si="662">S1404*R1404</f>
        <v>227.67839999999998</v>
      </c>
      <c r="U1404" s="10">
        <f t="shared" ref="U1404" si="663">T1404*1.12</f>
        <v>254.999808</v>
      </c>
      <c r="V1404" s="1"/>
      <c r="W1404" s="1">
        <v>2015</v>
      </c>
      <c r="X1404" s="8"/>
    </row>
    <row r="1405" spans="1:24" s="23" customFormat="1" ht="76.5" customHeight="1" outlineLevel="1" x14ac:dyDescent="0.2">
      <c r="A1405" s="1" t="s">
        <v>2377</v>
      </c>
      <c r="B1405" s="24" t="s">
        <v>5277</v>
      </c>
      <c r="C1405" s="4" t="s">
        <v>3166</v>
      </c>
      <c r="D1405" s="4" t="s">
        <v>3167</v>
      </c>
      <c r="E1405" s="4" t="s">
        <v>5319</v>
      </c>
      <c r="F1405" s="7"/>
      <c r="G1405" s="4" t="s">
        <v>3190</v>
      </c>
      <c r="H1405" s="22">
        <v>0</v>
      </c>
      <c r="I1405" s="18">
        <v>710000000</v>
      </c>
      <c r="J1405" s="4" t="s">
        <v>1931</v>
      </c>
      <c r="K1405" s="4" t="s">
        <v>5706</v>
      </c>
      <c r="L1405" s="4" t="s">
        <v>1889</v>
      </c>
      <c r="M1405" s="8" t="s">
        <v>3195</v>
      </c>
      <c r="N1405" s="4" t="s">
        <v>1890</v>
      </c>
      <c r="O1405" s="8" t="s">
        <v>1935</v>
      </c>
      <c r="P1405" s="4">
        <v>778</v>
      </c>
      <c r="Q1405" s="4" t="s">
        <v>3327</v>
      </c>
      <c r="R1405" s="34">
        <v>2</v>
      </c>
      <c r="S1405" s="10">
        <v>178.5</v>
      </c>
      <c r="T1405" s="10">
        <v>0</v>
      </c>
      <c r="U1405" s="10">
        <f t="shared" si="638"/>
        <v>0</v>
      </c>
      <c r="V1405" s="11"/>
      <c r="W1405" s="11">
        <v>2015</v>
      </c>
      <c r="X1405" s="4" t="s">
        <v>7071</v>
      </c>
    </row>
    <row r="1406" spans="1:24" s="23" customFormat="1" ht="76.5" customHeight="1" outlineLevel="1" x14ac:dyDescent="0.2">
      <c r="A1406" s="1" t="s">
        <v>7221</v>
      </c>
      <c r="B1406" s="16" t="s">
        <v>5277</v>
      </c>
      <c r="C1406" s="4" t="s">
        <v>7223</v>
      </c>
      <c r="D1406" s="4" t="s">
        <v>7222</v>
      </c>
      <c r="E1406" s="4" t="s">
        <v>7010</v>
      </c>
      <c r="F1406" s="7"/>
      <c r="G1406" s="4" t="s">
        <v>3190</v>
      </c>
      <c r="H1406" s="22">
        <v>0</v>
      </c>
      <c r="I1406" s="18">
        <v>710000000</v>
      </c>
      <c r="J1406" s="4" t="s">
        <v>1931</v>
      </c>
      <c r="K1406" s="4" t="s">
        <v>5706</v>
      </c>
      <c r="L1406" s="4" t="s">
        <v>1889</v>
      </c>
      <c r="M1406" s="8" t="s">
        <v>3195</v>
      </c>
      <c r="N1406" s="4" t="s">
        <v>1890</v>
      </c>
      <c r="O1406" s="8" t="s">
        <v>1935</v>
      </c>
      <c r="P1406" s="4">
        <v>778</v>
      </c>
      <c r="Q1406" s="4" t="s">
        <v>3327</v>
      </c>
      <c r="R1406" s="10">
        <v>2</v>
      </c>
      <c r="S1406" s="10">
        <v>178.5</v>
      </c>
      <c r="T1406" s="10">
        <v>0</v>
      </c>
      <c r="U1406" s="10">
        <f t="shared" ref="U1406" si="664">T1406*1.12</f>
        <v>0</v>
      </c>
      <c r="V1406" s="1"/>
      <c r="W1406" s="1">
        <v>2015</v>
      </c>
      <c r="X1406" s="4" t="s">
        <v>7597</v>
      </c>
    </row>
    <row r="1407" spans="1:24" s="23" customFormat="1" ht="76.5" customHeight="1" outlineLevel="1" x14ac:dyDescent="0.2">
      <c r="A1407" s="1" t="s">
        <v>8206</v>
      </c>
      <c r="B1407" s="16" t="s">
        <v>5277</v>
      </c>
      <c r="C1407" s="4" t="s">
        <v>7223</v>
      </c>
      <c r="D1407" s="4" t="s">
        <v>7222</v>
      </c>
      <c r="E1407" s="4" t="s">
        <v>7010</v>
      </c>
      <c r="F1407" s="7"/>
      <c r="G1407" s="4" t="s">
        <v>3190</v>
      </c>
      <c r="H1407" s="22">
        <v>0</v>
      </c>
      <c r="I1407" s="18">
        <v>710000000</v>
      </c>
      <c r="J1407" s="4" t="s">
        <v>1931</v>
      </c>
      <c r="K1407" s="4" t="s">
        <v>756</v>
      </c>
      <c r="L1407" s="4" t="s">
        <v>1889</v>
      </c>
      <c r="M1407" s="8" t="s">
        <v>3195</v>
      </c>
      <c r="N1407" s="4" t="s">
        <v>1890</v>
      </c>
      <c r="O1407" s="8" t="s">
        <v>1935</v>
      </c>
      <c r="P1407" s="4">
        <v>778</v>
      </c>
      <c r="Q1407" s="4" t="s">
        <v>3327</v>
      </c>
      <c r="R1407" s="10">
        <v>2</v>
      </c>
      <c r="S1407" s="10">
        <v>26.785699999999999</v>
      </c>
      <c r="T1407" s="10">
        <f t="shared" ref="T1407" si="665">S1407*R1407</f>
        <v>53.571399999999997</v>
      </c>
      <c r="U1407" s="10">
        <f t="shared" ref="U1407" si="666">T1407*1.12</f>
        <v>59.999968000000003</v>
      </c>
      <c r="V1407" s="1"/>
      <c r="W1407" s="1">
        <v>2015</v>
      </c>
      <c r="X1407" s="4"/>
    </row>
    <row r="1408" spans="1:24" s="23" customFormat="1" ht="76.5" customHeight="1" outlineLevel="1" x14ac:dyDescent="0.2">
      <c r="A1408" s="1" t="s">
        <v>2378</v>
      </c>
      <c r="B1408" s="16" t="s">
        <v>5277</v>
      </c>
      <c r="C1408" s="4" t="s">
        <v>6407</v>
      </c>
      <c r="D1408" s="4" t="s">
        <v>6408</v>
      </c>
      <c r="E1408" s="4" t="s">
        <v>6409</v>
      </c>
      <c r="F1408" s="4"/>
      <c r="G1408" s="4" t="s">
        <v>3190</v>
      </c>
      <c r="H1408" s="22">
        <v>0</v>
      </c>
      <c r="I1408" s="18">
        <v>710000000</v>
      </c>
      <c r="J1408" s="4" t="s">
        <v>1931</v>
      </c>
      <c r="K1408" s="4" t="s">
        <v>5706</v>
      </c>
      <c r="L1408" s="4" t="s">
        <v>1889</v>
      </c>
      <c r="M1408" s="8" t="s">
        <v>3195</v>
      </c>
      <c r="N1408" s="4" t="s">
        <v>1890</v>
      </c>
      <c r="O1408" s="8" t="s">
        <v>1935</v>
      </c>
      <c r="P1408" s="4">
        <v>778</v>
      </c>
      <c r="Q1408" s="4" t="s">
        <v>3327</v>
      </c>
      <c r="R1408" s="10">
        <v>8</v>
      </c>
      <c r="S1408" s="10">
        <v>877.63</v>
      </c>
      <c r="T1408" s="10">
        <v>0</v>
      </c>
      <c r="U1408" s="10">
        <f>T1408*1.12</f>
        <v>0</v>
      </c>
      <c r="V1408" s="1"/>
      <c r="W1408" s="1">
        <v>2015</v>
      </c>
      <c r="X1408" s="4" t="s">
        <v>7597</v>
      </c>
    </row>
    <row r="1409" spans="1:24" s="23" customFormat="1" ht="76.5" customHeight="1" outlineLevel="1" x14ac:dyDescent="0.2">
      <c r="A1409" s="1" t="s">
        <v>8207</v>
      </c>
      <c r="B1409" s="16" t="s">
        <v>5277</v>
      </c>
      <c r="C1409" s="4" t="s">
        <v>6407</v>
      </c>
      <c r="D1409" s="4" t="s">
        <v>6408</v>
      </c>
      <c r="E1409" s="4" t="s">
        <v>6409</v>
      </c>
      <c r="F1409" s="4"/>
      <c r="G1409" s="4" t="s">
        <v>3190</v>
      </c>
      <c r="H1409" s="22">
        <v>0</v>
      </c>
      <c r="I1409" s="18">
        <v>710000000</v>
      </c>
      <c r="J1409" s="4" t="s">
        <v>1931</v>
      </c>
      <c r="K1409" s="4" t="s">
        <v>756</v>
      </c>
      <c r="L1409" s="4" t="s">
        <v>1889</v>
      </c>
      <c r="M1409" s="8" t="s">
        <v>3195</v>
      </c>
      <c r="N1409" s="4" t="s">
        <v>1890</v>
      </c>
      <c r="O1409" s="8" t="s">
        <v>1935</v>
      </c>
      <c r="P1409" s="4">
        <v>778</v>
      </c>
      <c r="Q1409" s="4" t="s">
        <v>3327</v>
      </c>
      <c r="R1409" s="10">
        <v>8</v>
      </c>
      <c r="S1409" s="10">
        <v>1221.4285</v>
      </c>
      <c r="T1409" s="10">
        <f>S1409*R1409</f>
        <v>9771.4279999999999</v>
      </c>
      <c r="U1409" s="10">
        <f>T1409*1.12</f>
        <v>10943.999360000002</v>
      </c>
      <c r="V1409" s="1"/>
      <c r="W1409" s="1">
        <v>2015</v>
      </c>
      <c r="X1409" s="4"/>
    </row>
    <row r="1410" spans="1:24" s="23" customFormat="1" ht="76.5" customHeight="1" outlineLevel="1" x14ac:dyDescent="0.2">
      <c r="A1410" s="1" t="s">
        <v>2379</v>
      </c>
      <c r="B1410" s="24" t="s">
        <v>5277</v>
      </c>
      <c r="C1410" s="4" t="s">
        <v>6410</v>
      </c>
      <c r="D1410" s="4" t="s">
        <v>6411</v>
      </c>
      <c r="E1410" s="4" t="s">
        <v>7028</v>
      </c>
      <c r="F1410" s="7"/>
      <c r="G1410" s="4" t="s">
        <v>3190</v>
      </c>
      <c r="H1410" s="22">
        <v>0</v>
      </c>
      <c r="I1410" s="18">
        <v>710000000</v>
      </c>
      <c r="J1410" s="4" t="s">
        <v>1931</v>
      </c>
      <c r="K1410" s="4" t="s">
        <v>5706</v>
      </c>
      <c r="L1410" s="4" t="s">
        <v>1889</v>
      </c>
      <c r="M1410" s="4" t="s">
        <v>3195</v>
      </c>
      <c r="N1410" s="4" t="s">
        <v>1890</v>
      </c>
      <c r="O1410" s="8" t="s">
        <v>1935</v>
      </c>
      <c r="P1410" s="4">
        <v>778</v>
      </c>
      <c r="Q1410" s="4" t="s">
        <v>3327</v>
      </c>
      <c r="R1410" s="34">
        <v>3</v>
      </c>
      <c r="S1410" s="10">
        <v>2303</v>
      </c>
      <c r="T1410" s="10">
        <v>0</v>
      </c>
      <c r="U1410" s="10">
        <f t="shared" ref="U1410:U1413" si="667">T1410*1.12</f>
        <v>0</v>
      </c>
      <c r="V1410" s="11"/>
      <c r="W1410" s="11">
        <v>2015</v>
      </c>
      <c r="X1410" s="4">
        <v>5</v>
      </c>
    </row>
    <row r="1411" spans="1:24" s="23" customFormat="1" ht="76.5" customHeight="1" outlineLevel="1" x14ac:dyDescent="0.2">
      <c r="A1411" s="1" t="s">
        <v>7094</v>
      </c>
      <c r="B1411" s="16" t="s">
        <v>5277</v>
      </c>
      <c r="C1411" s="4" t="s">
        <v>6410</v>
      </c>
      <c r="D1411" s="4" t="s">
        <v>6411</v>
      </c>
      <c r="E1411" s="4" t="s">
        <v>7028</v>
      </c>
      <c r="F1411" s="7"/>
      <c r="G1411" s="4" t="s">
        <v>3190</v>
      </c>
      <c r="H1411" s="22">
        <v>0</v>
      </c>
      <c r="I1411" s="18">
        <v>710000000</v>
      </c>
      <c r="J1411" s="4" t="s">
        <v>1931</v>
      </c>
      <c r="K1411" s="4" t="s">
        <v>5706</v>
      </c>
      <c r="L1411" s="4" t="s">
        <v>1889</v>
      </c>
      <c r="M1411" s="4" t="s">
        <v>3195</v>
      </c>
      <c r="N1411" s="4" t="s">
        <v>1890</v>
      </c>
      <c r="O1411" s="8" t="s">
        <v>1935</v>
      </c>
      <c r="P1411" s="4">
        <v>778</v>
      </c>
      <c r="Q1411" s="4" t="s">
        <v>3327</v>
      </c>
      <c r="R1411" s="10">
        <v>3</v>
      </c>
      <c r="S1411" s="10">
        <v>2303</v>
      </c>
      <c r="T1411" s="10">
        <v>0</v>
      </c>
      <c r="U1411" s="10">
        <f t="shared" ref="U1411" si="668">T1411*1.12</f>
        <v>0</v>
      </c>
      <c r="V1411" s="1"/>
      <c r="W1411" s="1">
        <v>2015</v>
      </c>
      <c r="X1411" s="4" t="s">
        <v>7597</v>
      </c>
    </row>
    <row r="1412" spans="1:24" s="23" customFormat="1" ht="76.5" customHeight="1" outlineLevel="1" x14ac:dyDescent="0.2">
      <c r="A1412" s="1" t="s">
        <v>8208</v>
      </c>
      <c r="B1412" s="16" t="s">
        <v>5277</v>
      </c>
      <c r="C1412" s="4" t="s">
        <v>6410</v>
      </c>
      <c r="D1412" s="4" t="s">
        <v>6411</v>
      </c>
      <c r="E1412" s="4" t="s">
        <v>7028</v>
      </c>
      <c r="F1412" s="7"/>
      <c r="G1412" s="4" t="s">
        <v>3190</v>
      </c>
      <c r="H1412" s="22">
        <v>0</v>
      </c>
      <c r="I1412" s="18">
        <v>710000000</v>
      </c>
      <c r="J1412" s="4" t="s">
        <v>1931</v>
      </c>
      <c r="K1412" s="4" t="s">
        <v>756</v>
      </c>
      <c r="L1412" s="4" t="s">
        <v>1889</v>
      </c>
      <c r="M1412" s="4" t="s">
        <v>3195</v>
      </c>
      <c r="N1412" s="4" t="s">
        <v>1890</v>
      </c>
      <c r="O1412" s="8" t="s">
        <v>1935</v>
      </c>
      <c r="P1412" s="4">
        <v>778</v>
      </c>
      <c r="Q1412" s="4" t="s">
        <v>3327</v>
      </c>
      <c r="R1412" s="10">
        <v>3</v>
      </c>
      <c r="S1412" s="10">
        <v>2742.8571000000002</v>
      </c>
      <c r="T1412" s="10">
        <f t="shared" ref="T1412" si="669">S1412*R1412</f>
        <v>8228.5712999999996</v>
      </c>
      <c r="U1412" s="10">
        <f t="shared" ref="U1412" si="670">T1412*1.12</f>
        <v>9215.9998560000004</v>
      </c>
      <c r="V1412" s="1"/>
      <c r="W1412" s="1">
        <v>2015</v>
      </c>
      <c r="X1412" s="4"/>
    </row>
    <row r="1413" spans="1:24" s="23" customFormat="1" ht="76.5" customHeight="1" outlineLevel="1" x14ac:dyDescent="0.2">
      <c r="A1413" s="1" t="s">
        <v>2380</v>
      </c>
      <c r="B1413" s="24" t="s">
        <v>5277</v>
      </c>
      <c r="C1413" s="4" t="s">
        <v>6412</v>
      </c>
      <c r="D1413" s="4" t="s">
        <v>6411</v>
      </c>
      <c r="E1413" s="4" t="s">
        <v>7010</v>
      </c>
      <c r="F1413" s="7"/>
      <c r="G1413" s="4" t="s">
        <v>3190</v>
      </c>
      <c r="H1413" s="22">
        <v>0</v>
      </c>
      <c r="I1413" s="18">
        <v>710000000</v>
      </c>
      <c r="J1413" s="4" t="s">
        <v>1931</v>
      </c>
      <c r="K1413" s="4" t="s">
        <v>5706</v>
      </c>
      <c r="L1413" s="4" t="s">
        <v>1889</v>
      </c>
      <c r="M1413" s="4" t="s">
        <v>3195</v>
      </c>
      <c r="N1413" s="4" t="s">
        <v>1890</v>
      </c>
      <c r="O1413" s="8" t="s">
        <v>1935</v>
      </c>
      <c r="P1413" s="4">
        <v>778</v>
      </c>
      <c r="Q1413" s="4" t="s">
        <v>3327</v>
      </c>
      <c r="R1413" s="34">
        <v>5</v>
      </c>
      <c r="S1413" s="10">
        <v>350</v>
      </c>
      <c r="T1413" s="10">
        <v>0</v>
      </c>
      <c r="U1413" s="10">
        <f t="shared" si="667"/>
        <v>0</v>
      </c>
      <c r="V1413" s="11"/>
      <c r="W1413" s="11">
        <v>2015</v>
      </c>
      <c r="X1413" s="4">
        <v>5</v>
      </c>
    </row>
    <row r="1414" spans="1:24" s="23" customFormat="1" ht="76.5" customHeight="1" outlineLevel="1" x14ac:dyDescent="0.2">
      <c r="A1414" s="1" t="s">
        <v>7026</v>
      </c>
      <c r="B1414" s="16" t="s">
        <v>5277</v>
      </c>
      <c r="C1414" s="4" t="s">
        <v>6412</v>
      </c>
      <c r="D1414" s="4" t="s">
        <v>6411</v>
      </c>
      <c r="E1414" s="4" t="s">
        <v>7010</v>
      </c>
      <c r="F1414" s="7"/>
      <c r="G1414" s="4" t="s">
        <v>3190</v>
      </c>
      <c r="H1414" s="22">
        <v>0</v>
      </c>
      <c r="I1414" s="18">
        <v>710000000</v>
      </c>
      <c r="J1414" s="4" t="s">
        <v>1931</v>
      </c>
      <c r="K1414" s="4" t="s">
        <v>5706</v>
      </c>
      <c r="L1414" s="4" t="s">
        <v>1889</v>
      </c>
      <c r="M1414" s="4" t="s">
        <v>3195</v>
      </c>
      <c r="N1414" s="4" t="s">
        <v>1890</v>
      </c>
      <c r="O1414" s="8" t="s">
        <v>1935</v>
      </c>
      <c r="P1414" s="4">
        <v>778</v>
      </c>
      <c r="Q1414" s="4" t="s">
        <v>3327</v>
      </c>
      <c r="R1414" s="10">
        <v>5</v>
      </c>
      <c r="S1414" s="10">
        <v>350</v>
      </c>
      <c r="T1414" s="10">
        <v>0</v>
      </c>
      <c r="U1414" s="10">
        <f t="shared" ref="U1414" si="671">T1414*1.12</f>
        <v>0</v>
      </c>
      <c r="V1414" s="1"/>
      <c r="W1414" s="1">
        <v>2015</v>
      </c>
      <c r="X1414" s="4" t="s">
        <v>8195</v>
      </c>
    </row>
    <row r="1415" spans="1:24" s="23" customFormat="1" ht="76.5" customHeight="1" outlineLevel="1" x14ac:dyDescent="0.2">
      <c r="A1415" s="1" t="s">
        <v>8209</v>
      </c>
      <c r="B1415" s="16" t="s">
        <v>5277</v>
      </c>
      <c r="C1415" s="4" t="s">
        <v>6412</v>
      </c>
      <c r="D1415" s="4" t="s">
        <v>6411</v>
      </c>
      <c r="E1415" s="4" t="s">
        <v>7010</v>
      </c>
      <c r="F1415" s="7"/>
      <c r="G1415" s="4" t="s">
        <v>3190</v>
      </c>
      <c r="H1415" s="22">
        <v>0</v>
      </c>
      <c r="I1415" s="18">
        <v>710000000</v>
      </c>
      <c r="J1415" s="4" t="s">
        <v>1931</v>
      </c>
      <c r="K1415" s="4" t="s">
        <v>756</v>
      </c>
      <c r="L1415" s="4" t="s">
        <v>1889</v>
      </c>
      <c r="M1415" s="4" t="s">
        <v>3195</v>
      </c>
      <c r="N1415" s="4" t="s">
        <v>1890</v>
      </c>
      <c r="O1415" s="8" t="s">
        <v>1935</v>
      </c>
      <c r="P1415" s="4">
        <v>778</v>
      </c>
      <c r="Q1415" s="4" t="s">
        <v>3327</v>
      </c>
      <c r="R1415" s="10">
        <v>1</v>
      </c>
      <c r="S1415" s="10">
        <v>1272.3214</v>
      </c>
      <c r="T1415" s="10">
        <f t="shared" ref="T1415" si="672">S1415*R1415</f>
        <v>1272.3214</v>
      </c>
      <c r="U1415" s="10">
        <f t="shared" ref="U1415" si="673">T1415*1.12</f>
        <v>1424.9999680000001</v>
      </c>
      <c r="V1415" s="1"/>
      <c r="W1415" s="1">
        <v>2015</v>
      </c>
      <c r="X1415" s="4"/>
    </row>
    <row r="1416" spans="1:24" s="23" customFormat="1" ht="76.5" customHeight="1" outlineLevel="1" x14ac:dyDescent="0.2">
      <c r="A1416" s="1" t="s">
        <v>2381</v>
      </c>
      <c r="B1416" s="24" t="s">
        <v>5277</v>
      </c>
      <c r="C1416" s="4" t="s">
        <v>1598</v>
      </c>
      <c r="D1416" s="4" t="s">
        <v>1599</v>
      </c>
      <c r="E1416" s="4" t="s">
        <v>1600</v>
      </c>
      <c r="F1416" s="7"/>
      <c r="G1416" s="4" t="s">
        <v>3190</v>
      </c>
      <c r="H1416" s="22">
        <v>0</v>
      </c>
      <c r="I1416" s="18">
        <v>710000000</v>
      </c>
      <c r="J1416" s="4" t="s">
        <v>1931</v>
      </c>
      <c r="K1416" s="4" t="s">
        <v>5706</v>
      </c>
      <c r="L1416" s="4" t="s">
        <v>1889</v>
      </c>
      <c r="M1416" s="8" t="s">
        <v>3195</v>
      </c>
      <c r="N1416" s="4" t="s">
        <v>1890</v>
      </c>
      <c r="O1416" s="8" t="s">
        <v>1935</v>
      </c>
      <c r="P1416" s="4">
        <v>872</v>
      </c>
      <c r="Q1416" s="4" t="s">
        <v>3139</v>
      </c>
      <c r="R1416" s="34">
        <v>1</v>
      </c>
      <c r="S1416" s="10">
        <v>1127</v>
      </c>
      <c r="T1416" s="10">
        <v>0</v>
      </c>
      <c r="U1416" s="10">
        <f t="shared" si="638"/>
        <v>0</v>
      </c>
      <c r="V1416" s="11"/>
      <c r="W1416" s="11">
        <v>2015</v>
      </c>
      <c r="X1416" s="4" t="s">
        <v>7071</v>
      </c>
    </row>
    <row r="1417" spans="1:24" s="23" customFormat="1" ht="76.5" customHeight="1" outlineLevel="1" x14ac:dyDescent="0.2">
      <c r="A1417" s="1" t="s">
        <v>7217</v>
      </c>
      <c r="B1417" s="16" t="s">
        <v>5277</v>
      </c>
      <c r="C1417" s="4" t="s">
        <v>7220</v>
      </c>
      <c r="D1417" s="4" t="s">
        <v>7218</v>
      </c>
      <c r="E1417" s="4" t="s">
        <v>7219</v>
      </c>
      <c r="F1417" s="7"/>
      <c r="G1417" s="4" t="s">
        <v>3190</v>
      </c>
      <c r="H1417" s="22">
        <v>0</v>
      </c>
      <c r="I1417" s="18">
        <v>710000000</v>
      </c>
      <c r="J1417" s="4" t="s">
        <v>1931</v>
      </c>
      <c r="K1417" s="4" t="s">
        <v>5706</v>
      </c>
      <c r="L1417" s="4" t="s">
        <v>1889</v>
      </c>
      <c r="M1417" s="8" t="s">
        <v>3195</v>
      </c>
      <c r="N1417" s="4" t="s">
        <v>1890</v>
      </c>
      <c r="O1417" s="8" t="s">
        <v>1935</v>
      </c>
      <c r="P1417" s="4">
        <v>872</v>
      </c>
      <c r="Q1417" s="4" t="s">
        <v>3139</v>
      </c>
      <c r="R1417" s="10">
        <v>1</v>
      </c>
      <c r="S1417" s="10">
        <v>1127</v>
      </c>
      <c r="T1417" s="10">
        <v>0</v>
      </c>
      <c r="U1417" s="10">
        <f t="shared" ref="U1417" si="674">T1417*1.12</f>
        <v>0</v>
      </c>
      <c r="V1417" s="1"/>
      <c r="W1417" s="1">
        <v>2015</v>
      </c>
      <c r="X1417" s="4" t="s">
        <v>7597</v>
      </c>
    </row>
    <row r="1418" spans="1:24" s="23" customFormat="1" ht="76.5" customHeight="1" outlineLevel="1" x14ac:dyDescent="0.2">
      <c r="A1418" s="1" t="s">
        <v>8210</v>
      </c>
      <c r="B1418" s="16" t="s">
        <v>5277</v>
      </c>
      <c r="C1418" s="4" t="s">
        <v>7220</v>
      </c>
      <c r="D1418" s="4" t="s">
        <v>7218</v>
      </c>
      <c r="E1418" s="4" t="s">
        <v>7219</v>
      </c>
      <c r="F1418" s="7"/>
      <c r="G1418" s="4" t="s">
        <v>3190</v>
      </c>
      <c r="H1418" s="22">
        <v>0</v>
      </c>
      <c r="I1418" s="18">
        <v>710000000</v>
      </c>
      <c r="J1418" s="4" t="s">
        <v>1931</v>
      </c>
      <c r="K1418" s="4" t="s">
        <v>756</v>
      </c>
      <c r="L1418" s="4" t="s">
        <v>1889</v>
      </c>
      <c r="M1418" s="8" t="s">
        <v>3195</v>
      </c>
      <c r="N1418" s="4" t="s">
        <v>1890</v>
      </c>
      <c r="O1418" s="8" t="s">
        <v>1935</v>
      </c>
      <c r="P1418" s="4">
        <v>872</v>
      </c>
      <c r="Q1418" s="4" t="s">
        <v>3139</v>
      </c>
      <c r="R1418" s="10">
        <v>1</v>
      </c>
      <c r="S1418" s="10">
        <v>1304.4641999999999</v>
      </c>
      <c r="T1418" s="10">
        <f t="shared" ref="T1418" si="675">S1418*R1418</f>
        <v>1304.4641999999999</v>
      </c>
      <c r="U1418" s="10">
        <f t="shared" ref="U1418" si="676">T1418*1.12</f>
        <v>1460.999904</v>
      </c>
      <c r="V1418" s="1"/>
      <c r="W1418" s="1">
        <v>2015</v>
      </c>
      <c r="X1418" s="4"/>
    </row>
    <row r="1419" spans="1:24" s="23" customFormat="1" ht="76.5" customHeight="1" outlineLevel="1" x14ac:dyDescent="0.2">
      <c r="A1419" s="1" t="s">
        <v>2382</v>
      </c>
      <c r="B1419" s="24" t="s">
        <v>5277</v>
      </c>
      <c r="C1419" s="4" t="s">
        <v>3168</v>
      </c>
      <c r="D1419" s="4" t="s">
        <v>3169</v>
      </c>
      <c r="E1419" s="4" t="s">
        <v>7028</v>
      </c>
      <c r="F1419" s="7"/>
      <c r="G1419" s="4" t="s">
        <v>3190</v>
      </c>
      <c r="H1419" s="22">
        <v>0</v>
      </c>
      <c r="I1419" s="18">
        <v>710000000</v>
      </c>
      <c r="J1419" s="4" t="s">
        <v>1931</v>
      </c>
      <c r="K1419" s="4" t="s">
        <v>5706</v>
      </c>
      <c r="L1419" s="4" t="s">
        <v>1889</v>
      </c>
      <c r="M1419" s="8" t="s">
        <v>3195</v>
      </c>
      <c r="N1419" s="4" t="s">
        <v>1890</v>
      </c>
      <c r="O1419" s="8" t="s">
        <v>1935</v>
      </c>
      <c r="P1419" s="4">
        <v>872</v>
      </c>
      <c r="Q1419" s="4" t="s">
        <v>3139</v>
      </c>
      <c r="R1419" s="34">
        <v>15</v>
      </c>
      <c r="S1419" s="10">
        <v>68.73</v>
      </c>
      <c r="T1419" s="10">
        <v>0</v>
      </c>
      <c r="U1419" s="10">
        <f t="shared" si="638"/>
        <v>0</v>
      </c>
      <c r="V1419" s="11"/>
      <c r="W1419" s="11">
        <v>2015</v>
      </c>
      <c r="X1419" s="4">
        <v>5</v>
      </c>
    </row>
    <row r="1420" spans="1:24" s="23" customFormat="1" ht="76.5" customHeight="1" outlineLevel="1" x14ac:dyDescent="0.2">
      <c r="A1420" s="1" t="s">
        <v>7027</v>
      </c>
      <c r="B1420" s="16" t="s">
        <v>5277</v>
      </c>
      <c r="C1420" s="4" t="s">
        <v>3168</v>
      </c>
      <c r="D1420" s="4" t="s">
        <v>3169</v>
      </c>
      <c r="E1420" s="4" t="s">
        <v>7028</v>
      </c>
      <c r="F1420" s="7"/>
      <c r="G1420" s="4" t="s">
        <v>3190</v>
      </c>
      <c r="H1420" s="22">
        <v>0</v>
      </c>
      <c r="I1420" s="18">
        <v>710000000</v>
      </c>
      <c r="J1420" s="4" t="s">
        <v>1931</v>
      </c>
      <c r="K1420" s="4" t="s">
        <v>5706</v>
      </c>
      <c r="L1420" s="4" t="s">
        <v>1889</v>
      </c>
      <c r="M1420" s="8" t="s">
        <v>3195</v>
      </c>
      <c r="N1420" s="4" t="s">
        <v>1890</v>
      </c>
      <c r="O1420" s="8" t="s">
        <v>1935</v>
      </c>
      <c r="P1420" s="4">
        <v>872</v>
      </c>
      <c r="Q1420" s="4" t="s">
        <v>3139</v>
      </c>
      <c r="R1420" s="10">
        <v>15</v>
      </c>
      <c r="S1420" s="10">
        <v>68.73</v>
      </c>
      <c r="T1420" s="10">
        <v>0</v>
      </c>
      <c r="U1420" s="10">
        <f t="shared" ref="U1420" si="677">T1420*1.12</f>
        <v>0</v>
      </c>
      <c r="V1420" s="1"/>
      <c r="W1420" s="1">
        <v>2015</v>
      </c>
      <c r="X1420" s="4" t="s">
        <v>7597</v>
      </c>
    </row>
    <row r="1421" spans="1:24" s="23" customFormat="1" ht="76.5" customHeight="1" outlineLevel="1" x14ac:dyDescent="0.2">
      <c r="A1421" s="1" t="s">
        <v>8227</v>
      </c>
      <c r="B1421" s="16" t="s">
        <v>5277</v>
      </c>
      <c r="C1421" s="4" t="s">
        <v>3168</v>
      </c>
      <c r="D1421" s="4" t="s">
        <v>3169</v>
      </c>
      <c r="E1421" s="4" t="s">
        <v>7028</v>
      </c>
      <c r="F1421" s="7"/>
      <c r="G1421" s="4" t="s">
        <v>3190</v>
      </c>
      <c r="H1421" s="22">
        <v>0</v>
      </c>
      <c r="I1421" s="18">
        <v>710000000</v>
      </c>
      <c r="J1421" s="4" t="s">
        <v>1931</v>
      </c>
      <c r="K1421" s="4" t="s">
        <v>756</v>
      </c>
      <c r="L1421" s="4" t="s">
        <v>1889</v>
      </c>
      <c r="M1421" s="8" t="s">
        <v>3195</v>
      </c>
      <c r="N1421" s="4" t="s">
        <v>1890</v>
      </c>
      <c r="O1421" s="8" t="s">
        <v>1935</v>
      </c>
      <c r="P1421" s="4">
        <v>872</v>
      </c>
      <c r="Q1421" s="4" t="s">
        <v>3139</v>
      </c>
      <c r="R1421" s="10">
        <v>15</v>
      </c>
      <c r="S1421" s="10">
        <v>67.857100000000003</v>
      </c>
      <c r="T1421" s="10">
        <f t="shared" ref="T1421" si="678">S1421*R1421</f>
        <v>1017.8565000000001</v>
      </c>
      <c r="U1421" s="10">
        <f t="shared" ref="U1421" si="679">T1421*1.12</f>
        <v>1139.9992800000002</v>
      </c>
      <c r="V1421" s="1"/>
      <c r="W1421" s="1">
        <v>2015</v>
      </c>
      <c r="X1421" s="4"/>
    </row>
    <row r="1422" spans="1:24" s="23" customFormat="1" ht="76.5" customHeight="1" outlineLevel="1" x14ac:dyDescent="0.2">
      <c r="A1422" s="1" t="s">
        <v>2383</v>
      </c>
      <c r="B1422" s="24" t="s">
        <v>5277</v>
      </c>
      <c r="C1422" s="4" t="s">
        <v>3170</v>
      </c>
      <c r="D1422" s="4" t="s">
        <v>3171</v>
      </c>
      <c r="E1422" s="4" t="s">
        <v>7030</v>
      </c>
      <c r="F1422" s="7"/>
      <c r="G1422" s="4" t="s">
        <v>3190</v>
      </c>
      <c r="H1422" s="22">
        <v>0</v>
      </c>
      <c r="I1422" s="18">
        <v>710000000</v>
      </c>
      <c r="J1422" s="4" t="s">
        <v>1931</v>
      </c>
      <c r="K1422" s="4" t="s">
        <v>5706</v>
      </c>
      <c r="L1422" s="4" t="s">
        <v>1889</v>
      </c>
      <c r="M1422" s="8" t="s">
        <v>3195</v>
      </c>
      <c r="N1422" s="4" t="s">
        <v>1890</v>
      </c>
      <c r="O1422" s="8" t="s">
        <v>1935</v>
      </c>
      <c r="P1422" s="4">
        <v>778</v>
      </c>
      <c r="Q1422" s="4" t="s">
        <v>3327</v>
      </c>
      <c r="R1422" s="34">
        <v>3</v>
      </c>
      <c r="S1422" s="10">
        <v>249</v>
      </c>
      <c r="T1422" s="10">
        <v>0</v>
      </c>
      <c r="U1422" s="10">
        <f t="shared" si="638"/>
        <v>0</v>
      </c>
      <c r="V1422" s="11"/>
      <c r="W1422" s="11">
        <v>2015</v>
      </c>
      <c r="X1422" s="4">
        <v>5</v>
      </c>
    </row>
    <row r="1423" spans="1:24" s="23" customFormat="1" ht="76.5" customHeight="1" outlineLevel="1" x14ac:dyDescent="0.2">
      <c r="A1423" s="1" t="s">
        <v>7029</v>
      </c>
      <c r="B1423" s="16" t="s">
        <v>5277</v>
      </c>
      <c r="C1423" s="4" t="s">
        <v>3170</v>
      </c>
      <c r="D1423" s="4" t="s">
        <v>3171</v>
      </c>
      <c r="E1423" s="4" t="s">
        <v>7030</v>
      </c>
      <c r="F1423" s="7"/>
      <c r="G1423" s="4" t="s">
        <v>3190</v>
      </c>
      <c r="H1423" s="22">
        <v>0</v>
      </c>
      <c r="I1423" s="18">
        <v>710000000</v>
      </c>
      <c r="J1423" s="4" t="s">
        <v>1931</v>
      </c>
      <c r="K1423" s="4" t="s">
        <v>5706</v>
      </c>
      <c r="L1423" s="4" t="s">
        <v>1889</v>
      </c>
      <c r="M1423" s="8" t="s">
        <v>3195</v>
      </c>
      <c r="N1423" s="4" t="s">
        <v>1890</v>
      </c>
      <c r="O1423" s="8" t="s">
        <v>1935</v>
      </c>
      <c r="P1423" s="4">
        <v>778</v>
      </c>
      <c r="Q1423" s="4" t="s">
        <v>3327</v>
      </c>
      <c r="R1423" s="10">
        <v>3</v>
      </c>
      <c r="S1423" s="10">
        <v>249</v>
      </c>
      <c r="T1423" s="10">
        <v>0</v>
      </c>
      <c r="U1423" s="10">
        <f t="shared" ref="U1423" si="680">T1423*1.12</f>
        <v>0</v>
      </c>
      <c r="V1423" s="1"/>
      <c r="W1423" s="1">
        <v>2015</v>
      </c>
      <c r="X1423" s="4" t="s">
        <v>7597</v>
      </c>
    </row>
    <row r="1424" spans="1:24" s="23" customFormat="1" ht="76.5" customHeight="1" outlineLevel="1" x14ac:dyDescent="0.2">
      <c r="A1424" s="1" t="s">
        <v>8228</v>
      </c>
      <c r="B1424" s="16" t="s">
        <v>5277</v>
      </c>
      <c r="C1424" s="4" t="s">
        <v>3170</v>
      </c>
      <c r="D1424" s="4" t="s">
        <v>3171</v>
      </c>
      <c r="E1424" s="4" t="s">
        <v>7030</v>
      </c>
      <c r="F1424" s="7"/>
      <c r="G1424" s="4" t="s">
        <v>3190</v>
      </c>
      <c r="H1424" s="22">
        <v>0</v>
      </c>
      <c r="I1424" s="18">
        <v>710000000</v>
      </c>
      <c r="J1424" s="4" t="s">
        <v>1931</v>
      </c>
      <c r="K1424" s="4" t="s">
        <v>756</v>
      </c>
      <c r="L1424" s="4" t="s">
        <v>1889</v>
      </c>
      <c r="M1424" s="8" t="s">
        <v>3195</v>
      </c>
      <c r="N1424" s="4" t="s">
        <v>1890</v>
      </c>
      <c r="O1424" s="8" t="s">
        <v>1935</v>
      </c>
      <c r="P1424" s="4">
        <v>778</v>
      </c>
      <c r="Q1424" s="4" t="s">
        <v>3327</v>
      </c>
      <c r="R1424" s="10">
        <v>3</v>
      </c>
      <c r="S1424" s="10">
        <v>790.17849999999999</v>
      </c>
      <c r="T1424" s="10">
        <f t="shared" ref="T1424" si="681">S1424*R1424</f>
        <v>2370.5355</v>
      </c>
      <c r="U1424" s="10">
        <f t="shared" ref="U1424" si="682">T1424*1.12</f>
        <v>2654.9997600000002</v>
      </c>
      <c r="V1424" s="1"/>
      <c r="W1424" s="1">
        <v>2015</v>
      </c>
      <c r="X1424" s="4"/>
    </row>
    <row r="1425" spans="1:24" s="23" customFormat="1" ht="76.5" customHeight="1" outlineLevel="1" x14ac:dyDescent="0.2">
      <c r="A1425" s="1" t="s">
        <v>2384</v>
      </c>
      <c r="B1425" s="24" t="s">
        <v>5277</v>
      </c>
      <c r="C1425" s="4" t="s">
        <v>3172</v>
      </c>
      <c r="D1425" s="4" t="s">
        <v>7032</v>
      </c>
      <c r="E1425" s="4" t="s">
        <v>7028</v>
      </c>
      <c r="F1425" s="7"/>
      <c r="G1425" s="4" t="s">
        <v>3190</v>
      </c>
      <c r="H1425" s="22">
        <v>0</v>
      </c>
      <c r="I1425" s="18">
        <v>710000000</v>
      </c>
      <c r="J1425" s="4" t="s">
        <v>1931</v>
      </c>
      <c r="K1425" s="4" t="s">
        <v>5706</v>
      </c>
      <c r="L1425" s="4" t="s">
        <v>1889</v>
      </c>
      <c r="M1425" s="8" t="s">
        <v>3195</v>
      </c>
      <c r="N1425" s="4" t="s">
        <v>1890</v>
      </c>
      <c r="O1425" s="8" t="s">
        <v>1935</v>
      </c>
      <c r="P1425" s="4">
        <v>872</v>
      </c>
      <c r="Q1425" s="4" t="s">
        <v>3139</v>
      </c>
      <c r="R1425" s="34">
        <v>5</v>
      </c>
      <c r="S1425" s="10">
        <v>50.8</v>
      </c>
      <c r="T1425" s="10">
        <v>0</v>
      </c>
      <c r="U1425" s="10">
        <f t="shared" si="638"/>
        <v>0</v>
      </c>
      <c r="V1425" s="11"/>
      <c r="W1425" s="11">
        <v>2015</v>
      </c>
      <c r="X1425" s="4">
        <v>4.5</v>
      </c>
    </row>
    <row r="1426" spans="1:24" s="23" customFormat="1" ht="76.5" customHeight="1" outlineLevel="1" x14ac:dyDescent="0.2">
      <c r="A1426" s="1" t="s">
        <v>7031</v>
      </c>
      <c r="B1426" s="16" t="s">
        <v>5277</v>
      </c>
      <c r="C1426" s="4" t="s">
        <v>3172</v>
      </c>
      <c r="D1426" s="4" t="s">
        <v>7032</v>
      </c>
      <c r="E1426" s="4" t="s">
        <v>7028</v>
      </c>
      <c r="F1426" s="7"/>
      <c r="G1426" s="4" t="s">
        <v>3190</v>
      </c>
      <c r="H1426" s="22">
        <v>0</v>
      </c>
      <c r="I1426" s="18">
        <v>710000000</v>
      </c>
      <c r="J1426" s="4" t="s">
        <v>1931</v>
      </c>
      <c r="K1426" s="4" t="s">
        <v>5706</v>
      </c>
      <c r="L1426" s="4" t="s">
        <v>1889</v>
      </c>
      <c r="M1426" s="8" t="s">
        <v>3195</v>
      </c>
      <c r="N1426" s="4" t="s">
        <v>1890</v>
      </c>
      <c r="O1426" s="8" t="s">
        <v>1935</v>
      </c>
      <c r="P1426" s="4">
        <v>872</v>
      </c>
      <c r="Q1426" s="4" t="s">
        <v>3139</v>
      </c>
      <c r="R1426" s="10">
        <v>5</v>
      </c>
      <c r="S1426" s="10">
        <v>50.8</v>
      </c>
      <c r="T1426" s="10">
        <v>0</v>
      </c>
      <c r="U1426" s="10">
        <f t="shared" ref="U1426" si="683">T1426*1.12</f>
        <v>0</v>
      </c>
      <c r="V1426" s="1"/>
      <c r="W1426" s="1">
        <v>2015</v>
      </c>
      <c r="X1426" s="4" t="s">
        <v>7597</v>
      </c>
    </row>
    <row r="1427" spans="1:24" s="23" customFormat="1" ht="76.5" customHeight="1" outlineLevel="1" x14ac:dyDescent="0.2">
      <c r="A1427" s="1" t="s">
        <v>8229</v>
      </c>
      <c r="B1427" s="16" t="s">
        <v>5277</v>
      </c>
      <c r="C1427" s="4" t="s">
        <v>3172</v>
      </c>
      <c r="D1427" s="4" t="s">
        <v>7032</v>
      </c>
      <c r="E1427" s="4" t="s">
        <v>7028</v>
      </c>
      <c r="F1427" s="7"/>
      <c r="G1427" s="4" t="s">
        <v>3190</v>
      </c>
      <c r="H1427" s="22">
        <v>0</v>
      </c>
      <c r="I1427" s="18">
        <v>710000000</v>
      </c>
      <c r="J1427" s="4" t="s">
        <v>1931</v>
      </c>
      <c r="K1427" s="4" t="s">
        <v>756</v>
      </c>
      <c r="L1427" s="4" t="s">
        <v>1889</v>
      </c>
      <c r="M1427" s="8" t="s">
        <v>3195</v>
      </c>
      <c r="N1427" s="4" t="s">
        <v>1890</v>
      </c>
      <c r="O1427" s="8" t="s">
        <v>1935</v>
      </c>
      <c r="P1427" s="4">
        <v>872</v>
      </c>
      <c r="Q1427" s="4" t="s">
        <v>3139</v>
      </c>
      <c r="R1427" s="10">
        <v>5</v>
      </c>
      <c r="S1427" s="10">
        <v>49.107100000000003</v>
      </c>
      <c r="T1427" s="10">
        <f t="shared" ref="T1427" si="684">S1427*R1427</f>
        <v>245.53550000000001</v>
      </c>
      <c r="U1427" s="10">
        <f t="shared" ref="U1427" si="685">T1427*1.12</f>
        <v>274.99976000000004</v>
      </c>
      <c r="V1427" s="1"/>
      <c r="W1427" s="1">
        <v>2015</v>
      </c>
      <c r="X1427" s="4"/>
    </row>
    <row r="1428" spans="1:24" s="23" customFormat="1" ht="76.5" customHeight="1" outlineLevel="1" x14ac:dyDescent="0.2">
      <c r="A1428" s="1" t="s">
        <v>2385</v>
      </c>
      <c r="B1428" s="24" t="s">
        <v>5277</v>
      </c>
      <c r="C1428" s="4" t="s">
        <v>1601</v>
      </c>
      <c r="D1428" s="4" t="s">
        <v>7034</v>
      </c>
      <c r="E1428" s="4" t="s">
        <v>7028</v>
      </c>
      <c r="F1428" s="7"/>
      <c r="G1428" s="4" t="s">
        <v>3190</v>
      </c>
      <c r="H1428" s="22">
        <v>0</v>
      </c>
      <c r="I1428" s="18">
        <v>710000000</v>
      </c>
      <c r="J1428" s="4" t="s">
        <v>1931</v>
      </c>
      <c r="K1428" s="4" t="s">
        <v>5706</v>
      </c>
      <c r="L1428" s="4" t="s">
        <v>1889</v>
      </c>
      <c r="M1428" s="8" t="s">
        <v>3195</v>
      </c>
      <c r="N1428" s="4" t="s">
        <v>1890</v>
      </c>
      <c r="O1428" s="8" t="s">
        <v>1935</v>
      </c>
      <c r="P1428" s="4">
        <v>778</v>
      </c>
      <c r="Q1428" s="4" t="s">
        <v>3327</v>
      </c>
      <c r="R1428" s="34">
        <v>1</v>
      </c>
      <c r="S1428" s="10">
        <v>462</v>
      </c>
      <c r="T1428" s="10">
        <v>0</v>
      </c>
      <c r="U1428" s="10">
        <f t="shared" si="638"/>
        <v>0</v>
      </c>
      <c r="V1428" s="11"/>
      <c r="W1428" s="11">
        <v>2015</v>
      </c>
      <c r="X1428" s="4">
        <v>4.5</v>
      </c>
    </row>
    <row r="1429" spans="1:24" s="23" customFormat="1" ht="76.5" customHeight="1" outlineLevel="1" x14ac:dyDescent="0.2">
      <c r="A1429" s="1" t="s">
        <v>7033</v>
      </c>
      <c r="B1429" s="16" t="s">
        <v>5277</v>
      </c>
      <c r="C1429" s="4" t="s">
        <v>1601</v>
      </c>
      <c r="D1429" s="4" t="s">
        <v>7034</v>
      </c>
      <c r="E1429" s="4" t="s">
        <v>7028</v>
      </c>
      <c r="F1429" s="7"/>
      <c r="G1429" s="4" t="s">
        <v>3190</v>
      </c>
      <c r="H1429" s="22">
        <v>0</v>
      </c>
      <c r="I1429" s="18">
        <v>710000000</v>
      </c>
      <c r="J1429" s="4" t="s">
        <v>1931</v>
      </c>
      <c r="K1429" s="4" t="s">
        <v>5706</v>
      </c>
      <c r="L1429" s="4" t="s">
        <v>1889</v>
      </c>
      <c r="M1429" s="8" t="s">
        <v>3195</v>
      </c>
      <c r="N1429" s="4" t="s">
        <v>1890</v>
      </c>
      <c r="O1429" s="8" t="s">
        <v>1935</v>
      </c>
      <c r="P1429" s="4">
        <v>778</v>
      </c>
      <c r="Q1429" s="4" t="s">
        <v>3327</v>
      </c>
      <c r="R1429" s="10">
        <v>1</v>
      </c>
      <c r="S1429" s="10">
        <v>462</v>
      </c>
      <c r="T1429" s="10">
        <v>0</v>
      </c>
      <c r="U1429" s="10">
        <f t="shared" ref="U1429" si="686">T1429*1.12</f>
        <v>0</v>
      </c>
      <c r="V1429" s="1"/>
      <c r="W1429" s="1">
        <v>2015</v>
      </c>
      <c r="X1429" s="4">
        <v>11</v>
      </c>
    </row>
    <row r="1430" spans="1:24" s="23" customFormat="1" ht="76.5" customHeight="1" outlineLevel="1" x14ac:dyDescent="0.2">
      <c r="A1430" s="1" t="s">
        <v>8230</v>
      </c>
      <c r="B1430" s="16" t="s">
        <v>5277</v>
      </c>
      <c r="C1430" s="4" t="s">
        <v>1601</v>
      </c>
      <c r="D1430" s="4" t="s">
        <v>7034</v>
      </c>
      <c r="E1430" s="4" t="s">
        <v>7028</v>
      </c>
      <c r="F1430" s="7"/>
      <c r="G1430" s="4" t="s">
        <v>3190</v>
      </c>
      <c r="H1430" s="22">
        <v>0</v>
      </c>
      <c r="I1430" s="18">
        <v>710000000</v>
      </c>
      <c r="J1430" s="4" t="s">
        <v>1931</v>
      </c>
      <c r="K1430" s="4" t="s">
        <v>756</v>
      </c>
      <c r="L1430" s="4" t="s">
        <v>1889</v>
      </c>
      <c r="M1430" s="8" t="s">
        <v>3195</v>
      </c>
      <c r="N1430" s="4" t="s">
        <v>1890</v>
      </c>
      <c r="O1430" s="8" t="s">
        <v>1935</v>
      </c>
      <c r="P1430" s="4">
        <v>778</v>
      </c>
      <c r="Q1430" s="4" t="s">
        <v>3327</v>
      </c>
      <c r="R1430" s="10">
        <v>1</v>
      </c>
      <c r="S1430" s="10">
        <v>462</v>
      </c>
      <c r="T1430" s="10">
        <f t="shared" ref="T1430" si="687">S1430*R1430</f>
        <v>462</v>
      </c>
      <c r="U1430" s="10">
        <f t="shared" ref="U1430" si="688">T1430*1.12</f>
        <v>517.44000000000005</v>
      </c>
      <c r="V1430" s="1"/>
      <c r="W1430" s="1">
        <v>2015</v>
      </c>
      <c r="X1430" s="4"/>
    </row>
    <row r="1431" spans="1:24" s="23" customFormat="1" ht="76.5" customHeight="1" outlineLevel="1" x14ac:dyDescent="0.2">
      <c r="A1431" s="1" t="s">
        <v>2386</v>
      </c>
      <c r="B1431" s="24" t="s">
        <v>5277</v>
      </c>
      <c r="C1431" s="4" t="s">
        <v>3173</v>
      </c>
      <c r="D1431" s="4" t="s">
        <v>7036</v>
      </c>
      <c r="E1431" s="4" t="s">
        <v>7028</v>
      </c>
      <c r="F1431" s="7"/>
      <c r="G1431" s="4" t="s">
        <v>3190</v>
      </c>
      <c r="H1431" s="22">
        <v>0</v>
      </c>
      <c r="I1431" s="18">
        <v>710000000</v>
      </c>
      <c r="J1431" s="4" t="s">
        <v>1931</v>
      </c>
      <c r="K1431" s="4" t="s">
        <v>5706</v>
      </c>
      <c r="L1431" s="4" t="s">
        <v>1889</v>
      </c>
      <c r="M1431" s="8" t="s">
        <v>3195</v>
      </c>
      <c r="N1431" s="4" t="s">
        <v>1890</v>
      </c>
      <c r="O1431" s="8" t="s">
        <v>1935</v>
      </c>
      <c r="P1431" s="4">
        <v>872</v>
      </c>
      <c r="Q1431" s="4" t="s">
        <v>3139</v>
      </c>
      <c r="R1431" s="34">
        <v>2</v>
      </c>
      <c r="S1431" s="10">
        <v>318.5</v>
      </c>
      <c r="T1431" s="10">
        <v>0</v>
      </c>
      <c r="U1431" s="10">
        <f t="shared" si="638"/>
        <v>0</v>
      </c>
      <c r="V1431" s="11"/>
      <c r="W1431" s="11">
        <v>2015</v>
      </c>
      <c r="X1431" s="4">
        <v>4.5</v>
      </c>
    </row>
    <row r="1432" spans="1:24" s="23" customFormat="1" ht="76.5" customHeight="1" outlineLevel="1" x14ac:dyDescent="0.2">
      <c r="A1432" s="1" t="s">
        <v>7035</v>
      </c>
      <c r="B1432" s="16" t="s">
        <v>5277</v>
      </c>
      <c r="C1432" s="4" t="s">
        <v>3173</v>
      </c>
      <c r="D1432" s="4" t="s">
        <v>7036</v>
      </c>
      <c r="E1432" s="4" t="s">
        <v>7028</v>
      </c>
      <c r="F1432" s="7"/>
      <c r="G1432" s="4" t="s">
        <v>3190</v>
      </c>
      <c r="H1432" s="22">
        <v>0</v>
      </c>
      <c r="I1432" s="18">
        <v>710000000</v>
      </c>
      <c r="J1432" s="4" t="s">
        <v>1931</v>
      </c>
      <c r="K1432" s="4" t="s">
        <v>5706</v>
      </c>
      <c r="L1432" s="4" t="s">
        <v>1889</v>
      </c>
      <c r="M1432" s="8" t="s">
        <v>3195</v>
      </c>
      <c r="N1432" s="4" t="s">
        <v>1890</v>
      </c>
      <c r="O1432" s="8" t="s">
        <v>1935</v>
      </c>
      <c r="P1432" s="4">
        <v>872</v>
      </c>
      <c r="Q1432" s="4" t="s">
        <v>3139</v>
      </c>
      <c r="R1432" s="10">
        <v>2</v>
      </c>
      <c r="S1432" s="10">
        <v>318.5</v>
      </c>
      <c r="T1432" s="10">
        <v>0</v>
      </c>
      <c r="U1432" s="10">
        <f t="shared" ref="U1432" si="689">T1432*1.12</f>
        <v>0</v>
      </c>
      <c r="V1432" s="1"/>
      <c r="W1432" s="1">
        <v>2015</v>
      </c>
      <c r="X1432" s="4" t="s">
        <v>7597</v>
      </c>
    </row>
    <row r="1433" spans="1:24" s="23" customFormat="1" ht="76.5" customHeight="1" outlineLevel="1" x14ac:dyDescent="0.2">
      <c r="A1433" s="1" t="s">
        <v>8231</v>
      </c>
      <c r="B1433" s="16" t="s">
        <v>5277</v>
      </c>
      <c r="C1433" s="4" t="s">
        <v>3173</v>
      </c>
      <c r="D1433" s="4" t="s">
        <v>7036</v>
      </c>
      <c r="E1433" s="4" t="s">
        <v>7028</v>
      </c>
      <c r="F1433" s="7"/>
      <c r="G1433" s="4" t="s">
        <v>3190</v>
      </c>
      <c r="H1433" s="22">
        <v>0</v>
      </c>
      <c r="I1433" s="18">
        <v>710000000</v>
      </c>
      <c r="J1433" s="4" t="s">
        <v>1931</v>
      </c>
      <c r="K1433" s="4" t="s">
        <v>756</v>
      </c>
      <c r="L1433" s="4" t="s">
        <v>1889</v>
      </c>
      <c r="M1433" s="8" t="s">
        <v>3195</v>
      </c>
      <c r="N1433" s="4" t="s">
        <v>1890</v>
      </c>
      <c r="O1433" s="8" t="s">
        <v>1935</v>
      </c>
      <c r="P1433" s="4">
        <v>872</v>
      </c>
      <c r="Q1433" s="4" t="s">
        <v>3139</v>
      </c>
      <c r="R1433" s="10">
        <v>2</v>
      </c>
      <c r="S1433" s="10">
        <v>286.6071</v>
      </c>
      <c r="T1433" s="10">
        <f t="shared" ref="T1433" si="690">S1433*R1433</f>
        <v>573.21420000000001</v>
      </c>
      <c r="U1433" s="10">
        <f t="shared" ref="U1433" si="691">T1433*1.12</f>
        <v>641.99990400000002</v>
      </c>
      <c r="V1433" s="1"/>
      <c r="W1433" s="1">
        <v>2015</v>
      </c>
      <c r="X1433" s="4"/>
    </row>
    <row r="1434" spans="1:24" s="23" customFormat="1" ht="76.5" customHeight="1" outlineLevel="1" x14ac:dyDescent="0.2">
      <c r="A1434" s="1" t="s">
        <v>2387</v>
      </c>
      <c r="B1434" s="24" t="s">
        <v>5277</v>
      </c>
      <c r="C1434" s="4" t="s">
        <v>3174</v>
      </c>
      <c r="D1434" s="4" t="s">
        <v>7216</v>
      </c>
      <c r="E1434" s="4" t="s">
        <v>7045</v>
      </c>
      <c r="F1434" s="7"/>
      <c r="G1434" s="4" t="s">
        <v>3190</v>
      </c>
      <c r="H1434" s="22">
        <v>0</v>
      </c>
      <c r="I1434" s="18">
        <v>710000000</v>
      </c>
      <c r="J1434" s="4" t="s">
        <v>1931</v>
      </c>
      <c r="K1434" s="4" t="s">
        <v>5706</v>
      </c>
      <c r="L1434" s="4" t="s">
        <v>1889</v>
      </c>
      <c r="M1434" s="8" t="s">
        <v>3195</v>
      </c>
      <c r="N1434" s="4" t="s">
        <v>1890</v>
      </c>
      <c r="O1434" s="8" t="s">
        <v>1935</v>
      </c>
      <c r="P1434" s="4">
        <v>778</v>
      </c>
      <c r="Q1434" s="4" t="s">
        <v>3327</v>
      </c>
      <c r="R1434" s="34">
        <v>2</v>
      </c>
      <c r="S1434" s="10">
        <v>107</v>
      </c>
      <c r="T1434" s="10">
        <v>0</v>
      </c>
      <c r="U1434" s="10">
        <f t="shared" si="638"/>
        <v>0</v>
      </c>
      <c r="V1434" s="11"/>
      <c r="W1434" s="11">
        <v>2015</v>
      </c>
      <c r="X1434" s="4">
        <v>4.5</v>
      </c>
    </row>
    <row r="1435" spans="1:24" s="23" customFormat="1" ht="76.5" customHeight="1" outlineLevel="1" x14ac:dyDescent="0.2">
      <c r="A1435" s="1" t="s">
        <v>7215</v>
      </c>
      <c r="B1435" s="16" t="s">
        <v>5277</v>
      </c>
      <c r="C1435" s="4" t="s">
        <v>3174</v>
      </c>
      <c r="D1435" s="4" t="s">
        <v>7216</v>
      </c>
      <c r="E1435" s="4" t="s">
        <v>7045</v>
      </c>
      <c r="F1435" s="7"/>
      <c r="G1435" s="4" t="s">
        <v>3190</v>
      </c>
      <c r="H1435" s="22">
        <v>0</v>
      </c>
      <c r="I1435" s="18">
        <v>710000000</v>
      </c>
      <c r="J1435" s="4" t="s">
        <v>1931</v>
      </c>
      <c r="K1435" s="4" t="s">
        <v>5706</v>
      </c>
      <c r="L1435" s="4" t="s">
        <v>1889</v>
      </c>
      <c r="M1435" s="8" t="s">
        <v>3195</v>
      </c>
      <c r="N1435" s="4" t="s">
        <v>1890</v>
      </c>
      <c r="O1435" s="8" t="s">
        <v>1935</v>
      </c>
      <c r="P1435" s="4">
        <v>778</v>
      </c>
      <c r="Q1435" s="4" t="s">
        <v>3327</v>
      </c>
      <c r="R1435" s="10">
        <v>2</v>
      </c>
      <c r="S1435" s="10">
        <v>107</v>
      </c>
      <c r="T1435" s="10">
        <v>0</v>
      </c>
      <c r="U1435" s="10">
        <f t="shared" ref="U1435" si="692">T1435*1.12</f>
        <v>0</v>
      </c>
      <c r="V1435" s="1"/>
      <c r="W1435" s="1">
        <v>2015</v>
      </c>
      <c r="X1435" s="4" t="s">
        <v>7597</v>
      </c>
    </row>
    <row r="1436" spans="1:24" s="23" customFormat="1" ht="76.5" customHeight="1" outlineLevel="1" x14ac:dyDescent="0.2">
      <c r="A1436" s="1" t="s">
        <v>8232</v>
      </c>
      <c r="B1436" s="16" t="s">
        <v>5277</v>
      </c>
      <c r="C1436" s="4" t="s">
        <v>3174</v>
      </c>
      <c r="D1436" s="4" t="s">
        <v>7216</v>
      </c>
      <c r="E1436" s="4" t="s">
        <v>7045</v>
      </c>
      <c r="F1436" s="7"/>
      <c r="G1436" s="4" t="s">
        <v>3190</v>
      </c>
      <c r="H1436" s="22">
        <v>0</v>
      </c>
      <c r="I1436" s="18">
        <v>710000000</v>
      </c>
      <c r="J1436" s="4" t="s">
        <v>1931</v>
      </c>
      <c r="K1436" s="4" t="s">
        <v>756</v>
      </c>
      <c r="L1436" s="4" t="s">
        <v>1889</v>
      </c>
      <c r="M1436" s="8" t="s">
        <v>3195</v>
      </c>
      <c r="N1436" s="4" t="s">
        <v>1890</v>
      </c>
      <c r="O1436" s="8" t="s">
        <v>1935</v>
      </c>
      <c r="P1436" s="4">
        <v>778</v>
      </c>
      <c r="Q1436" s="4" t="s">
        <v>3327</v>
      </c>
      <c r="R1436" s="10">
        <v>2</v>
      </c>
      <c r="S1436" s="10">
        <v>78.574200000000005</v>
      </c>
      <c r="T1436" s="10">
        <f t="shared" ref="T1436" si="693">S1436*R1436</f>
        <v>157.14840000000001</v>
      </c>
      <c r="U1436" s="10">
        <f t="shared" ref="U1436" si="694">T1436*1.12</f>
        <v>176.00620800000002</v>
      </c>
      <c r="V1436" s="1"/>
      <c r="W1436" s="1">
        <v>2015</v>
      </c>
      <c r="X1436" s="4"/>
    </row>
    <row r="1437" spans="1:24" s="23" customFormat="1" ht="76.5" customHeight="1" outlineLevel="1" x14ac:dyDescent="0.2">
      <c r="A1437" s="1" t="s">
        <v>2388</v>
      </c>
      <c r="B1437" s="24" t="s">
        <v>5277</v>
      </c>
      <c r="C1437" s="4" t="s">
        <v>3176</v>
      </c>
      <c r="D1437" s="4" t="s">
        <v>3175</v>
      </c>
      <c r="E1437" s="4" t="s">
        <v>5320</v>
      </c>
      <c r="F1437" s="7">
        <v>0.2</v>
      </c>
      <c r="G1437" s="4" t="s">
        <v>3190</v>
      </c>
      <c r="H1437" s="22">
        <v>0</v>
      </c>
      <c r="I1437" s="18">
        <v>710000000</v>
      </c>
      <c r="J1437" s="4" t="s">
        <v>1931</v>
      </c>
      <c r="K1437" s="4" t="s">
        <v>5706</v>
      </c>
      <c r="L1437" s="4" t="s">
        <v>1889</v>
      </c>
      <c r="M1437" s="8" t="s">
        <v>3195</v>
      </c>
      <c r="N1437" s="4" t="s">
        <v>1890</v>
      </c>
      <c r="O1437" s="8" t="s">
        <v>1935</v>
      </c>
      <c r="P1437" s="4">
        <v>778</v>
      </c>
      <c r="Q1437" s="4" t="s">
        <v>3327</v>
      </c>
      <c r="R1437" s="34">
        <v>10</v>
      </c>
      <c r="S1437" s="10">
        <v>67</v>
      </c>
      <c r="T1437" s="10">
        <v>0</v>
      </c>
      <c r="U1437" s="10">
        <f t="shared" si="638"/>
        <v>0</v>
      </c>
      <c r="V1437" s="11"/>
      <c r="W1437" s="11">
        <v>2015</v>
      </c>
      <c r="X1437" s="4" t="s">
        <v>7071</v>
      </c>
    </row>
    <row r="1438" spans="1:24" s="23" customFormat="1" ht="76.5" customHeight="1" outlineLevel="1" x14ac:dyDescent="0.2">
      <c r="A1438" s="1" t="s">
        <v>7214</v>
      </c>
      <c r="B1438" s="16" t="s">
        <v>5277</v>
      </c>
      <c r="C1438" s="4" t="s">
        <v>7213</v>
      </c>
      <c r="D1438" s="4" t="s">
        <v>7204</v>
      </c>
      <c r="E1438" s="4" t="s">
        <v>7010</v>
      </c>
      <c r="F1438" s="7">
        <v>0.2</v>
      </c>
      <c r="G1438" s="4" t="s">
        <v>3190</v>
      </c>
      <c r="H1438" s="22">
        <v>0</v>
      </c>
      <c r="I1438" s="18">
        <v>710000000</v>
      </c>
      <c r="J1438" s="4" t="s">
        <v>1931</v>
      </c>
      <c r="K1438" s="4" t="s">
        <v>5706</v>
      </c>
      <c r="L1438" s="4" t="s">
        <v>1889</v>
      </c>
      <c r="M1438" s="8" t="s">
        <v>3195</v>
      </c>
      <c r="N1438" s="4" t="s">
        <v>1890</v>
      </c>
      <c r="O1438" s="8" t="s">
        <v>1935</v>
      </c>
      <c r="P1438" s="4">
        <v>778</v>
      </c>
      <c r="Q1438" s="4" t="s">
        <v>3327</v>
      </c>
      <c r="R1438" s="10">
        <v>10</v>
      </c>
      <c r="S1438" s="10">
        <v>67</v>
      </c>
      <c r="T1438" s="10">
        <v>0</v>
      </c>
      <c r="U1438" s="10">
        <f t="shared" ref="U1438" si="695">T1438*1.12</f>
        <v>0</v>
      </c>
      <c r="V1438" s="1"/>
      <c r="W1438" s="1">
        <v>2015</v>
      </c>
      <c r="X1438" s="4" t="s">
        <v>7597</v>
      </c>
    </row>
    <row r="1439" spans="1:24" s="23" customFormat="1" ht="76.5" customHeight="1" outlineLevel="1" x14ac:dyDescent="0.2">
      <c r="A1439" s="1" t="s">
        <v>8233</v>
      </c>
      <c r="B1439" s="16" t="s">
        <v>5277</v>
      </c>
      <c r="C1439" s="4" t="s">
        <v>7213</v>
      </c>
      <c r="D1439" s="4" t="s">
        <v>7204</v>
      </c>
      <c r="E1439" s="4" t="s">
        <v>7010</v>
      </c>
      <c r="F1439" s="7">
        <v>0.2</v>
      </c>
      <c r="G1439" s="4" t="s">
        <v>3190</v>
      </c>
      <c r="H1439" s="22">
        <v>0</v>
      </c>
      <c r="I1439" s="18">
        <v>710000000</v>
      </c>
      <c r="J1439" s="4" t="s">
        <v>1931</v>
      </c>
      <c r="K1439" s="4" t="s">
        <v>756</v>
      </c>
      <c r="L1439" s="4" t="s">
        <v>1889</v>
      </c>
      <c r="M1439" s="8" t="s">
        <v>3195</v>
      </c>
      <c r="N1439" s="4" t="s">
        <v>1890</v>
      </c>
      <c r="O1439" s="8" t="s">
        <v>1935</v>
      </c>
      <c r="P1439" s="4">
        <v>778</v>
      </c>
      <c r="Q1439" s="4" t="s">
        <v>3327</v>
      </c>
      <c r="R1439" s="10">
        <v>10</v>
      </c>
      <c r="S1439" s="10">
        <v>58.035699999999999</v>
      </c>
      <c r="T1439" s="10">
        <f t="shared" ref="T1439" si="696">S1439*R1439</f>
        <v>580.35699999999997</v>
      </c>
      <c r="U1439" s="10">
        <f t="shared" ref="U1439" si="697">T1439*1.12</f>
        <v>649.99984000000006</v>
      </c>
      <c r="V1439" s="1"/>
      <c r="W1439" s="1">
        <v>2015</v>
      </c>
      <c r="X1439" s="4"/>
    </row>
    <row r="1440" spans="1:24" s="23" customFormat="1" ht="76.5" customHeight="1" outlineLevel="1" x14ac:dyDescent="0.2">
      <c r="A1440" s="1" t="s">
        <v>2389</v>
      </c>
      <c r="B1440" s="24" t="s">
        <v>5277</v>
      </c>
      <c r="C1440" s="4" t="s">
        <v>3176</v>
      </c>
      <c r="D1440" s="4" t="s">
        <v>3175</v>
      </c>
      <c r="E1440" s="4" t="s">
        <v>5320</v>
      </c>
      <c r="F1440" s="7">
        <v>0.5</v>
      </c>
      <c r="G1440" s="4" t="s">
        <v>3190</v>
      </c>
      <c r="H1440" s="22">
        <v>0</v>
      </c>
      <c r="I1440" s="18">
        <v>710000000</v>
      </c>
      <c r="J1440" s="4" t="s">
        <v>1931</v>
      </c>
      <c r="K1440" s="4" t="s">
        <v>5706</v>
      </c>
      <c r="L1440" s="4" t="s">
        <v>1889</v>
      </c>
      <c r="M1440" s="8" t="s">
        <v>3195</v>
      </c>
      <c r="N1440" s="4" t="s">
        <v>1890</v>
      </c>
      <c r="O1440" s="8" t="s">
        <v>1935</v>
      </c>
      <c r="P1440" s="4">
        <v>778</v>
      </c>
      <c r="Q1440" s="4" t="s">
        <v>3327</v>
      </c>
      <c r="R1440" s="34">
        <v>10</v>
      </c>
      <c r="S1440" s="10">
        <v>88.8</v>
      </c>
      <c r="T1440" s="10">
        <v>0</v>
      </c>
      <c r="U1440" s="10">
        <f t="shared" si="638"/>
        <v>0</v>
      </c>
      <c r="V1440" s="11"/>
      <c r="W1440" s="11">
        <v>2015</v>
      </c>
      <c r="X1440" s="4" t="s">
        <v>7071</v>
      </c>
    </row>
    <row r="1441" spans="1:24" s="23" customFormat="1" ht="76.5" customHeight="1" outlineLevel="1" x14ac:dyDescent="0.2">
      <c r="A1441" s="1" t="s">
        <v>7212</v>
      </c>
      <c r="B1441" s="16" t="s">
        <v>5277</v>
      </c>
      <c r="C1441" s="4" t="s">
        <v>7213</v>
      </c>
      <c r="D1441" s="4" t="s">
        <v>7204</v>
      </c>
      <c r="E1441" s="4" t="s">
        <v>7010</v>
      </c>
      <c r="F1441" s="7">
        <v>0.5</v>
      </c>
      <c r="G1441" s="4" t="s">
        <v>3190</v>
      </c>
      <c r="H1441" s="22">
        <v>0</v>
      </c>
      <c r="I1441" s="18">
        <v>710000000</v>
      </c>
      <c r="J1441" s="4" t="s">
        <v>1931</v>
      </c>
      <c r="K1441" s="4" t="s">
        <v>5706</v>
      </c>
      <c r="L1441" s="4" t="s">
        <v>1889</v>
      </c>
      <c r="M1441" s="8" t="s">
        <v>3195</v>
      </c>
      <c r="N1441" s="4" t="s">
        <v>1890</v>
      </c>
      <c r="O1441" s="8" t="s">
        <v>1935</v>
      </c>
      <c r="P1441" s="4">
        <v>778</v>
      </c>
      <c r="Q1441" s="4" t="s">
        <v>3327</v>
      </c>
      <c r="R1441" s="10">
        <v>10</v>
      </c>
      <c r="S1441" s="10">
        <v>88.8</v>
      </c>
      <c r="T1441" s="10">
        <v>0</v>
      </c>
      <c r="U1441" s="10">
        <f t="shared" ref="U1441" si="698">T1441*1.12</f>
        <v>0</v>
      </c>
      <c r="V1441" s="1"/>
      <c r="W1441" s="1">
        <v>2015</v>
      </c>
      <c r="X1441" s="4" t="s">
        <v>7597</v>
      </c>
    </row>
    <row r="1442" spans="1:24" s="23" customFormat="1" ht="76.5" customHeight="1" outlineLevel="1" x14ac:dyDescent="0.2">
      <c r="A1442" s="1" t="s">
        <v>8234</v>
      </c>
      <c r="B1442" s="16" t="s">
        <v>5277</v>
      </c>
      <c r="C1442" s="4" t="s">
        <v>7213</v>
      </c>
      <c r="D1442" s="4" t="s">
        <v>7204</v>
      </c>
      <c r="E1442" s="4" t="s">
        <v>7010</v>
      </c>
      <c r="F1442" s="7">
        <v>0.5</v>
      </c>
      <c r="G1442" s="4" t="s">
        <v>3190</v>
      </c>
      <c r="H1442" s="22">
        <v>0</v>
      </c>
      <c r="I1442" s="18">
        <v>710000000</v>
      </c>
      <c r="J1442" s="4" t="s">
        <v>1931</v>
      </c>
      <c r="K1442" s="4" t="s">
        <v>756</v>
      </c>
      <c r="L1442" s="4" t="s">
        <v>1889</v>
      </c>
      <c r="M1442" s="8" t="s">
        <v>3195</v>
      </c>
      <c r="N1442" s="4" t="s">
        <v>1890</v>
      </c>
      <c r="O1442" s="8" t="s">
        <v>1935</v>
      </c>
      <c r="P1442" s="4">
        <v>778</v>
      </c>
      <c r="Q1442" s="4" t="s">
        <v>3327</v>
      </c>
      <c r="R1442" s="10">
        <v>10</v>
      </c>
      <c r="S1442" s="10">
        <v>82.142799999999994</v>
      </c>
      <c r="T1442" s="10">
        <f t="shared" ref="T1442" si="699">S1442*R1442</f>
        <v>821.42799999999988</v>
      </c>
      <c r="U1442" s="10">
        <f t="shared" ref="U1442" si="700">T1442*1.12</f>
        <v>919.99935999999991</v>
      </c>
      <c r="V1442" s="1"/>
      <c r="W1442" s="1">
        <v>2015</v>
      </c>
      <c r="X1442" s="4"/>
    </row>
    <row r="1443" spans="1:24" s="23" customFormat="1" ht="76.5" customHeight="1" outlineLevel="1" x14ac:dyDescent="0.2">
      <c r="A1443" s="1" t="s">
        <v>2390</v>
      </c>
      <c r="B1443" s="24" t="s">
        <v>5277</v>
      </c>
      <c r="C1443" s="4" t="s">
        <v>3461</v>
      </c>
      <c r="D1443" s="4" t="s">
        <v>3462</v>
      </c>
      <c r="E1443" s="4" t="s">
        <v>5321</v>
      </c>
      <c r="F1443" s="63">
        <v>0.01</v>
      </c>
      <c r="G1443" s="4" t="s">
        <v>3190</v>
      </c>
      <c r="H1443" s="22">
        <v>0</v>
      </c>
      <c r="I1443" s="18">
        <v>710000000</v>
      </c>
      <c r="J1443" s="4" t="s">
        <v>1931</v>
      </c>
      <c r="K1443" s="4" t="s">
        <v>5706</v>
      </c>
      <c r="L1443" s="4" t="s">
        <v>1889</v>
      </c>
      <c r="M1443" s="8" t="s">
        <v>3195</v>
      </c>
      <c r="N1443" s="4" t="s">
        <v>1890</v>
      </c>
      <c r="O1443" s="8" t="s">
        <v>1935</v>
      </c>
      <c r="P1443" s="4">
        <v>778</v>
      </c>
      <c r="Q1443" s="4" t="s">
        <v>3327</v>
      </c>
      <c r="R1443" s="34">
        <v>3</v>
      </c>
      <c r="S1443" s="10">
        <v>178.67</v>
      </c>
      <c r="T1443" s="10">
        <v>0</v>
      </c>
      <c r="U1443" s="10">
        <f t="shared" si="638"/>
        <v>0</v>
      </c>
      <c r="V1443" s="11"/>
      <c r="W1443" s="11">
        <v>2015</v>
      </c>
      <c r="X1443" s="4">
        <v>3.5</v>
      </c>
    </row>
    <row r="1444" spans="1:24" s="23" customFormat="1" ht="76.5" customHeight="1" outlineLevel="1" x14ac:dyDescent="0.2">
      <c r="A1444" s="1" t="s">
        <v>7210</v>
      </c>
      <c r="B1444" s="16" t="s">
        <v>5277</v>
      </c>
      <c r="C1444" s="4" t="s">
        <v>7211</v>
      </c>
      <c r="D1444" s="4" t="s">
        <v>3462</v>
      </c>
      <c r="E1444" s="4" t="s">
        <v>7028</v>
      </c>
      <c r="F1444" s="63">
        <v>0.01</v>
      </c>
      <c r="G1444" s="4" t="s">
        <v>3190</v>
      </c>
      <c r="H1444" s="22">
        <v>0</v>
      </c>
      <c r="I1444" s="18">
        <v>710000000</v>
      </c>
      <c r="J1444" s="4" t="s">
        <v>1931</v>
      </c>
      <c r="K1444" s="4" t="s">
        <v>5706</v>
      </c>
      <c r="L1444" s="4" t="s">
        <v>1889</v>
      </c>
      <c r="M1444" s="8" t="s">
        <v>3195</v>
      </c>
      <c r="N1444" s="4" t="s">
        <v>1890</v>
      </c>
      <c r="O1444" s="8" t="s">
        <v>1935</v>
      </c>
      <c r="P1444" s="4">
        <v>778</v>
      </c>
      <c r="Q1444" s="4" t="s">
        <v>3327</v>
      </c>
      <c r="R1444" s="10">
        <v>3</v>
      </c>
      <c r="S1444" s="10">
        <v>178.67</v>
      </c>
      <c r="T1444" s="10">
        <v>0</v>
      </c>
      <c r="U1444" s="10">
        <f t="shared" ref="U1444" si="701">T1444*1.12</f>
        <v>0</v>
      </c>
      <c r="V1444" s="1"/>
      <c r="W1444" s="1">
        <v>2015</v>
      </c>
      <c r="X1444" s="4" t="s">
        <v>7597</v>
      </c>
    </row>
    <row r="1445" spans="1:24" s="23" customFormat="1" ht="76.5" customHeight="1" outlineLevel="1" x14ac:dyDescent="0.2">
      <c r="A1445" s="1" t="s">
        <v>8235</v>
      </c>
      <c r="B1445" s="16" t="s">
        <v>5277</v>
      </c>
      <c r="C1445" s="4" t="s">
        <v>7211</v>
      </c>
      <c r="D1445" s="4" t="s">
        <v>3462</v>
      </c>
      <c r="E1445" s="4" t="s">
        <v>7028</v>
      </c>
      <c r="F1445" s="63">
        <v>0.01</v>
      </c>
      <c r="G1445" s="4" t="s">
        <v>3190</v>
      </c>
      <c r="H1445" s="22">
        <v>0</v>
      </c>
      <c r="I1445" s="18">
        <v>710000000</v>
      </c>
      <c r="J1445" s="4" t="s">
        <v>1931</v>
      </c>
      <c r="K1445" s="4" t="s">
        <v>756</v>
      </c>
      <c r="L1445" s="4" t="s">
        <v>1889</v>
      </c>
      <c r="M1445" s="8" t="s">
        <v>3195</v>
      </c>
      <c r="N1445" s="4" t="s">
        <v>1890</v>
      </c>
      <c r="O1445" s="8" t="s">
        <v>1935</v>
      </c>
      <c r="P1445" s="4">
        <v>778</v>
      </c>
      <c r="Q1445" s="4" t="s">
        <v>3327</v>
      </c>
      <c r="R1445" s="10">
        <v>3</v>
      </c>
      <c r="S1445" s="10">
        <v>369.64280000000002</v>
      </c>
      <c r="T1445" s="10">
        <f t="shared" ref="T1445" si="702">S1445*R1445</f>
        <v>1108.9284</v>
      </c>
      <c r="U1445" s="10">
        <f t="shared" ref="U1445" si="703">T1445*1.12</f>
        <v>1241.999808</v>
      </c>
      <c r="V1445" s="1"/>
      <c r="W1445" s="1">
        <v>2015</v>
      </c>
      <c r="X1445" s="4"/>
    </row>
    <row r="1446" spans="1:24" s="23" customFormat="1" ht="76.5" customHeight="1" outlineLevel="1" x14ac:dyDescent="0.2">
      <c r="A1446" s="1" t="s">
        <v>2391</v>
      </c>
      <c r="B1446" s="24" t="s">
        <v>5277</v>
      </c>
      <c r="C1446" s="4" t="s">
        <v>3463</v>
      </c>
      <c r="D1446" s="4" t="s">
        <v>3464</v>
      </c>
      <c r="E1446" s="4" t="s">
        <v>5322</v>
      </c>
      <c r="F1446" s="7"/>
      <c r="G1446" s="4" t="s">
        <v>3190</v>
      </c>
      <c r="H1446" s="22">
        <v>0</v>
      </c>
      <c r="I1446" s="18">
        <v>710000000</v>
      </c>
      <c r="J1446" s="4" t="s">
        <v>1931</v>
      </c>
      <c r="K1446" s="4" t="s">
        <v>5706</v>
      </c>
      <c r="L1446" s="4" t="s">
        <v>1889</v>
      </c>
      <c r="M1446" s="8" t="s">
        <v>3195</v>
      </c>
      <c r="N1446" s="4" t="s">
        <v>1890</v>
      </c>
      <c r="O1446" s="8" t="s">
        <v>1935</v>
      </c>
      <c r="P1446" s="4">
        <v>872</v>
      </c>
      <c r="Q1446" s="4" t="s">
        <v>3139</v>
      </c>
      <c r="R1446" s="34">
        <v>10</v>
      </c>
      <c r="S1446" s="10">
        <v>1513.4</v>
      </c>
      <c r="T1446" s="10">
        <v>0</v>
      </c>
      <c r="U1446" s="10">
        <f t="shared" si="638"/>
        <v>0</v>
      </c>
      <c r="V1446" s="11"/>
      <c r="W1446" s="11">
        <v>2015</v>
      </c>
      <c r="X1446" s="4" t="s">
        <v>6970</v>
      </c>
    </row>
    <row r="1447" spans="1:24" s="23" customFormat="1" ht="76.5" customHeight="1" outlineLevel="1" x14ac:dyDescent="0.2">
      <c r="A1447" s="1" t="s">
        <v>7206</v>
      </c>
      <c r="B1447" s="16" t="s">
        <v>5277</v>
      </c>
      <c r="C1447" s="4" t="s">
        <v>7209</v>
      </c>
      <c r="D1447" s="4" t="s">
        <v>7207</v>
      </c>
      <c r="E1447" s="4" t="s">
        <v>7208</v>
      </c>
      <c r="F1447" s="7"/>
      <c r="G1447" s="4" t="s">
        <v>3190</v>
      </c>
      <c r="H1447" s="22">
        <v>0</v>
      </c>
      <c r="I1447" s="18">
        <v>710000000</v>
      </c>
      <c r="J1447" s="4" t="s">
        <v>1931</v>
      </c>
      <c r="K1447" s="4" t="s">
        <v>5706</v>
      </c>
      <c r="L1447" s="4" t="s">
        <v>1889</v>
      </c>
      <c r="M1447" s="8" t="s">
        <v>3195</v>
      </c>
      <c r="N1447" s="4" t="s">
        <v>1890</v>
      </c>
      <c r="O1447" s="8" t="s">
        <v>1935</v>
      </c>
      <c r="P1447" s="4">
        <v>778</v>
      </c>
      <c r="Q1447" s="4" t="s">
        <v>3327</v>
      </c>
      <c r="R1447" s="10">
        <v>10</v>
      </c>
      <c r="S1447" s="10">
        <v>1513.4</v>
      </c>
      <c r="T1447" s="10">
        <v>0</v>
      </c>
      <c r="U1447" s="10">
        <f t="shared" ref="U1447" si="704">T1447*1.12</f>
        <v>0</v>
      </c>
      <c r="V1447" s="1"/>
      <c r="W1447" s="1">
        <v>2015</v>
      </c>
      <c r="X1447" s="4" t="s">
        <v>8195</v>
      </c>
    </row>
    <row r="1448" spans="1:24" s="23" customFormat="1" ht="76.5" customHeight="1" outlineLevel="1" x14ac:dyDescent="0.2">
      <c r="A1448" s="1" t="s">
        <v>8236</v>
      </c>
      <c r="B1448" s="16" t="s">
        <v>5277</v>
      </c>
      <c r="C1448" s="4" t="s">
        <v>7209</v>
      </c>
      <c r="D1448" s="4" t="s">
        <v>7207</v>
      </c>
      <c r="E1448" s="4" t="s">
        <v>7208</v>
      </c>
      <c r="F1448" s="7"/>
      <c r="G1448" s="4" t="s">
        <v>3190</v>
      </c>
      <c r="H1448" s="22">
        <v>0</v>
      </c>
      <c r="I1448" s="18">
        <v>710000000</v>
      </c>
      <c r="J1448" s="4" t="s">
        <v>1931</v>
      </c>
      <c r="K1448" s="4" t="s">
        <v>756</v>
      </c>
      <c r="L1448" s="4" t="s">
        <v>1889</v>
      </c>
      <c r="M1448" s="8" t="s">
        <v>3195</v>
      </c>
      <c r="N1448" s="4" t="s">
        <v>1890</v>
      </c>
      <c r="O1448" s="8" t="s">
        <v>1935</v>
      </c>
      <c r="P1448" s="4">
        <v>778</v>
      </c>
      <c r="Q1448" s="4" t="s">
        <v>3327</v>
      </c>
      <c r="R1448" s="10">
        <v>5</v>
      </c>
      <c r="S1448" s="10">
        <v>2213.3928000000001</v>
      </c>
      <c r="T1448" s="10">
        <f t="shared" ref="T1448" si="705">S1448*R1448</f>
        <v>11066.964</v>
      </c>
      <c r="U1448" s="10">
        <f t="shared" ref="U1448" si="706">T1448*1.12</f>
        <v>12394.999680000001</v>
      </c>
      <c r="V1448" s="1"/>
      <c r="W1448" s="1">
        <v>2015</v>
      </c>
      <c r="X1448" s="4"/>
    </row>
    <row r="1449" spans="1:24" s="23" customFormat="1" ht="76.5" customHeight="1" outlineLevel="1" x14ac:dyDescent="0.2">
      <c r="A1449" s="1" t="s">
        <v>2392</v>
      </c>
      <c r="B1449" s="24" t="s">
        <v>5277</v>
      </c>
      <c r="C1449" s="4" t="s">
        <v>3465</v>
      </c>
      <c r="D1449" s="4" t="s">
        <v>7204</v>
      </c>
      <c r="E1449" s="4" t="s">
        <v>7205</v>
      </c>
      <c r="F1449" s="7"/>
      <c r="G1449" s="4" t="s">
        <v>3190</v>
      </c>
      <c r="H1449" s="22">
        <v>0</v>
      </c>
      <c r="I1449" s="18">
        <v>710000000</v>
      </c>
      <c r="J1449" s="4" t="s">
        <v>1931</v>
      </c>
      <c r="K1449" s="4" t="s">
        <v>5706</v>
      </c>
      <c r="L1449" s="4" t="s">
        <v>1889</v>
      </c>
      <c r="M1449" s="8" t="s">
        <v>3195</v>
      </c>
      <c r="N1449" s="4" t="s">
        <v>1890</v>
      </c>
      <c r="O1449" s="8" t="s">
        <v>1935</v>
      </c>
      <c r="P1449" s="4">
        <v>778</v>
      </c>
      <c r="Q1449" s="4" t="s">
        <v>3327</v>
      </c>
      <c r="R1449" s="34">
        <v>2</v>
      </c>
      <c r="S1449" s="10">
        <v>93</v>
      </c>
      <c r="T1449" s="10">
        <v>0</v>
      </c>
      <c r="U1449" s="10">
        <f t="shared" si="638"/>
        <v>0</v>
      </c>
      <c r="V1449" s="11"/>
      <c r="W1449" s="11">
        <v>2015</v>
      </c>
      <c r="X1449" s="4">
        <v>4.5</v>
      </c>
    </row>
    <row r="1450" spans="1:24" s="23" customFormat="1" ht="76.5" customHeight="1" outlineLevel="1" x14ac:dyDescent="0.2">
      <c r="A1450" s="1" t="s">
        <v>8237</v>
      </c>
      <c r="B1450" s="16" t="s">
        <v>5277</v>
      </c>
      <c r="C1450" s="4" t="s">
        <v>3465</v>
      </c>
      <c r="D1450" s="4" t="s">
        <v>7204</v>
      </c>
      <c r="E1450" s="4" t="s">
        <v>7205</v>
      </c>
      <c r="F1450" s="7"/>
      <c r="G1450" s="4" t="s">
        <v>3190</v>
      </c>
      <c r="H1450" s="22">
        <v>0</v>
      </c>
      <c r="I1450" s="18">
        <v>710000000</v>
      </c>
      <c r="J1450" s="4" t="s">
        <v>1931</v>
      </c>
      <c r="K1450" s="4" t="s">
        <v>5706</v>
      </c>
      <c r="L1450" s="4" t="s">
        <v>1889</v>
      </c>
      <c r="M1450" s="8" t="s">
        <v>3195</v>
      </c>
      <c r="N1450" s="4" t="s">
        <v>1890</v>
      </c>
      <c r="O1450" s="8" t="s">
        <v>1935</v>
      </c>
      <c r="P1450" s="4">
        <v>778</v>
      </c>
      <c r="Q1450" s="4" t="s">
        <v>3327</v>
      </c>
      <c r="R1450" s="10">
        <v>2</v>
      </c>
      <c r="S1450" s="10">
        <v>93</v>
      </c>
      <c r="T1450" s="10">
        <v>0</v>
      </c>
      <c r="U1450" s="10">
        <f t="shared" ref="U1450" si="707">T1450*1.12</f>
        <v>0</v>
      </c>
      <c r="V1450" s="1"/>
      <c r="W1450" s="1">
        <v>2015</v>
      </c>
      <c r="X1450" s="4" t="s">
        <v>7597</v>
      </c>
    </row>
    <row r="1451" spans="1:24" s="23" customFormat="1" ht="76.5" customHeight="1" outlineLevel="1" x14ac:dyDescent="0.2">
      <c r="A1451" s="1" t="s">
        <v>7203</v>
      </c>
      <c r="B1451" s="16" t="s">
        <v>5277</v>
      </c>
      <c r="C1451" s="4" t="s">
        <v>3465</v>
      </c>
      <c r="D1451" s="4" t="s">
        <v>7204</v>
      </c>
      <c r="E1451" s="4" t="s">
        <v>7205</v>
      </c>
      <c r="F1451" s="7"/>
      <c r="G1451" s="4" t="s">
        <v>3190</v>
      </c>
      <c r="H1451" s="22">
        <v>0</v>
      </c>
      <c r="I1451" s="18">
        <v>710000000</v>
      </c>
      <c r="J1451" s="4" t="s">
        <v>1931</v>
      </c>
      <c r="K1451" s="4" t="s">
        <v>756</v>
      </c>
      <c r="L1451" s="4" t="s">
        <v>1889</v>
      </c>
      <c r="M1451" s="8" t="s">
        <v>3195</v>
      </c>
      <c r="N1451" s="4" t="s">
        <v>1890</v>
      </c>
      <c r="O1451" s="8" t="s">
        <v>1935</v>
      </c>
      <c r="P1451" s="4">
        <v>778</v>
      </c>
      <c r="Q1451" s="4" t="s">
        <v>3327</v>
      </c>
      <c r="R1451" s="10">
        <v>2</v>
      </c>
      <c r="S1451" s="10">
        <v>106.25</v>
      </c>
      <c r="T1451" s="10">
        <f>R1451*S1451</f>
        <v>212.5</v>
      </c>
      <c r="U1451" s="10">
        <f t="shared" ref="U1451" si="708">T1451*1.12</f>
        <v>238.00000000000003</v>
      </c>
      <c r="V1451" s="1"/>
      <c r="W1451" s="1">
        <v>2015</v>
      </c>
      <c r="X1451" s="4"/>
    </row>
    <row r="1452" spans="1:24" s="23" customFormat="1" ht="76.5" customHeight="1" outlineLevel="1" x14ac:dyDescent="0.2">
      <c r="A1452" s="1" t="s">
        <v>2393</v>
      </c>
      <c r="B1452" s="16" t="s">
        <v>5277</v>
      </c>
      <c r="C1452" s="4" t="s">
        <v>1602</v>
      </c>
      <c r="D1452" s="4" t="s">
        <v>1603</v>
      </c>
      <c r="E1452" s="4" t="s">
        <v>1604</v>
      </c>
      <c r="F1452" s="7"/>
      <c r="G1452" s="4" t="s">
        <v>3190</v>
      </c>
      <c r="H1452" s="22">
        <v>0</v>
      </c>
      <c r="I1452" s="18">
        <v>710000000</v>
      </c>
      <c r="J1452" s="4" t="s">
        <v>1931</v>
      </c>
      <c r="K1452" s="4" t="s">
        <v>5706</v>
      </c>
      <c r="L1452" s="4" t="s">
        <v>1889</v>
      </c>
      <c r="M1452" s="8" t="s">
        <v>3195</v>
      </c>
      <c r="N1452" s="4" t="s">
        <v>1890</v>
      </c>
      <c r="O1452" s="8" t="s">
        <v>1935</v>
      </c>
      <c r="P1452" s="4">
        <v>778</v>
      </c>
      <c r="Q1452" s="4" t="s">
        <v>3327</v>
      </c>
      <c r="R1452" s="10">
        <v>20</v>
      </c>
      <c r="S1452" s="10">
        <v>153.55000000000001</v>
      </c>
      <c r="T1452" s="10">
        <v>0</v>
      </c>
      <c r="U1452" s="10">
        <f t="shared" si="638"/>
        <v>0</v>
      </c>
      <c r="V1452" s="1"/>
      <c r="W1452" s="1">
        <v>2015</v>
      </c>
      <c r="X1452" s="4" t="s">
        <v>7597</v>
      </c>
    </row>
    <row r="1453" spans="1:24" s="23" customFormat="1" ht="76.5" customHeight="1" outlineLevel="1" x14ac:dyDescent="0.2">
      <c r="A1453" s="1" t="s">
        <v>8238</v>
      </c>
      <c r="B1453" s="16" t="s">
        <v>5277</v>
      </c>
      <c r="C1453" s="4" t="s">
        <v>1602</v>
      </c>
      <c r="D1453" s="4" t="s">
        <v>1603</v>
      </c>
      <c r="E1453" s="4" t="s">
        <v>1604</v>
      </c>
      <c r="F1453" s="7"/>
      <c r="G1453" s="4" t="s">
        <v>3190</v>
      </c>
      <c r="H1453" s="22">
        <v>0</v>
      </c>
      <c r="I1453" s="18">
        <v>710000000</v>
      </c>
      <c r="J1453" s="4" t="s">
        <v>1931</v>
      </c>
      <c r="K1453" s="4" t="s">
        <v>756</v>
      </c>
      <c r="L1453" s="4" t="s">
        <v>1889</v>
      </c>
      <c r="M1453" s="8" t="s">
        <v>3195</v>
      </c>
      <c r="N1453" s="4" t="s">
        <v>1890</v>
      </c>
      <c r="O1453" s="8" t="s">
        <v>1935</v>
      </c>
      <c r="P1453" s="4">
        <v>778</v>
      </c>
      <c r="Q1453" s="4" t="s">
        <v>3327</v>
      </c>
      <c r="R1453" s="10">
        <v>20</v>
      </c>
      <c r="S1453" s="10">
        <v>135.71420000000001</v>
      </c>
      <c r="T1453" s="10">
        <f t="shared" ref="T1453" si="709">S1453*R1453</f>
        <v>2714.2840000000001</v>
      </c>
      <c r="U1453" s="10">
        <f t="shared" ref="U1453" si="710">T1453*1.12</f>
        <v>3039.9980800000003</v>
      </c>
      <c r="V1453" s="1"/>
      <c r="W1453" s="1">
        <v>2015</v>
      </c>
      <c r="X1453" s="4"/>
    </row>
    <row r="1454" spans="1:24" s="23" customFormat="1" ht="76.5" customHeight="1" outlineLevel="1" x14ac:dyDescent="0.2">
      <c r="A1454" s="1" t="s">
        <v>2394</v>
      </c>
      <c r="B1454" s="24" t="s">
        <v>5277</v>
      </c>
      <c r="C1454" s="4" t="s">
        <v>6403</v>
      </c>
      <c r="D1454" s="4" t="s">
        <v>6404</v>
      </c>
      <c r="E1454" s="4" t="s">
        <v>7010</v>
      </c>
      <c r="F1454" s="16" t="s">
        <v>6405</v>
      </c>
      <c r="G1454" s="4" t="s">
        <v>3190</v>
      </c>
      <c r="H1454" s="22">
        <v>0</v>
      </c>
      <c r="I1454" s="18">
        <v>710000000</v>
      </c>
      <c r="J1454" s="4" t="s">
        <v>1931</v>
      </c>
      <c r="K1454" s="4" t="s">
        <v>5706</v>
      </c>
      <c r="L1454" s="4" t="s">
        <v>1889</v>
      </c>
      <c r="M1454" s="4" t="s">
        <v>3195</v>
      </c>
      <c r="N1454" s="4" t="s">
        <v>1890</v>
      </c>
      <c r="O1454" s="8" t="s">
        <v>1935</v>
      </c>
      <c r="P1454" s="4">
        <v>778</v>
      </c>
      <c r="Q1454" s="4" t="s">
        <v>3327</v>
      </c>
      <c r="R1454" s="10">
        <v>2</v>
      </c>
      <c r="S1454" s="10">
        <v>939.5</v>
      </c>
      <c r="T1454" s="10">
        <v>0</v>
      </c>
      <c r="U1454" s="10">
        <f t="shared" si="638"/>
        <v>0</v>
      </c>
      <c r="V1454" s="11"/>
      <c r="W1454" s="11">
        <v>2015</v>
      </c>
      <c r="X1454" s="4">
        <v>5</v>
      </c>
    </row>
    <row r="1455" spans="1:24" s="23" customFormat="1" ht="76.5" customHeight="1" outlineLevel="1" x14ac:dyDescent="0.2">
      <c r="A1455" s="1" t="s">
        <v>7192</v>
      </c>
      <c r="B1455" s="16" t="s">
        <v>5277</v>
      </c>
      <c r="C1455" s="4" t="s">
        <v>6403</v>
      </c>
      <c r="D1455" s="4" t="s">
        <v>6404</v>
      </c>
      <c r="E1455" s="4" t="s">
        <v>7010</v>
      </c>
      <c r="F1455" s="16" t="s">
        <v>6405</v>
      </c>
      <c r="G1455" s="4" t="s">
        <v>3190</v>
      </c>
      <c r="H1455" s="22">
        <v>0</v>
      </c>
      <c r="I1455" s="18">
        <v>710000000</v>
      </c>
      <c r="J1455" s="4" t="s">
        <v>1931</v>
      </c>
      <c r="K1455" s="4" t="s">
        <v>5706</v>
      </c>
      <c r="L1455" s="4" t="s">
        <v>1889</v>
      </c>
      <c r="M1455" s="4" t="s">
        <v>3195</v>
      </c>
      <c r="N1455" s="4" t="s">
        <v>1890</v>
      </c>
      <c r="O1455" s="8" t="s">
        <v>1935</v>
      </c>
      <c r="P1455" s="4">
        <v>778</v>
      </c>
      <c r="Q1455" s="4" t="s">
        <v>3327</v>
      </c>
      <c r="R1455" s="10">
        <v>2</v>
      </c>
      <c r="S1455" s="10">
        <v>939.5</v>
      </c>
      <c r="T1455" s="10">
        <v>0</v>
      </c>
      <c r="U1455" s="10">
        <f t="shared" ref="U1455" si="711">T1455*1.12</f>
        <v>0</v>
      </c>
      <c r="V1455" s="1"/>
      <c r="W1455" s="1">
        <v>2015</v>
      </c>
      <c r="X1455" s="4" t="s">
        <v>7597</v>
      </c>
    </row>
    <row r="1456" spans="1:24" s="23" customFormat="1" ht="76.5" customHeight="1" outlineLevel="1" x14ac:dyDescent="0.2">
      <c r="A1456" s="1" t="s">
        <v>8239</v>
      </c>
      <c r="B1456" s="16" t="s">
        <v>5277</v>
      </c>
      <c r="C1456" s="4" t="s">
        <v>6403</v>
      </c>
      <c r="D1456" s="4" t="s">
        <v>6404</v>
      </c>
      <c r="E1456" s="4" t="s">
        <v>7010</v>
      </c>
      <c r="F1456" s="16" t="s">
        <v>6405</v>
      </c>
      <c r="G1456" s="4" t="s">
        <v>3190</v>
      </c>
      <c r="H1456" s="22">
        <v>0</v>
      </c>
      <c r="I1456" s="18">
        <v>710000000</v>
      </c>
      <c r="J1456" s="4" t="s">
        <v>1931</v>
      </c>
      <c r="K1456" s="4" t="s">
        <v>756</v>
      </c>
      <c r="L1456" s="4" t="s">
        <v>1889</v>
      </c>
      <c r="M1456" s="4" t="s">
        <v>3195</v>
      </c>
      <c r="N1456" s="4" t="s">
        <v>1890</v>
      </c>
      <c r="O1456" s="8" t="s">
        <v>1935</v>
      </c>
      <c r="P1456" s="4">
        <v>778</v>
      </c>
      <c r="Q1456" s="4" t="s">
        <v>3327</v>
      </c>
      <c r="R1456" s="10">
        <v>2</v>
      </c>
      <c r="S1456" s="10">
        <v>510.71420000000001</v>
      </c>
      <c r="T1456" s="10">
        <f t="shared" ref="T1456" si="712">S1456*R1456</f>
        <v>1021.4284</v>
      </c>
      <c r="U1456" s="10">
        <f t="shared" ref="U1456" si="713">T1456*1.12</f>
        <v>1143.999808</v>
      </c>
      <c r="V1456" s="1"/>
      <c r="W1456" s="1">
        <v>2015</v>
      </c>
      <c r="X1456" s="4"/>
    </row>
    <row r="1457" spans="1:24" s="23" customFormat="1" ht="76.5" customHeight="1" outlineLevel="1" x14ac:dyDescent="0.2">
      <c r="A1457" s="1" t="s">
        <v>2395</v>
      </c>
      <c r="B1457" s="24" t="s">
        <v>5277</v>
      </c>
      <c r="C1457" s="4" t="s">
        <v>6403</v>
      </c>
      <c r="D1457" s="4" t="s">
        <v>6404</v>
      </c>
      <c r="E1457" s="4" t="s">
        <v>7010</v>
      </c>
      <c r="F1457" s="16" t="s">
        <v>6406</v>
      </c>
      <c r="G1457" s="4" t="s">
        <v>3190</v>
      </c>
      <c r="H1457" s="22">
        <v>0</v>
      </c>
      <c r="I1457" s="18">
        <v>710000000</v>
      </c>
      <c r="J1457" s="4" t="s">
        <v>1931</v>
      </c>
      <c r="K1457" s="4" t="s">
        <v>5706</v>
      </c>
      <c r="L1457" s="4" t="s">
        <v>1889</v>
      </c>
      <c r="M1457" s="4" t="s">
        <v>3195</v>
      </c>
      <c r="N1457" s="4" t="s">
        <v>1890</v>
      </c>
      <c r="O1457" s="8" t="s">
        <v>1935</v>
      </c>
      <c r="P1457" s="4">
        <v>778</v>
      </c>
      <c r="Q1457" s="4" t="s">
        <v>3327</v>
      </c>
      <c r="R1457" s="10">
        <v>2</v>
      </c>
      <c r="S1457" s="10">
        <v>410.5</v>
      </c>
      <c r="T1457" s="10">
        <v>0</v>
      </c>
      <c r="U1457" s="10">
        <f t="shared" si="638"/>
        <v>0</v>
      </c>
      <c r="V1457" s="11"/>
      <c r="W1457" s="11">
        <v>2015</v>
      </c>
      <c r="X1457" s="4">
        <v>5</v>
      </c>
    </row>
    <row r="1458" spans="1:24" s="23" customFormat="1" ht="76.5" customHeight="1" outlineLevel="1" x14ac:dyDescent="0.2">
      <c r="A1458" s="1" t="s">
        <v>7193</v>
      </c>
      <c r="B1458" s="24" t="s">
        <v>5277</v>
      </c>
      <c r="C1458" s="4" t="s">
        <v>6403</v>
      </c>
      <c r="D1458" s="4" t="s">
        <v>6404</v>
      </c>
      <c r="E1458" s="4" t="s">
        <v>7010</v>
      </c>
      <c r="F1458" s="16" t="s">
        <v>6406</v>
      </c>
      <c r="G1458" s="4" t="s">
        <v>3190</v>
      </c>
      <c r="H1458" s="22">
        <v>0</v>
      </c>
      <c r="I1458" s="18">
        <v>710000000</v>
      </c>
      <c r="J1458" s="4" t="s">
        <v>1931</v>
      </c>
      <c r="K1458" s="4" t="s">
        <v>5706</v>
      </c>
      <c r="L1458" s="4" t="s">
        <v>1889</v>
      </c>
      <c r="M1458" s="4" t="s">
        <v>3195</v>
      </c>
      <c r="N1458" s="4" t="s">
        <v>1890</v>
      </c>
      <c r="O1458" s="8" t="s">
        <v>1935</v>
      </c>
      <c r="P1458" s="4">
        <v>778</v>
      </c>
      <c r="Q1458" s="4" t="s">
        <v>3327</v>
      </c>
      <c r="R1458" s="10">
        <v>2</v>
      </c>
      <c r="S1458" s="10">
        <v>410.5</v>
      </c>
      <c r="T1458" s="10">
        <f t="shared" ref="T1458" si="714">S1458*R1458</f>
        <v>821</v>
      </c>
      <c r="U1458" s="10">
        <f t="shared" ref="U1458" si="715">T1458*1.12</f>
        <v>919.5200000000001</v>
      </c>
      <c r="V1458" s="11"/>
      <c r="W1458" s="11">
        <v>2015</v>
      </c>
      <c r="X1458" s="4"/>
    </row>
    <row r="1459" spans="1:24" s="23" customFormat="1" ht="76.5" customHeight="1" outlineLevel="1" x14ac:dyDescent="0.2">
      <c r="A1459" s="1" t="s">
        <v>2396</v>
      </c>
      <c r="B1459" s="24" t="s">
        <v>5277</v>
      </c>
      <c r="C1459" s="4" t="s">
        <v>3466</v>
      </c>
      <c r="D1459" s="4" t="s">
        <v>5323</v>
      </c>
      <c r="E1459" s="4" t="s">
        <v>7110</v>
      </c>
      <c r="F1459" s="7"/>
      <c r="G1459" s="4" t="s">
        <v>3190</v>
      </c>
      <c r="H1459" s="22">
        <v>0</v>
      </c>
      <c r="I1459" s="18">
        <v>710000000</v>
      </c>
      <c r="J1459" s="4" t="s">
        <v>1931</v>
      </c>
      <c r="K1459" s="4" t="s">
        <v>5706</v>
      </c>
      <c r="L1459" s="4" t="s">
        <v>1889</v>
      </c>
      <c r="M1459" s="8" t="s">
        <v>3195</v>
      </c>
      <c r="N1459" s="4" t="s">
        <v>1890</v>
      </c>
      <c r="O1459" s="8" t="s">
        <v>1935</v>
      </c>
      <c r="P1459" s="4">
        <v>778</v>
      </c>
      <c r="Q1459" s="4" t="s">
        <v>3327</v>
      </c>
      <c r="R1459" s="34">
        <v>3</v>
      </c>
      <c r="S1459" s="10">
        <v>26</v>
      </c>
      <c r="T1459" s="10">
        <v>0</v>
      </c>
      <c r="U1459" s="10">
        <f t="shared" si="638"/>
        <v>0</v>
      </c>
      <c r="V1459" s="11"/>
      <c r="W1459" s="11">
        <v>2015</v>
      </c>
      <c r="X1459" s="4">
        <v>5</v>
      </c>
    </row>
    <row r="1460" spans="1:24" s="23" customFormat="1" ht="76.5" customHeight="1" outlineLevel="1" x14ac:dyDescent="0.2">
      <c r="A1460" s="1" t="s">
        <v>7191</v>
      </c>
      <c r="B1460" s="16" t="s">
        <v>5277</v>
      </c>
      <c r="C1460" s="4" t="s">
        <v>3466</v>
      </c>
      <c r="D1460" s="4" t="s">
        <v>5323</v>
      </c>
      <c r="E1460" s="4" t="s">
        <v>7110</v>
      </c>
      <c r="F1460" s="7"/>
      <c r="G1460" s="4" t="s">
        <v>3190</v>
      </c>
      <c r="H1460" s="22">
        <v>0</v>
      </c>
      <c r="I1460" s="18">
        <v>710000000</v>
      </c>
      <c r="J1460" s="4" t="s">
        <v>1931</v>
      </c>
      <c r="K1460" s="4" t="s">
        <v>5706</v>
      </c>
      <c r="L1460" s="4" t="s">
        <v>1889</v>
      </c>
      <c r="M1460" s="8" t="s">
        <v>3195</v>
      </c>
      <c r="N1460" s="4" t="s">
        <v>1890</v>
      </c>
      <c r="O1460" s="8" t="s">
        <v>1935</v>
      </c>
      <c r="P1460" s="4">
        <v>778</v>
      </c>
      <c r="Q1460" s="4" t="s">
        <v>3327</v>
      </c>
      <c r="R1460" s="10">
        <v>3</v>
      </c>
      <c r="S1460" s="10">
        <v>26</v>
      </c>
      <c r="T1460" s="10">
        <v>0</v>
      </c>
      <c r="U1460" s="10">
        <f t="shared" ref="U1460" si="716">T1460*1.12</f>
        <v>0</v>
      </c>
      <c r="V1460" s="1"/>
      <c r="W1460" s="1">
        <v>2015</v>
      </c>
      <c r="X1460" s="4" t="s">
        <v>7597</v>
      </c>
    </row>
    <row r="1461" spans="1:24" s="23" customFormat="1" ht="76.5" customHeight="1" outlineLevel="1" x14ac:dyDescent="0.2">
      <c r="A1461" s="1" t="s">
        <v>8240</v>
      </c>
      <c r="B1461" s="16" t="s">
        <v>5277</v>
      </c>
      <c r="C1461" s="4" t="s">
        <v>3466</v>
      </c>
      <c r="D1461" s="4" t="s">
        <v>5323</v>
      </c>
      <c r="E1461" s="4" t="s">
        <v>7110</v>
      </c>
      <c r="F1461" s="7"/>
      <c r="G1461" s="4" t="s">
        <v>3190</v>
      </c>
      <c r="H1461" s="22">
        <v>0</v>
      </c>
      <c r="I1461" s="18">
        <v>710000000</v>
      </c>
      <c r="J1461" s="4" t="s">
        <v>1931</v>
      </c>
      <c r="K1461" s="4" t="s">
        <v>756</v>
      </c>
      <c r="L1461" s="4" t="s">
        <v>1889</v>
      </c>
      <c r="M1461" s="8" t="s">
        <v>3195</v>
      </c>
      <c r="N1461" s="4" t="s">
        <v>1890</v>
      </c>
      <c r="O1461" s="8" t="s">
        <v>1935</v>
      </c>
      <c r="P1461" s="4">
        <v>778</v>
      </c>
      <c r="Q1461" s="4" t="s">
        <v>3327</v>
      </c>
      <c r="R1461" s="10">
        <v>3</v>
      </c>
      <c r="S1461" s="10">
        <v>24.107099999999999</v>
      </c>
      <c r="T1461" s="10">
        <f t="shared" ref="T1461" si="717">S1461*R1461</f>
        <v>72.321299999999994</v>
      </c>
      <c r="U1461" s="10">
        <f t="shared" ref="U1461" si="718">T1461*1.12</f>
        <v>80.999855999999994</v>
      </c>
      <c r="V1461" s="1"/>
      <c r="W1461" s="1">
        <v>2015</v>
      </c>
      <c r="X1461" s="4"/>
    </row>
    <row r="1462" spans="1:24" s="23" customFormat="1" ht="76.5" customHeight="1" outlineLevel="1" x14ac:dyDescent="0.2">
      <c r="A1462" s="1" t="s">
        <v>2397</v>
      </c>
      <c r="B1462" s="24" t="s">
        <v>5277</v>
      </c>
      <c r="C1462" s="4" t="s">
        <v>3467</v>
      </c>
      <c r="D1462" s="4" t="s">
        <v>7605</v>
      </c>
      <c r="E1462" s="4" t="s">
        <v>7010</v>
      </c>
      <c r="F1462" s="7"/>
      <c r="G1462" s="4" t="s">
        <v>3190</v>
      </c>
      <c r="H1462" s="22">
        <v>0</v>
      </c>
      <c r="I1462" s="18">
        <v>710000000</v>
      </c>
      <c r="J1462" s="4" t="s">
        <v>1931</v>
      </c>
      <c r="K1462" s="4" t="s">
        <v>5706</v>
      </c>
      <c r="L1462" s="4" t="s">
        <v>1889</v>
      </c>
      <c r="M1462" s="8" t="s">
        <v>3195</v>
      </c>
      <c r="N1462" s="4" t="s">
        <v>1890</v>
      </c>
      <c r="O1462" s="8" t="s">
        <v>1935</v>
      </c>
      <c r="P1462" s="4">
        <v>778</v>
      </c>
      <c r="Q1462" s="4" t="s">
        <v>3327</v>
      </c>
      <c r="R1462" s="34">
        <v>3</v>
      </c>
      <c r="S1462" s="10">
        <v>707</v>
      </c>
      <c r="T1462" s="10">
        <v>0</v>
      </c>
      <c r="U1462" s="10">
        <f t="shared" si="638"/>
        <v>0</v>
      </c>
      <c r="V1462" s="11"/>
      <c r="W1462" s="11">
        <v>2015</v>
      </c>
      <c r="X1462" s="4">
        <v>4.5</v>
      </c>
    </row>
    <row r="1463" spans="1:24" s="23" customFormat="1" ht="76.5" customHeight="1" outlineLevel="1" x14ac:dyDescent="0.2">
      <c r="A1463" s="1" t="s">
        <v>7190</v>
      </c>
      <c r="B1463" s="24" t="s">
        <v>5277</v>
      </c>
      <c r="C1463" s="4" t="s">
        <v>3467</v>
      </c>
      <c r="D1463" s="4" t="s">
        <v>7605</v>
      </c>
      <c r="E1463" s="4" t="s">
        <v>7010</v>
      </c>
      <c r="F1463" s="7"/>
      <c r="G1463" s="4" t="s">
        <v>3190</v>
      </c>
      <c r="H1463" s="22">
        <v>0</v>
      </c>
      <c r="I1463" s="18">
        <v>710000000</v>
      </c>
      <c r="J1463" s="4" t="s">
        <v>1931</v>
      </c>
      <c r="K1463" s="4" t="s">
        <v>5706</v>
      </c>
      <c r="L1463" s="4" t="s">
        <v>1889</v>
      </c>
      <c r="M1463" s="8" t="s">
        <v>3195</v>
      </c>
      <c r="N1463" s="4" t="s">
        <v>1890</v>
      </c>
      <c r="O1463" s="8" t="s">
        <v>1935</v>
      </c>
      <c r="P1463" s="4">
        <v>778</v>
      </c>
      <c r="Q1463" s="4" t="s">
        <v>3327</v>
      </c>
      <c r="R1463" s="34">
        <v>3</v>
      </c>
      <c r="S1463" s="10">
        <v>707</v>
      </c>
      <c r="T1463" s="10">
        <f t="shared" ref="T1463" si="719">S1463*R1463</f>
        <v>2121</v>
      </c>
      <c r="U1463" s="10">
        <f t="shared" ref="U1463" si="720">T1463*1.12</f>
        <v>2375.5200000000004</v>
      </c>
      <c r="V1463" s="11"/>
      <c r="W1463" s="11">
        <v>2015</v>
      </c>
      <c r="X1463" s="4"/>
    </row>
    <row r="1464" spans="1:24" s="23" customFormat="1" ht="76.5" customHeight="1" outlineLevel="1" x14ac:dyDescent="0.2">
      <c r="A1464" s="1" t="s">
        <v>2398</v>
      </c>
      <c r="B1464" s="24" t="s">
        <v>5277</v>
      </c>
      <c r="C1464" s="4" t="s">
        <v>1605</v>
      </c>
      <c r="D1464" s="4" t="s">
        <v>3468</v>
      </c>
      <c r="E1464" s="4" t="s">
        <v>5324</v>
      </c>
      <c r="F1464" s="7"/>
      <c r="G1464" s="4" t="s">
        <v>3190</v>
      </c>
      <c r="H1464" s="22">
        <v>0</v>
      </c>
      <c r="I1464" s="18">
        <v>710000000</v>
      </c>
      <c r="J1464" s="4" t="s">
        <v>1931</v>
      </c>
      <c r="K1464" s="4" t="s">
        <v>5706</v>
      </c>
      <c r="L1464" s="4" t="s">
        <v>1889</v>
      </c>
      <c r="M1464" s="8" t="s">
        <v>3195</v>
      </c>
      <c r="N1464" s="4" t="s">
        <v>1890</v>
      </c>
      <c r="O1464" s="8" t="s">
        <v>1935</v>
      </c>
      <c r="P1464" s="4">
        <v>778</v>
      </c>
      <c r="Q1464" s="4" t="s">
        <v>3327</v>
      </c>
      <c r="R1464" s="34">
        <v>5</v>
      </c>
      <c r="S1464" s="10">
        <v>242.4</v>
      </c>
      <c r="T1464" s="10">
        <v>0</v>
      </c>
      <c r="U1464" s="10">
        <f t="shared" si="638"/>
        <v>0</v>
      </c>
      <c r="V1464" s="11"/>
      <c r="W1464" s="11">
        <v>2015</v>
      </c>
      <c r="X1464" s="4" t="s">
        <v>7071</v>
      </c>
    </row>
    <row r="1465" spans="1:24" s="23" customFormat="1" ht="76.5" customHeight="1" outlineLevel="1" x14ac:dyDescent="0.2">
      <c r="A1465" s="1" t="s">
        <v>7189</v>
      </c>
      <c r="B1465" s="16" t="s">
        <v>5277</v>
      </c>
      <c r="C1465" s="4" t="s">
        <v>7070</v>
      </c>
      <c r="D1465" s="4" t="s">
        <v>7069</v>
      </c>
      <c r="E1465" s="4" t="s">
        <v>7010</v>
      </c>
      <c r="F1465" s="7"/>
      <c r="G1465" s="4" t="s">
        <v>3190</v>
      </c>
      <c r="H1465" s="22">
        <v>0</v>
      </c>
      <c r="I1465" s="18">
        <v>710000000</v>
      </c>
      <c r="J1465" s="4" t="s">
        <v>1931</v>
      </c>
      <c r="K1465" s="4" t="s">
        <v>5706</v>
      </c>
      <c r="L1465" s="4" t="s">
        <v>1889</v>
      </c>
      <c r="M1465" s="8" t="s">
        <v>3195</v>
      </c>
      <c r="N1465" s="4" t="s">
        <v>1890</v>
      </c>
      <c r="O1465" s="8" t="s">
        <v>1935</v>
      </c>
      <c r="P1465" s="4">
        <v>778</v>
      </c>
      <c r="Q1465" s="4" t="s">
        <v>3327</v>
      </c>
      <c r="R1465" s="10">
        <v>5</v>
      </c>
      <c r="S1465" s="10">
        <v>242.4</v>
      </c>
      <c r="T1465" s="10">
        <v>0</v>
      </c>
      <c r="U1465" s="10">
        <f t="shared" ref="U1465" si="721">T1465*1.12</f>
        <v>0</v>
      </c>
      <c r="V1465" s="1"/>
      <c r="W1465" s="1">
        <v>2015</v>
      </c>
      <c r="X1465" s="4" t="s">
        <v>7597</v>
      </c>
    </row>
    <row r="1466" spans="1:24" s="23" customFormat="1" ht="76.5" customHeight="1" outlineLevel="1" x14ac:dyDescent="0.2">
      <c r="A1466" s="1" t="s">
        <v>8241</v>
      </c>
      <c r="B1466" s="16" t="s">
        <v>5277</v>
      </c>
      <c r="C1466" s="4" t="s">
        <v>7070</v>
      </c>
      <c r="D1466" s="4" t="s">
        <v>7069</v>
      </c>
      <c r="E1466" s="4" t="s">
        <v>7010</v>
      </c>
      <c r="F1466" s="7"/>
      <c r="G1466" s="4" t="s">
        <v>3190</v>
      </c>
      <c r="H1466" s="22">
        <v>0</v>
      </c>
      <c r="I1466" s="18">
        <v>710000000</v>
      </c>
      <c r="J1466" s="4" t="s">
        <v>1931</v>
      </c>
      <c r="K1466" s="4" t="s">
        <v>756</v>
      </c>
      <c r="L1466" s="4" t="s">
        <v>1889</v>
      </c>
      <c r="M1466" s="8" t="s">
        <v>3195</v>
      </c>
      <c r="N1466" s="4" t="s">
        <v>1890</v>
      </c>
      <c r="O1466" s="8" t="s">
        <v>1935</v>
      </c>
      <c r="P1466" s="4">
        <v>778</v>
      </c>
      <c r="Q1466" s="4" t="s">
        <v>3327</v>
      </c>
      <c r="R1466" s="10">
        <v>5</v>
      </c>
      <c r="S1466" s="10">
        <v>151.78569999999999</v>
      </c>
      <c r="T1466" s="10">
        <f t="shared" ref="T1466" si="722">S1466*R1466</f>
        <v>758.92849999999999</v>
      </c>
      <c r="U1466" s="10">
        <f t="shared" ref="U1466" si="723">T1466*1.12</f>
        <v>849.99992000000009</v>
      </c>
      <c r="V1466" s="1"/>
      <c r="W1466" s="1">
        <v>2015</v>
      </c>
      <c r="X1466" s="4"/>
    </row>
    <row r="1467" spans="1:24" s="23" customFormat="1" ht="76.5" customHeight="1" outlineLevel="1" x14ac:dyDescent="0.2">
      <c r="A1467" s="1" t="s">
        <v>2399</v>
      </c>
      <c r="B1467" s="24" t="s">
        <v>5277</v>
      </c>
      <c r="C1467" s="4" t="s">
        <v>1606</v>
      </c>
      <c r="D1467" s="4" t="s">
        <v>3469</v>
      </c>
      <c r="E1467" s="4" t="s">
        <v>7010</v>
      </c>
      <c r="F1467" s="7"/>
      <c r="G1467" s="4" t="s">
        <v>3190</v>
      </c>
      <c r="H1467" s="22">
        <v>0</v>
      </c>
      <c r="I1467" s="18">
        <v>710000000</v>
      </c>
      <c r="J1467" s="4" t="s">
        <v>1931</v>
      </c>
      <c r="K1467" s="4" t="s">
        <v>5706</v>
      </c>
      <c r="L1467" s="4" t="s">
        <v>1889</v>
      </c>
      <c r="M1467" s="8" t="s">
        <v>3195</v>
      </c>
      <c r="N1467" s="4" t="s">
        <v>1890</v>
      </c>
      <c r="O1467" s="8" t="s">
        <v>1935</v>
      </c>
      <c r="P1467" s="4">
        <v>778</v>
      </c>
      <c r="Q1467" s="4" t="s">
        <v>3327</v>
      </c>
      <c r="R1467" s="34">
        <v>50</v>
      </c>
      <c r="S1467" s="10">
        <v>66.959999999999994</v>
      </c>
      <c r="T1467" s="10">
        <v>0</v>
      </c>
      <c r="U1467" s="10">
        <f t="shared" si="638"/>
        <v>0</v>
      </c>
      <c r="V1467" s="11"/>
      <c r="W1467" s="11">
        <v>2015</v>
      </c>
      <c r="X1467" s="4">
        <v>5</v>
      </c>
    </row>
    <row r="1468" spans="1:24" s="23" customFormat="1" ht="76.5" customHeight="1" outlineLevel="1" x14ac:dyDescent="0.2">
      <c r="A1468" s="1" t="s">
        <v>7037</v>
      </c>
      <c r="B1468" s="16" t="s">
        <v>5277</v>
      </c>
      <c r="C1468" s="4" t="s">
        <v>1606</v>
      </c>
      <c r="D1468" s="4" t="s">
        <v>3469</v>
      </c>
      <c r="E1468" s="4" t="s">
        <v>7010</v>
      </c>
      <c r="F1468" s="7"/>
      <c r="G1468" s="4" t="s">
        <v>3190</v>
      </c>
      <c r="H1468" s="22">
        <v>0</v>
      </c>
      <c r="I1468" s="18">
        <v>710000000</v>
      </c>
      <c r="J1468" s="4" t="s">
        <v>1931</v>
      </c>
      <c r="K1468" s="4" t="s">
        <v>5706</v>
      </c>
      <c r="L1468" s="4" t="s">
        <v>1889</v>
      </c>
      <c r="M1468" s="8" t="s">
        <v>3195</v>
      </c>
      <c r="N1468" s="4" t="s">
        <v>1890</v>
      </c>
      <c r="O1468" s="8" t="s">
        <v>1935</v>
      </c>
      <c r="P1468" s="4">
        <v>778</v>
      </c>
      <c r="Q1468" s="4" t="s">
        <v>3327</v>
      </c>
      <c r="R1468" s="10">
        <v>50</v>
      </c>
      <c r="S1468" s="10">
        <v>66.959999999999994</v>
      </c>
      <c r="T1468" s="10">
        <v>0</v>
      </c>
      <c r="U1468" s="10">
        <f t="shared" ref="U1468" si="724">T1468*1.12</f>
        <v>0</v>
      </c>
      <c r="V1468" s="1"/>
      <c r="W1468" s="1">
        <v>2015</v>
      </c>
      <c r="X1468" s="4" t="s">
        <v>7597</v>
      </c>
    </row>
    <row r="1469" spans="1:24" s="23" customFormat="1" ht="76.5" customHeight="1" outlineLevel="1" x14ac:dyDescent="0.2">
      <c r="A1469" s="1" t="s">
        <v>8242</v>
      </c>
      <c r="B1469" s="16" t="s">
        <v>5277</v>
      </c>
      <c r="C1469" s="4" t="s">
        <v>1606</v>
      </c>
      <c r="D1469" s="4" t="s">
        <v>3469</v>
      </c>
      <c r="E1469" s="4" t="s">
        <v>7010</v>
      </c>
      <c r="F1469" s="7"/>
      <c r="G1469" s="4" t="s">
        <v>3190</v>
      </c>
      <c r="H1469" s="22">
        <v>0</v>
      </c>
      <c r="I1469" s="18">
        <v>710000000</v>
      </c>
      <c r="J1469" s="4" t="s">
        <v>1931</v>
      </c>
      <c r="K1469" s="4" t="s">
        <v>756</v>
      </c>
      <c r="L1469" s="4" t="s">
        <v>1889</v>
      </c>
      <c r="M1469" s="8" t="s">
        <v>3195</v>
      </c>
      <c r="N1469" s="4" t="s">
        <v>1890</v>
      </c>
      <c r="O1469" s="8" t="s">
        <v>1935</v>
      </c>
      <c r="P1469" s="4">
        <v>778</v>
      </c>
      <c r="Q1469" s="4" t="s">
        <v>3327</v>
      </c>
      <c r="R1469" s="10">
        <v>50</v>
      </c>
      <c r="S1469" s="10">
        <v>87.5</v>
      </c>
      <c r="T1469" s="10">
        <f t="shared" ref="T1469" si="725">S1469*R1469</f>
        <v>4375</v>
      </c>
      <c r="U1469" s="10">
        <f t="shared" ref="U1469" si="726">T1469*1.12</f>
        <v>4900.0000000000009</v>
      </c>
      <c r="V1469" s="1"/>
      <c r="W1469" s="1">
        <v>2015</v>
      </c>
      <c r="X1469" s="4"/>
    </row>
    <row r="1470" spans="1:24" s="23" customFormat="1" ht="76.5" customHeight="1" outlineLevel="1" x14ac:dyDescent="0.2">
      <c r="A1470" s="1" t="s">
        <v>2400</v>
      </c>
      <c r="B1470" s="16" t="s">
        <v>5277</v>
      </c>
      <c r="C1470" s="4" t="s">
        <v>1607</v>
      </c>
      <c r="D1470" s="4" t="s">
        <v>1608</v>
      </c>
      <c r="E1470" s="4" t="s">
        <v>1609</v>
      </c>
      <c r="F1470" s="7"/>
      <c r="G1470" s="4" t="s">
        <v>3190</v>
      </c>
      <c r="H1470" s="22">
        <v>0</v>
      </c>
      <c r="I1470" s="18">
        <v>710000000</v>
      </c>
      <c r="J1470" s="4" t="s">
        <v>1931</v>
      </c>
      <c r="K1470" s="4" t="s">
        <v>5706</v>
      </c>
      <c r="L1470" s="4" t="s">
        <v>1889</v>
      </c>
      <c r="M1470" s="8" t="s">
        <v>3195</v>
      </c>
      <c r="N1470" s="4" t="s">
        <v>1890</v>
      </c>
      <c r="O1470" s="8" t="s">
        <v>1935</v>
      </c>
      <c r="P1470" s="8">
        <v>796</v>
      </c>
      <c r="Q1470" s="8" t="s">
        <v>3196</v>
      </c>
      <c r="R1470" s="10">
        <v>30</v>
      </c>
      <c r="S1470" s="10">
        <v>233.93</v>
      </c>
      <c r="T1470" s="10">
        <v>0</v>
      </c>
      <c r="U1470" s="10">
        <f t="shared" si="638"/>
        <v>0</v>
      </c>
      <c r="V1470" s="1"/>
      <c r="W1470" s="1">
        <v>2015</v>
      </c>
      <c r="X1470" s="4" t="s">
        <v>8195</v>
      </c>
    </row>
    <row r="1471" spans="1:24" s="23" customFormat="1" ht="76.5" customHeight="1" outlineLevel="1" x14ac:dyDescent="0.2">
      <c r="A1471" s="1" t="s">
        <v>8243</v>
      </c>
      <c r="B1471" s="16" t="s">
        <v>5277</v>
      </c>
      <c r="C1471" s="4" t="s">
        <v>1607</v>
      </c>
      <c r="D1471" s="4" t="s">
        <v>1608</v>
      </c>
      <c r="E1471" s="4" t="s">
        <v>1609</v>
      </c>
      <c r="F1471" s="7"/>
      <c r="G1471" s="4" t="s">
        <v>3190</v>
      </c>
      <c r="H1471" s="22">
        <v>0</v>
      </c>
      <c r="I1471" s="18">
        <v>710000000</v>
      </c>
      <c r="J1471" s="4" t="s">
        <v>1931</v>
      </c>
      <c r="K1471" s="4" t="s">
        <v>756</v>
      </c>
      <c r="L1471" s="4" t="s">
        <v>1889</v>
      </c>
      <c r="M1471" s="8" t="s">
        <v>3195</v>
      </c>
      <c r="N1471" s="4" t="s">
        <v>1890</v>
      </c>
      <c r="O1471" s="8" t="s">
        <v>1935</v>
      </c>
      <c r="P1471" s="8">
        <v>796</v>
      </c>
      <c r="Q1471" s="8" t="s">
        <v>3196</v>
      </c>
      <c r="R1471" s="10">
        <v>1</v>
      </c>
      <c r="S1471" s="10">
        <v>321.42849999999999</v>
      </c>
      <c r="T1471" s="10">
        <f t="shared" ref="T1471" si="727">S1471*R1471</f>
        <v>321.42849999999999</v>
      </c>
      <c r="U1471" s="10">
        <f t="shared" ref="U1471" si="728">T1471*1.12</f>
        <v>359.99992000000003</v>
      </c>
      <c r="V1471" s="1"/>
      <c r="W1471" s="1">
        <v>2015</v>
      </c>
      <c r="X1471" s="4"/>
    </row>
    <row r="1472" spans="1:24" s="23" customFormat="1" ht="76.5" customHeight="1" outlineLevel="1" x14ac:dyDescent="0.2">
      <c r="A1472" s="1" t="s">
        <v>2401</v>
      </c>
      <c r="B1472" s="24" t="s">
        <v>5277</v>
      </c>
      <c r="C1472" s="4" t="s">
        <v>3470</v>
      </c>
      <c r="D1472" s="4" t="s">
        <v>7039</v>
      </c>
      <c r="E1472" s="4" t="s">
        <v>7040</v>
      </c>
      <c r="F1472" s="7"/>
      <c r="G1472" s="4" t="s">
        <v>3190</v>
      </c>
      <c r="H1472" s="22">
        <v>0</v>
      </c>
      <c r="I1472" s="18">
        <v>710000000</v>
      </c>
      <c r="J1472" s="4" t="s">
        <v>1931</v>
      </c>
      <c r="K1472" s="4" t="s">
        <v>5706</v>
      </c>
      <c r="L1472" s="4" t="s">
        <v>1889</v>
      </c>
      <c r="M1472" s="8" t="s">
        <v>3195</v>
      </c>
      <c r="N1472" s="4" t="s">
        <v>1890</v>
      </c>
      <c r="O1472" s="8" t="s">
        <v>1935</v>
      </c>
      <c r="P1472" s="64">
        <v>872</v>
      </c>
      <c r="Q1472" s="4" t="s">
        <v>3139</v>
      </c>
      <c r="R1472" s="34">
        <v>5</v>
      </c>
      <c r="S1472" s="10">
        <v>246</v>
      </c>
      <c r="T1472" s="10">
        <v>0</v>
      </c>
      <c r="U1472" s="10">
        <f t="shared" si="638"/>
        <v>0</v>
      </c>
      <c r="V1472" s="11"/>
      <c r="W1472" s="11">
        <v>2015</v>
      </c>
      <c r="X1472" s="4">
        <v>4.5</v>
      </c>
    </row>
    <row r="1473" spans="1:24" s="23" customFormat="1" ht="76.5" customHeight="1" outlineLevel="1" x14ac:dyDescent="0.2">
      <c r="A1473" s="1" t="s">
        <v>7038</v>
      </c>
      <c r="B1473" s="16" t="s">
        <v>5277</v>
      </c>
      <c r="C1473" s="4" t="s">
        <v>3470</v>
      </c>
      <c r="D1473" s="4" t="s">
        <v>7039</v>
      </c>
      <c r="E1473" s="4" t="s">
        <v>7040</v>
      </c>
      <c r="F1473" s="7"/>
      <c r="G1473" s="4" t="s">
        <v>3190</v>
      </c>
      <c r="H1473" s="22">
        <v>0</v>
      </c>
      <c r="I1473" s="18">
        <v>710000000</v>
      </c>
      <c r="J1473" s="4" t="s">
        <v>1931</v>
      </c>
      <c r="K1473" s="4" t="s">
        <v>5706</v>
      </c>
      <c r="L1473" s="4" t="s">
        <v>1889</v>
      </c>
      <c r="M1473" s="8" t="s">
        <v>3195</v>
      </c>
      <c r="N1473" s="4" t="s">
        <v>1890</v>
      </c>
      <c r="O1473" s="8" t="s">
        <v>1935</v>
      </c>
      <c r="P1473" s="64">
        <v>872</v>
      </c>
      <c r="Q1473" s="4" t="s">
        <v>3139</v>
      </c>
      <c r="R1473" s="10">
        <v>5</v>
      </c>
      <c r="S1473" s="10">
        <v>246</v>
      </c>
      <c r="T1473" s="10">
        <v>0</v>
      </c>
      <c r="U1473" s="10">
        <f t="shared" ref="U1473" si="729">T1473*1.12</f>
        <v>0</v>
      </c>
      <c r="V1473" s="1"/>
      <c r="W1473" s="1">
        <v>2015</v>
      </c>
      <c r="X1473" s="4" t="s">
        <v>7597</v>
      </c>
    </row>
    <row r="1474" spans="1:24" s="23" customFormat="1" ht="76.5" customHeight="1" outlineLevel="1" x14ac:dyDescent="0.2">
      <c r="A1474" s="1" t="s">
        <v>8244</v>
      </c>
      <c r="B1474" s="16" t="s">
        <v>5277</v>
      </c>
      <c r="C1474" s="4" t="s">
        <v>3470</v>
      </c>
      <c r="D1474" s="4" t="s">
        <v>7039</v>
      </c>
      <c r="E1474" s="4" t="s">
        <v>7040</v>
      </c>
      <c r="F1474" s="7"/>
      <c r="G1474" s="4" t="s">
        <v>3190</v>
      </c>
      <c r="H1474" s="22">
        <v>0</v>
      </c>
      <c r="I1474" s="18">
        <v>710000000</v>
      </c>
      <c r="J1474" s="4" t="s">
        <v>1931</v>
      </c>
      <c r="K1474" s="4" t="s">
        <v>756</v>
      </c>
      <c r="L1474" s="4" t="s">
        <v>1889</v>
      </c>
      <c r="M1474" s="8" t="s">
        <v>3195</v>
      </c>
      <c r="N1474" s="4" t="s">
        <v>1890</v>
      </c>
      <c r="O1474" s="8" t="s">
        <v>1935</v>
      </c>
      <c r="P1474" s="64">
        <v>872</v>
      </c>
      <c r="Q1474" s="4" t="s">
        <v>3139</v>
      </c>
      <c r="R1474" s="10">
        <v>5</v>
      </c>
      <c r="S1474" s="10">
        <v>299.1071</v>
      </c>
      <c r="T1474" s="10">
        <f t="shared" ref="T1474" si="730">S1474*R1474</f>
        <v>1495.5355</v>
      </c>
      <c r="U1474" s="10">
        <f t="shared" ref="U1474" si="731">T1474*1.12</f>
        <v>1674.9997600000002</v>
      </c>
      <c r="V1474" s="1"/>
      <c r="W1474" s="1">
        <v>2015</v>
      </c>
      <c r="X1474" s="4"/>
    </row>
    <row r="1475" spans="1:24" s="23" customFormat="1" ht="76.5" customHeight="1" outlineLevel="1" x14ac:dyDescent="0.2">
      <c r="A1475" s="1" t="s">
        <v>2402</v>
      </c>
      <c r="B1475" s="24" t="s">
        <v>5277</v>
      </c>
      <c r="C1475" s="4" t="s">
        <v>3471</v>
      </c>
      <c r="D1475" s="4" t="s">
        <v>7185</v>
      </c>
      <c r="E1475" s="4" t="s">
        <v>7186</v>
      </c>
      <c r="F1475" s="7"/>
      <c r="G1475" s="4" t="s">
        <v>3190</v>
      </c>
      <c r="H1475" s="22">
        <v>0</v>
      </c>
      <c r="I1475" s="18">
        <v>710000000</v>
      </c>
      <c r="J1475" s="4" t="s">
        <v>1931</v>
      </c>
      <c r="K1475" s="4" t="s">
        <v>5706</v>
      </c>
      <c r="L1475" s="4" t="s">
        <v>1889</v>
      </c>
      <c r="M1475" s="8" t="s">
        <v>3195</v>
      </c>
      <c r="N1475" s="4" t="s">
        <v>1890</v>
      </c>
      <c r="O1475" s="8" t="s">
        <v>1935</v>
      </c>
      <c r="P1475" s="4">
        <v>778</v>
      </c>
      <c r="Q1475" s="4" t="s">
        <v>3327</v>
      </c>
      <c r="R1475" s="34">
        <v>1</v>
      </c>
      <c r="S1475" s="10">
        <v>399</v>
      </c>
      <c r="T1475" s="10">
        <v>0</v>
      </c>
      <c r="U1475" s="10">
        <f t="shared" si="638"/>
        <v>0</v>
      </c>
      <c r="V1475" s="11"/>
      <c r="W1475" s="11">
        <v>2015</v>
      </c>
      <c r="X1475" s="4">
        <v>4.5</v>
      </c>
    </row>
    <row r="1476" spans="1:24" s="23" customFormat="1" ht="76.5" customHeight="1" outlineLevel="1" x14ac:dyDescent="0.2">
      <c r="A1476" s="1" t="s">
        <v>7184</v>
      </c>
      <c r="B1476" s="16" t="s">
        <v>5277</v>
      </c>
      <c r="C1476" s="4" t="s">
        <v>3471</v>
      </c>
      <c r="D1476" s="4" t="s">
        <v>7185</v>
      </c>
      <c r="E1476" s="4" t="s">
        <v>7186</v>
      </c>
      <c r="F1476" s="7"/>
      <c r="G1476" s="4" t="s">
        <v>3190</v>
      </c>
      <c r="H1476" s="22">
        <v>0</v>
      </c>
      <c r="I1476" s="18">
        <v>710000000</v>
      </c>
      <c r="J1476" s="4" t="s">
        <v>1931</v>
      </c>
      <c r="K1476" s="4" t="s">
        <v>5706</v>
      </c>
      <c r="L1476" s="4" t="s">
        <v>1889</v>
      </c>
      <c r="M1476" s="8" t="s">
        <v>3195</v>
      </c>
      <c r="N1476" s="4" t="s">
        <v>1890</v>
      </c>
      <c r="O1476" s="8" t="s">
        <v>1935</v>
      </c>
      <c r="P1476" s="4">
        <v>778</v>
      </c>
      <c r="Q1476" s="4" t="s">
        <v>3327</v>
      </c>
      <c r="R1476" s="10">
        <v>1</v>
      </c>
      <c r="S1476" s="10">
        <v>399</v>
      </c>
      <c r="T1476" s="10">
        <v>0</v>
      </c>
      <c r="U1476" s="10">
        <f t="shared" ref="U1476" si="732">T1476*1.12</f>
        <v>0</v>
      </c>
      <c r="V1476" s="1"/>
      <c r="W1476" s="1">
        <v>2015</v>
      </c>
      <c r="X1476" s="4" t="s">
        <v>7597</v>
      </c>
    </row>
    <row r="1477" spans="1:24" s="23" customFormat="1" ht="76.5" customHeight="1" outlineLevel="1" x14ac:dyDescent="0.2">
      <c r="A1477" s="1" t="s">
        <v>8245</v>
      </c>
      <c r="B1477" s="16" t="s">
        <v>5277</v>
      </c>
      <c r="C1477" s="4" t="s">
        <v>3471</v>
      </c>
      <c r="D1477" s="4" t="s">
        <v>7185</v>
      </c>
      <c r="E1477" s="4" t="s">
        <v>7186</v>
      </c>
      <c r="F1477" s="7"/>
      <c r="G1477" s="4" t="s">
        <v>3190</v>
      </c>
      <c r="H1477" s="22">
        <v>0</v>
      </c>
      <c r="I1477" s="18">
        <v>710000000</v>
      </c>
      <c r="J1477" s="4" t="s">
        <v>1931</v>
      </c>
      <c r="K1477" s="4" t="s">
        <v>756</v>
      </c>
      <c r="L1477" s="4" t="s">
        <v>1889</v>
      </c>
      <c r="M1477" s="8" t="s">
        <v>3195</v>
      </c>
      <c r="N1477" s="4" t="s">
        <v>1890</v>
      </c>
      <c r="O1477" s="8" t="s">
        <v>1935</v>
      </c>
      <c r="P1477" s="4">
        <v>778</v>
      </c>
      <c r="Q1477" s="4" t="s">
        <v>3327</v>
      </c>
      <c r="R1477" s="10">
        <v>1</v>
      </c>
      <c r="S1477" s="10">
        <v>440.17849999999999</v>
      </c>
      <c r="T1477" s="10">
        <f t="shared" ref="T1477" si="733">S1477*R1477</f>
        <v>440.17849999999999</v>
      </c>
      <c r="U1477" s="10">
        <f t="shared" ref="U1477" si="734">T1477*1.12</f>
        <v>492.99992000000003</v>
      </c>
      <c r="V1477" s="1"/>
      <c r="W1477" s="1">
        <v>2015</v>
      </c>
      <c r="X1477" s="4"/>
    </row>
    <row r="1478" spans="1:24" s="23" customFormat="1" ht="76.5" customHeight="1" outlineLevel="1" x14ac:dyDescent="0.2">
      <c r="A1478" s="1" t="s">
        <v>2403</v>
      </c>
      <c r="B1478" s="24" t="s">
        <v>5277</v>
      </c>
      <c r="C1478" s="4" t="s">
        <v>3472</v>
      </c>
      <c r="D1478" s="4" t="s">
        <v>7183</v>
      </c>
      <c r="E1478" s="4" t="s">
        <v>7028</v>
      </c>
      <c r="F1478" s="7"/>
      <c r="G1478" s="4" t="s">
        <v>3190</v>
      </c>
      <c r="H1478" s="22">
        <v>0</v>
      </c>
      <c r="I1478" s="18">
        <v>710000000</v>
      </c>
      <c r="J1478" s="4" t="s">
        <v>1931</v>
      </c>
      <c r="K1478" s="4" t="s">
        <v>5706</v>
      </c>
      <c r="L1478" s="4" t="s">
        <v>1889</v>
      </c>
      <c r="M1478" s="8" t="s">
        <v>3195</v>
      </c>
      <c r="N1478" s="4" t="s">
        <v>1890</v>
      </c>
      <c r="O1478" s="8" t="s">
        <v>1935</v>
      </c>
      <c r="P1478" s="64">
        <v>872</v>
      </c>
      <c r="Q1478" s="4" t="s">
        <v>3139</v>
      </c>
      <c r="R1478" s="34">
        <v>5</v>
      </c>
      <c r="S1478" s="10">
        <v>44.6</v>
      </c>
      <c r="T1478" s="10">
        <v>0</v>
      </c>
      <c r="U1478" s="10">
        <f t="shared" si="638"/>
        <v>0</v>
      </c>
      <c r="V1478" s="11"/>
      <c r="W1478" s="11">
        <v>2015</v>
      </c>
      <c r="X1478" s="4">
        <v>4.5</v>
      </c>
    </row>
    <row r="1479" spans="1:24" s="23" customFormat="1" ht="76.5" customHeight="1" outlineLevel="1" x14ac:dyDescent="0.2">
      <c r="A1479" s="1" t="s">
        <v>7182</v>
      </c>
      <c r="B1479" s="16" t="s">
        <v>5277</v>
      </c>
      <c r="C1479" s="4" t="s">
        <v>3472</v>
      </c>
      <c r="D1479" s="4" t="s">
        <v>7183</v>
      </c>
      <c r="E1479" s="4" t="s">
        <v>7028</v>
      </c>
      <c r="F1479" s="7"/>
      <c r="G1479" s="4" t="s">
        <v>3190</v>
      </c>
      <c r="H1479" s="22">
        <v>0</v>
      </c>
      <c r="I1479" s="18">
        <v>710000000</v>
      </c>
      <c r="J1479" s="4" t="s">
        <v>1931</v>
      </c>
      <c r="K1479" s="4" t="s">
        <v>5706</v>
      </c>
      <c r="L1479" s="4" t="s">
        <v>1889</v>
      </c>
      <c r="M1479" s="8" t="s">
        <v>3195</v>
      </c>
      <c r="N1479" s="4" t="s">
        <v>1890</v>
      </c>
      <c r="O1479" s="8" t="s">
        <v>1935</v>
      </c>
      <c r="P1479" s="64">
        <v>872</v>
      </c>
      <c r="Q1479" s="4" t="s">
        <v>3139</v>
      </c>
      <c r="R1479" s="10">
        <v>5</v>
      </c>
      <c r="S1479" s="10">
        <v>44.6</v>
      </c>
      <c r="T1479" s="10">
        <v>0</v>
      </c>
      <c r="U1479" s="10">
        <f t="shared" ref="U1479" si="735">T1479*1.12</f>
        <v>0</v>
      </c>
      <c r="V1479" s="1"/>
      <c r="W1479" s="1">
        <v>2015</v>
      </c>
      <c r="X1479" s="4" t="s">
        <v>7597</v>
      </c>
    </row>
    <row r="1480" spans="1:24" s="23" customFormat="1" ht="76.5" customHeight="1" outlineLevel="1" x14ac:dyDescent="0.2">
      <c r="A1480" s="1" t="s">
        <v>8246</v>
      </c>
      <c r="B1480" s="16" t="s">
        <v>5277</v>
      </c>
      <c r="C1480" s="4" t="s">
        <v>3472</v>
      </c>
      <c r="D1480" s="4" t="s">
        <v>7183</v>
      </c>
      <c r="E1480" s="4" t="s">
        <v>7028</v>
      </c>
      <c r="F1480" s="7"/>
      <c r="G1480" s="4" t="s">
        <v>3190</v>
      </c>
      <c r="H1480" s="22">
        <v>0</v>
      </c>
      <c r="I1480" s="18">
        <v>710000000</v>
      </c>
      <c r="J1480" s="4" t="s">
        <v>1931</v>
      </c>
      <c r="K1480" s="4" t="s">
        <v>756</v>
      </c>
      <c r="L1480" s="4" t="s">
        <v>1889</v>
      </c>
      <c r="M1480" s="8" t="s">
        <v>3195</v>
      </c>
      <c r="N1480" s="4" t="s">
        <v>1890</v>
      </c>
      <c r="O1480" s="8" t="s">
        <v>1935</v>
      </c>
      <c r="P1480" s="64">
        <v>872</v>
      </c>
      <c r="Q1480" s="4" t="s">
        <v>3139</v>
      </c>
      <c r="R1480" s="10">
        <v>5</v>
      </c>
      <c r="S1480" s="10">
        <v>27.6785</v>
      </c>
      <c r="T1480" s="10">
        <f t="shared" ref="T1480" si="736">S1480*R1480</f>
        <v>138.39249999999998</v>
      </c>
      <c r="U1480" s="10">
        <f t="shared" ref="U1480" si="737">T1480*1.12</f>
        <v>154.99959999999999</v>
      </c>
      <c r="V1480" s="1"/>
      <c r="W1480" s="1">
        <v>2015</v>
      </c>
      <c r="X1480" s="4"/>
    </row>
    <row r="1481" spans="1:24" s="23" customFormat="1" ht="89.25" customHeight="1" outlineLevel="1" x14ac:dyDescent="0.2">
      <c r="A1481" s="1" t="s">
        <v>2404</v>
      </c>
      <c r="B1481" s="24" t="s">
        <v>5277</v>
      </c>
      <c r="C1481" s="4" t="s">
        <v>1610</v>
      </c>
      <c r="D1481" s="4" t="s">
        <v>1611</v>
      </c>
      <c r="E1481" s="4" t="s">
        <v>1612</v>
      </c>
      <c r="F1481" s="7"/>
      <c r="G1481" s="4" t="s">
        <v>3190</v>
      </c>
      <c r="H1481" s="22">
        <v>0</v>
      </c>
      <c r="I1481" s="18">
        <v>710000000</v>
      </c>
      <c r="J1481" s="4" t="s">
        <v>1931</v>
      </c>
      <c r="K1481" s="4" t="s">
        <v>5706</v>
      </c>
      <c r="L1481" s="4" t="s">
        <v>1889</v>
      </c>
      <c r="M1481" s="8" t="s">
        <v>3195</v>
      </c>
      <c r="N1481" s="4" t="s">
        <v>1890</v>
      </c>
      <c r="O1481" s="8" t="s">
        <v>1935</v>
      </c>
      <c r="P1481" s="4">
        <v>778</v>
      </c>
      <c r="Q1481" s="4" t="s">
        <v>3327</v>
      </c>
      <c r="R1481" s="34">
        <v>3</v>
      </c>
      <c r="S1481" s="10">
        <v>521</v>
      </c>
      <c r="T1481" s="10">
        <v>0</v>
      </c>
      <c r="U1481" s="10">
        <f t="shared" si="638"/>
        <v>0</v>
      </c>
      <c r="V1481" s="11"/>
      <c r="W1481" s="11">
        <v>2015</v>
      </c>
      <c r="X1481" s="4">
        <v>4.5</v>
      </c>
    </row>
    <row r="1482" spans="1:24" s="23" customFormat="1" ht="76.5" customHeight="1" outlineLevel="1" x14ac:dyDescent="0.2">
      <c r="A1482" s="1" t="s">
        <v>7179</v>
      </c>
      <c r="B1482" s="16" t="s">
        <v>5277</v>
      </c>
      <c r="C1482" s="4" t="s">
        <v>7181</v>
      </c>
      <c r="D1482" s="4" t="s">
        <v>7180</v>
      </c>
      <c r="E1482" s="4" t="s">
        <v>7010</v>
      </c>
      <c r="F1482" s="7"/>
      <c r="G1482" s="4" t="s">
        <v>3190</v>
      </c>
      <c r="H1482" s="22">
        <v>0</v>
      </c>
      <c r="I1482" s="18">
        <v>710000000</v>
      </c>
      <c r="J1482" s="4" t="s">
        <v>1931</v>
      </c>
      <c r="K1482" s="4" t="s">
        <v>5706</v>
      </c>
      <c r="L1482" s="4" t="s">
        <v>1889</v>
      </c>
      <c r="M1482" s="8" t="s">
        <v>3195</v>
      </c>
      <c r="N1482" s="4" t="s">
        <v>1890</v>
      </c>
      <c r="O1482" s="8" t="s">
        <v>1935</v>
      </c>
      <c r="P1482" s="4">
        <v>778</v>
      </c>
      <c r="Q1482" s="4" t="s">
        <v>3327</v>
      </c>
      <c r="R1482" s="10">
        <v>3</v>
      </c>
      <c r="S1482" s="10">
        <v>521</v>
      </c>
      <c r="T1482" s="10">
        <v>0</v>
      </c>
      <c r="U1482" s="10">
        <f t="shared" ref="U1482" si="738">T1482*1.12</f>
        <v>0</v>
      </c>
      <c r="V1482" s="1"/>
      <c r="W1482" s="1">
        <v>2015</v>
      </c>
      <c r="X1482" s="4" t="s">
        <v>7597</v>
      </c>
    </row>
    <row r="1483" spans="1:24" s="23" customFormat="1" ht="76.5" customHeight="1" outlineLevel="1" x14ac:dyDescent="0.2">
      <c r="A1483" s="1" t="s">
        <v>8247</v>
      </c>
      <c r="B1483" s="16" t="s">
        <v>5277</v>
      </c>
      <c r="C1483" s="4" t="s">
        <v>7181</v>
      </c>
      <c r="D1483" s="4" t="s">
        <v>7180</v>
      </c>
      <c r="E1483" s="4" t="s">
        <v>7010</v>
      </c>
      <c r="F1483" s="7"/>
      <c r="G1483" s="4" t="s">
        <v>3190</v>
      </c>
      <c r="H1483" s="22">
        <v>0</v>
      </c>
      <c r="I1483" s="18">
        <v>710000000</v>
      </c>
      <c r="J1483" s="4" t="s">
        <v>1931</v>
      </c>
      <c r="K1483" s="4" t="s">
        <v>756</v>
      </c>
      <c r="L1483" s="4" t="s">
        <v>1889</v>
      </c>
      <c r="M1483" s="8" t="s">
        <v>3195</v>
      </c>
      <c r="N1483" s="4" t="s">
        <v>1890</v>
      </c>
      <c r="O1483" s="8" t="s">
        <v>1935</v>
      </c>
      <c r="P1483" s="4">
        <v>778</v>
      </c>
      <c r="Q1483" s="4" t="s">
        <v>3327</v>
      </c>
      <c r="R1483" s="10">
        <v>3</v>
      </c>
      <c r="S1483" s="10">
        <v>129.46420000000001</v>
      </c>
      <c r="T1483" s="10">
        <f t="shared" ref="T1483" si="739">S1483*R1483</f>
        <v>388.39260000000002</v>
      </c>
      <c r="U1483" s="10">
        <f t="shared" ref="U1483" si="740">T1483*1.12</f>
        <v>434.99971200000005</v>
      </c>
      <c r="V1483" s="1"/>
      <c r="W1483" s="1">
        <v>2015</v>
      </c>
      <c r="X1483" s="4"/>
    </row>
    <row r="1484" spans="1:24" s="23" customFormat="1" ht="76.5" customHeight="1" outlineLevel="1" x14ac:dyDescent="0.2">
      <c r="A1484" s="1" t="s">
        <v>2405</v>
      </c>
      <c r="B1484" s="24" t="s">
        <v>5277</v>
      </c>
      <c r="C1484" s="4" t="s">
        <v>3473</v>
      </c>
      <c r="D1484" s="4" t="s">
        <v>3474</v>
      </c>
      <c r="E1484" s="4" t="s">
        <v>7045</v>
      </c>
      <c r="F1484" s="4"/>
      <c r="G1484" s="4" t="s">
        <v>3190</v>
      </c>
      <c r="H1484" s="22">
        <v>0</v>
      </c>
      <c r="I1484" s="18">
        <v>710000000</v>
      </c>
      <c r="J1484" s="4" t="s">
        <v>1931</v>
      </c>
      <c r="K1484" s="4" t="s">
        <v>5706</v>
      </c>
      <c r="L1484" s="4" t="s">
        <v>1889</v>
      </c>
      <c r="M1484" s="8" t="s">
        <v>3195</v>
      </c>
      <c r="N1484" s="4" t="s">
        <v>1890</v>
      </c>
      <c r="O1484" s="8" t="s">
        <v>1935</v>
      </c>
      <c r="P1484" s="4">
        <v>778</v>
      </c>
      <c r="Q1484" s="4" t="s">
        <v>3327</v>
      </c>
      <c r="R1484" s="34">
        <v>5</v>
      </c>
      <c r="S1484" s="10">
        <v>67</v>
      </c>
      <c r="T1484" s="10">
        <v>0</v>
      </c>
      <c r="U1484" s="10">
        <f t="shared" si="638"/>
        <v>0</v>
      </c>
      <c r="V1484" s="11"/>
      <c r="W1484" s="11">
        <v>2015</v>
      </c>
      <c r="X1484" s="4">
        <v>5</v>
      </c>
    </row>
    <row r="1485" spans="1:24" s="23" customFormat="1" ht="76.5" customHeight="1" outlineLevel="1" x14ac:dyDescent="0.2">
      <c r="A1485" s="1" t="s">
        <v>7178</v>
      </c>
      <c r="B1485" s="24" t="s">
        <v>5277</v>
      </c>
      <c r="C1485" s="4" t="s">
        <v>3473</v>
      </c>
      <c r="D1485" s="4" t="s">
        <v>3474</v>
      </c>
      <c r="E1485" s="4" t="s">
        <v>7045</v>
      </c>
      <c r="F1485" s="4"/>
      <c r="G1485" s="4" t="s">
        <v>3190</v>
      </c>
      <c r="H1485" s="22">
        <v>0</v>
      </c>
      <c r="I1485" s="18">
        <v>710000000</v>
      </c>
      <c r="J1485" s="4" t="s">
        <v>1931</v>
      </c>
      <c r="K1485" s="4" t="s">
        <v>5706</v>
      </c>
      <c r="L1485" s="4" t="s">
        <v>1889</v>
      </c>
      <c r="M1485" s="8" t="s">
        <v>3195</v>
      </c>
      <c r="N1485" s="4" t="s">
        <v>1890</v>
      </c>
      <c r="O1485" s="8" t="s">
        <v>1935</v>
      </c>
      <c r="P1485" s="4">
        <v>778</v>
      </c>
      <c r="Q1485" s="4" t="s">
        <v>3327</v>
      </c>
      <c r="R1485" s="34">
        <v>5</v>
      </c>
      <c r="S1485" s="10">
        <v>67</v>
      </c>
      <c r="T1485" s="10">
        <v>0</v>
      </c>
      <c r="U1485" s="10">
        <f t="shared" ref="U1485" si="741">T1485*1.12</f>
        <v>0</v>
      </c>
      <c r="V1485" s="11"/>
      <c r="W1485" s="11">
        <v>2015</v>
      </c>
      <c r="X1485" s="4">
        <v>11</v>
      </c>
    </row>
    <row r="1486" spans="1:24" s="23" customFormat="1" ht="76.5" customHeight="1" outlineLevel="1" x14ac:dyDescent="0.2">
      <c r="A1486" s="1" t="s">
        <v>8248</v>
      </c>
      <c r="B1486" s="24" t="s">
        <v>5277</v>
      </c>
      <c r="C1486" s="4" t="s">
        <v>3473</v>
      </c>
      <c r="D1486" s="4" t="s">
        <v>3474</v>
      </c>
      <c r="E1486" s="4" t="s">
        <v>7045</v>
      </c>
      <c r="F1486" s="4"/>
      <c r="G1486" s="4" t="s">
        <v>3190</v>
      </c>
      <c r="H1486" s="22">
        <v>0</v>
      </c>
      <c r="I1486" s="18">
        <v>710000000</v>
      </c>
      <c r="J1486" s="4" t="s">
        <v>1931</v>
      </c>
      <c r="K1486" s="4" t="s">
        <v>756</v>
      </c>
      <c r="L1486" s="4" t="s">
        <v>1889</v>
      </c>
      <c r="M1486" s="8" t="s">
        <v>3195</v>
      </c>
      <c r="N1486" s="4" t="s">
        <v>1890</v>
      </c>
      <c r="O1486" s="8" t="s">
        <v>1935</v>
      </c>
      <c r="P1486" s="4">
        <v>778</v>
      </c>
      <c r="Q1486" s="4" t="s">
        <v>3327</v>
      </c>
      <c r="R1486" s="34">
        <v>5</v>
      </c>
      <c r="S1486" s="10">
        <v>67</v>
      </c>
      <c r="T1486" s="10">
        <f t="shared" ref="T1486" si="742">S1486*R1486</f>
        <v>335</v>
      </c>
      <c r="U1486" s="10">
        <f t="shared" ref="U1486" si="743">T1486*1.12</f>
        <v>375.20000000000005</v>
      </c>
      <c r="V1486" s="11"/>
      <c r="W1486" s="11">
        <v>2015</v>
      </c>
      <c r="X1486" s="4"/>
    </row>
    <row r="1487" spans="1:24" s="23" customFormat="1" ht="76.5" customHeight="1" outlineLevel="1" x14ac:dyDescent="0.2">
      <c r="A1487" s="1" t="s">
        <v>2406</v>
      </c>
      <c r="B1487" s="24" t="s">
        <v>5277</v>
      </c>
      <c r="C1487" s="4" t="s">
        <v>3475</v>
      </c>
      <c r="D1487" s="4" t="s">
        <v>3476</v>
      </c>
      <c r="E1487" s="4" t="s">
        <v>7177</v>
      </c>
      <c r="F1487" s="4"/>
      <c r="G1487" s="4" t="s">
        <v>3190</v>
      </c>
      <c r="H1487" s="22">
        <v>0</v>
      </c>
      <c r="I1487" s="18">
        <v>710000000</v>
      </c>
      <c r="J1487" s="4" t="s">
        <v>1931</v>
      </c>
      <c r="K1487" s="4" t="s">
        <v>5706</v>
      </c>
      <c r="L1487" s="4" t="s">
        <v>1889</v>
      </c>
      <c r="M1487" s="8" t="s">
        <v>3195</v>
      </c>
      <c r="N1487" s="4" t="s">
        <v>1890</v>
      </c>
      <c r="O1487" s="8" t="s">
        <v>1935</v>
      </c>
      <c r="P1487" s="4">
        <v>872</v>
      </c>
      <c r="Q1487" s="4" t="s">
        <v>3139</v>
      </c>
      <c r="R1487" s="34">
        <v>2</v>
      </c>
      <c r="S1487" s="10">
        <v>748</v>
      </c>
      <c r="T1487" s="10">
        <v>0</v>
      </c>
      <c r="U1487" s="10">
        <f t="shared" si="638"/>
        <v>0</v>
      </c>
      <c r="V1487" s="11"/>
      <c r="W1487" s="11">
        <v>2015</v>
      </c>
      <c r="X1487" s="4">
        <v>5</v>
      </c>
    </row>
    <row r="1488" spans="1:24" s="23" customFormat="1" ht="76.5" customHeight="1" outlineLevel="1" x14ac:dyDescent="0.2">
      <c r="A1488" s="1" t="s">
        <v>7176</v>
      </c>
      <c r="B1488" s="16" t="s">
        <v>5277</v>
      </c>
      <c r="C1488" s="4" t="s">
        <v>3475</v>
      </c>
      <c r="D1488" s="4" t="s">
        <v>3476</v>
      </c>
      <c r="E1488" s="4" t="s">
        <v>7177</v>
      </c>
      <c r="F1488" s="4"/>
      <c r="G1488" s="4" t="s">
        <v>3190</v>
      </c>
      <c r="H1488" s="22">
        <v>0</v>
      </c>
      <c r="I1488" s="18">
        <v>710000000</v>
      </c>
      <c r="J1488" s="4" t="s">
        <v>1931</v>
      </c>
      <c r="K1488" s="4" t="s">
        <v>5706</v>
      </c>
      <c r="L1488" s="4" t="s">
        <v>1889</v>
      </c>
      <c r="M1488" s="8" t="s">
        <v>3195</v>
      </c>
      <c r="N1488" s="4" t="s">
        <v>1890</v>
      </c>
      <c r="O1488" s="8" t="s">
        <v>1935</v>
      </c>
      <c r="P1488" s="4">
        <v>872</v>
      </c>
      <c r="Q1488" s="4" t="s">
        <v>3139</v>
      </c>
      <c r="R1488" s="10">
        <v>2</v>
      </c>
      <c r="S1488" s="10">
        <v>748</v>
      </c>
      <c r="T1488" s="10">
        <v>0</v>
      </c>
      <c r="U1488" s="10">
        <f t="shared" ref="U1488" si="744">T1488*1.12</f>
        <v>0</v>
      </c>
      <c r="V1488" s="1"/>
      <c r="W1488" s="1">
        <v>2015</v>
      </c>
      <c r="X1488" s="4" t="s">
        <v>7597</v>
      </c>
    </row>
    <row r="1489" spans="1:24" s="23" customFormat="1" ht="76.5" customHeight="1" outlineLevel="1" x14ac:dyDescent="0.2">
      <c r="A1489" s="1" t="s">
        <v>8249</v>
      </c>
      <c r="B1489" s="16" t="s">
        <v>5277</v>
      </c>
      <c r="C1489" s="4" t="s">
        <v>3475</v>
      </c>
      <c r="D1489" s="4" t="s">
        <v>3476</v>
      </c>
      <c r="E1489" s="4" t="s">
        <v>7177</v>
      </c>
      <c r="F1489" s="4"/>
      <c r="G1489" s="4" t="s">
        <v>3190</v>
      </c>
      <c r="H1489" s="22">
        <v>0</v>
      </c>
      <c r="I1489" s="18">
        <v>710000000</v>
      </c>
      <c r="J1489" s="4" t="s">
        <v>1931</v>
      </c>
      <c r="K1489" s="4" t="s">
        <v>756</v>
      </c>
      <c r="L1489" s="4" t="s">
        <v>1889</v>
      </c>
      <c r="M1489" s="8" t="s">
        <v>3195</v>
      </c>
      <c r="N1489" s="4" t="s">
        <v>1890</v>
      </c>
      <c r="O1489" s="8" t="s">
        <v>1935</v>
      </c>
      <c r="P1489" s="4">
        <v>872</v>
      </c>
      <c r="Q1489" s="4" t="s">
        <v>3139</v>
      </c>
      <c r="R1489" s="10">
        <v>2</v>
      </c>
      <c r="S1489" s="10">
        <v>482.14280000000002</v>
      </c>
      <c r="T1489" s="10">
        <f t="shared" ref="T1489" si="745">S1489*R1489</f>
        <v>964.28560000000004</v>
      </c>
      <c r="U1489" s="10">
        <f t="shared" ref="U1489" si="746">T1489*1.12</f>
        <v>1079.9998720000001</v>
      </c>
      <c r="V1489" s="1"/>
      <c r="W1489" s="1">
        <v>2015</v>
      </c>
      <c r="X1489" s="4"/>
    </row>
    <row r="1490" spans="1:24" s="23" customFormat="1" ht="76.5" customHeight="1" outlineLevel="1" x14ac:dyDescent="0.2">
      <c r="A1490" s="1" t="s">
        <v>2407</v>
      </c>
      <c r="B1490" s="24" t="s">
        <v>5277</v>
      </c>
      <c r="C1490" s="4" t="s">
        <v>3477</v>
      </c>
      <c r="D1490" s="4" t="s">
        <v>3478</v>
      </c>
      <c r="E1490" s="4" t="s">
        <v>5325</v>
      </c>
      <c r="F1490" s="4">
        <v>0.2</v>
      </c>
      <c r="G1490" s="4" t="s">
        <v>3190</v>
      </c>
      <c r="H1490" s="22">
        <v>0</v>
      </c>
      <c r="I1490" s="18">
        <v>710000000</v>
      </c>
      <c r="J1490" s="4" t="s">
        <v>1931</v>
      </c>
      <c r="K1490" s="4" t="s">
        <v>5706</v>
      </c>
      <c r="L1490" s="4" t="s">
        <v>1889</v>
      </c>
      <c r="M1490" s="8" t="s">
        <v>3195</v>
      </c>
      <c r="N1490" s="4" t="s">
        <v>1890</v>
      </c>
      <c r="O1490" s="8" t="s">
        <v>1935</v>
      </c>
      <c r="P1490" s="4">
        <v>778</v>
      </c>
      <c r="Q1490" s="4" t="s">
        <v>3327</v>
      </c>
      <c r="R1490" s="34">
        <v>30</v>
      </c>
      <c r="S1490" s="10">
        <v>12.5</v>
      </c>
      <c r="T1490" s="10">
        <v>0</v>
      </c>
      <c r="U1490" s="10">
        <f t="shared" si="638"/>
        <v>0</v>
      </c>
      <c r="V1490" s="11"/>
      <c r="W1490" s="11">
        <v>2015</v>
      </c>
      <c r="X1490" s="4">
        <v>3.5</v>
      </c>
    </row>
    <row r="1491" spans="1:24" s="23" customFormat="1" ht="76.5" customHeight="1" outlineLevel="1" x14ac:dyDescent="0.2">
      <c r="A1491" s="1" t="s">
        <v>7175</v>
      </c>
      <c r="B1491" s="16" t="s">
        <v>5277</v>
      </c>
      <c r="C1491" s="4" t="s">
        <v>7174</v>
      </c>
      <c r="D1491" s="4" t="s">
        <v>3478</v>
      </c>
      <c r="E1491" s="4" t="s">
        <v>7010</v>
      </c>
      <c r="F1491" s="4">
        <v>0.2</v>
      </c>
      <c r="G1491" s="4" t="s">
        <v>3190</v>
      </c>
      <c r="H1491" s="22">
        <v>0</v>
      </c>
      <c r="I1491" s="18">
        <v>710000000</v>
      </c>
      <c r="J1491" s="4" t="s">
        <v>1931</v>
      </c>
      <c r="K1491" s="4" t="s">
        <v>5706</v>
      </c>
      <c r="L1491" s="4" t="s">
        <v>1889</v>
      </c>
      <c r="M1491" s="8" t="s">
        <v>3195</v>
      </c>
      <c r="N1491" s="4" t="s">
        <v>1890</v>
      </c>
      <c r="O1491" s="8" t="s">
        <v>1935</v>
      </c>
      <c r="P1491" s="4">
        <v>778</v>
      </c>
      <c r="Q1491" s="4" t="s">
        <v>3327</v>
      </c>
      <c r="R1491" s="10">
        <v>30</v>
      </c>
      <c r="S1491" s="10">
        <v>12.5</v>
      </c>
      <c r="T1491" s="10">
        <v>0</v>
      </c>
      <c r="U1491" s="10">
        <f t="shared" si="638"/>
        <v>0</v>
      </c>
      <c r="V1491" s="1"/>
      <c r="W1491" s="1">
        <v>2015</v>
      </c>
      <c r="X1491" s="4" t="s">
        <v>7597</v>
      </c>
    </row>
    <row r="1492" spans="1:24" s="23" customFormat="1" ht="76.5" customHeight="1" outlineLevel="1" x14ac:dyDescent="0.2">
      <c r="A1492" s="1" t="s">
        <v>8250</v>
      </c>
      <c r="B1492" s="16" t="s">
        <v>5277</v>
      </c>
      <c r="C1492" s="4" t="s">
        <v>7174</v>
      </c>
      <c r="D1492" s="4" t="s">
        <v>3478</v>
      </c>
      <c r="E1492" s="4" t="s">
        <v>7010</v>
      </c>
      <c r="F1492" s="4">
        <v>0.2</v>
      </c>
      <c r="G1492" s="4" t="s">
        <v>3190</v>
      </c>
      <c r="H1492" s="22">
        <v>0</v>
      </c>
      <c r="I1492" s="18">
        <v>710000000</v>
      </c>
      <c r="J1492" s="4" t="s">
        <v>1931</v>
      </c>
      <c r="K1492" s="4" t="s">
        <v>756</v>
      </c>
      <c r="L1492" s="4" t="s">
        <v>1889</v>
      </c>
      <c r="M1492" s="8" t="s">
        <v>3195</v>
      </c>
      <c r="N1492" s="4" t="s">
        <v>1890</v>
      </c>
      <c r="O1492" s="8" t="s">
        <v>1935</v>
      </c>
      <c r="P1492" s="4">
        <v>778</v>
      </c>
      <c r="Q1492" s="4" t="s">
        <v>3327</v>
      </c>
      <c r="R1492" s="10">
        <v>30</v>
      </c>
      <c r="S1492" s="10">
        <v>8.9284999999999997</v>
      </c>
      <c r="T1492" s="10">
        <f t="shared" ref="T1492" si="747">S1492*R1492</f>
        <v>267.85500000000002</v>
      </c>
      <c r="U1492" s="10">
        <f t="shared" ref="U1492" si="748">T1492*1.12</f>
        <v>299.99760000000003</v>
      </c>
      <c r="V1492" s="1"/>
      <c r="W1492" s="1">
        <v>2015</v>
      </c>
      <c r="X1492" s="4"/>
    </row>
    <row r="1493" spans="1:24" s="23" customFormat="1" ht="76.5" customHeight="1" outlineLevel="1" x14ac:dyDescent="0.2">
      <c r="A1493" s="1" t="s">
        <v>2408</v>
      </c>
      <c r="B1493" s="24" t="s">
        <v>5277</v>
      </c>
      <c r="C1493" s="4" t="s">
        <v>3477</v>
      </c>
      <c r="D1493" s="4" t="s">
        <v>3478</v>
      </c>
      <c r="E1493" s="4" t="s">
        <v>5325</v>
      </c>
      <c r="F1493" s="4">
        <v>0.5</v>
      </c>
      <c r="G1493" s="4" t="s">
        <v>3190</v>
      </c>
      <c r="H1493" s="22">
        <v>0</v>
      </c>
      <c r="I1493" s="18">
        <v>710000000</v>
      </c>
      <c r="J1493" s="4" t="s">
        <v>1931</v>
      </c>
      <c r="K1493" s="4" t="s">
        <v>5706</v>
      </c>
      <c r="L1493" s="4" t="s">
        <v>1889</v>
      </c>
      <c r="M1493" s="8" t="s">
        <v>3195</v>
      </c>
      <c r="N1493" s="4" t="s">
        <v>1890</v>
      </c>
      <c r="O1493" s="8" t="s">
        <v>1935</v>
      </c>
      <c r="P1493" s="4">
        <v>778</v>
      </c>
      <c r="Q1493" s="4" t="s">
        <v>3327</v>
      </c>
      <c r="R1493" s="34">
        <v>20</v>
      </c>
      <c r="S1493" s="10">
        <v>140.19999999999999</v>
      </c>
      <c r="T1493" s="10">
        <v>0</v>
      </c>
      <c r="U1493" s="10">
        <f t="shared" si="638"/>
        <v>0</v>
      </c>
      <c r="V1493" s="11"/>
      <c r="W1493" s="11">
        <v>2015</v>
      </c>
      <c r="X1493" s="4">
        <v>3.5</v>
      </c>
    </row>
    <row r="1494" spans="1:24" s="23" customFormat="1" ht="76.5" customHeight="1" outlineLevel="1" x14ac:dyDescent="0.2">
      <c r="A1494" s="1" t="s">
        <v>7173</v>
      </c>
      <c r="B1494" s="16" t="s">
        <v>5277</v>
      </c>
      <c r="C1494" s="4" t="s">
        <v>7174</v>
      </c>
      <c r="D1494" s="4" t="s">
        <v>3478</v>
      </c>
      <c r="E1494" s="4" t="s">
        <v>7010</v>
      </c>
      <c r="F1494" s="4">
        <v>0.5</v>
      </c>
      <c r="G1494" s="4" t="s">
        <v>3190</v>
      </c>
      <c r="H1494" s="22">
        <v>0</v>
      </c>
      <c r="I1494" s="18">
        <v>710000000</v>
      </c>
      <c r="J1494" s="4" t="s">
        <v>1931</v>
      </c>
      <c r="K1494" s="4" t="s">
        <v>5706</v>
      </c>
      <c r="L1494" s="4" t="s">
        <v>1889</v>
      </c>
      <c r="M1494" s="8" t="s">
        <v>3195</v>
      </c>
      <c r="N1494" s="4" t="s">
        <v>1890</v>
      </c>
      <c r="O1494" s="8" t="s">
        <v>1935</v>
      </c>
      <c r="P1494" s="4">
        <v>778</v>
      </c>
      <c r="Q1494" s="4" t="s">
        <v>3327</v>
      </c>
      <c r="R1494" s="10">
        <v>20</v>
      </c>
      <c r="S1494" s="10">
        <v>140.19999999999999</v>
      </c>
      <c r="T1494" s="10">
        <v>0</v>
      </c>
      <c r="U1494" s="10">
        <f t="shared" ref="U1494" si="749">T1494*1.12</f>
        <v>0</v>
      </c>
      <c r="V1494" s="1"/>
      <c r="W1494" s="1">
        <v>2015</v>
      </c>
      <c r="X1494" s="4" t="s">
        <v>7597</v>
      </c>
    </row>
    <row r="1495" spans="1:24" s="23" customFormat="1" ht="76.5" customHeight="1" outlineLevel="1" x14ac:dyDescent="0.2">
      <c r="A1495" s="1" t="s">
        <v>8251</v>
      </c>
      <c r="B1495" s="16" t="s">
        <v>5277</v>
      </c>
      <c r="C1495" s="4" t="s">
        <v>7174</v>
      </c>
      <c r="D1495" s="4" t="s">
        <v>3478</v>
      </c>
      <c r="E1495" s="4" t="s">
        <v>7010</v>
      </c>
      <c r="F1495" s="4">
        <v>0.5</v>
      </c>
      <c r="G1495" s="4" t="s">
        <v>3190</v>
      </c>
      <c r="H1495" s="22">
        <v>0</v>
      </c>
      <c r="I1495" s="18">
        <v>710000000</v>
      </c>
      <c r="J1495" s="4" t="s">
        <v>1931</v>
      </c>
      <c r="K1495" s="4" t="s">
        <v>756</v>
      </c>
      <c r="L1495" s="4" t="s">
        <v>1889</v>
      </c>
      <c r="M1495" s="8" t="s">
        <v>3195</v>
      </c>
      <c r="N1495" s="4" t="s">
        <v>1890</v>
      </c>
      <c r="O1495" s="8" t="s">
        <v>1935</v>
      </c>
      <c r="P1495" s="4">
        <v>778</v>
      </c>
      <c r="Q1495" s="4" t="s">
        <v>3327</v>
      </c>
      <c r="R1495" s="10">
        <v>20</v>
      </c>
      <c r="S1495" s="10">
        <v>13.392799999999999</v>
      </c>
      <c r="T1495" s="10">
        <f t="shared" ref="T1495" si="750">S1495*R1495</f>
        <v>267.85599999999999</v>
      </c>
      <c r="U1495" s="10">
        <f t="shared" ref="U1495" si="751">T1495*1.12</f>
        <v>299.99872000000005</v>
      </c>
      <c r="V1495" s="1"/>
      <c r="W1495" s="1">
        <v>2015</v>
      </c>
      <c r="X1495" s="4"/>
    </row>
    <row r="1496" spans="1:24" s="23" customFormat="1" ht="76.5" customHeight="1" outlineLevel="1" x14ac:dyDescent="0.2">
      <c r="A1496" s="1" t="s">
        <v>2409</v>
      </c>
      <c r="B1496" s="24" t="s">
        <v>5277</v>
      </c>
      <c r="C1496" s="4" t="s">
        <v>3479</v>
      </c>
      <c r="D1496" s="4" t="s">
        <v>5326</v>
      </c>
      <c r="E1496" s="4" t="s">
        <v>7028</v>
      </c>
      <c r="F1496" s="22">
        <v>0.03</v>
      </c>
      <c r="G1496" s="4" t="s">
        <v>3190</v>
      </c>
      <c r="H1496" s="22">
        <v>0</v>
      </c>
      <c r="I1496" s="18">
        <v>710000000</v>
      </c>
      <c r="J1496" s="4" t="s">
        <v>1931</v>
      </c>
      <c r="K1496" s="4" t="s">
        <v>5706</v>
      </c>
      <c r="L1496" s="4" t="s">
        <v>1889</v>
      </c>
      <c r="M1496" s="8" t="s">
        <v>3195</v>
      </c>
      <c r="N1496" s="4" t="s">
        <v>1890</v>
      </c>
      <c r="O1496" s="8" t="s">
        <v>1935</v>
      </c>
      <c r="P1496" s="4">
        <v>872</v>
      </c>
      <c r="Q1496" s="4" t="s">
        <v>3139</v>
      </c>
      <c r="R1496" s="34">
        <v>30</v>
      </c>
      <c r="S1496" s="10">
        <v>22.33</v>
      </c>
      <c r="T1496" s="10">
        <v>0</v>
      </c>
      <c r="U1496" s="10">
        <f t="shared" si="638"/>
        <v>0</v>
      </c>
      <c r="V1496" s="11"/>
      <c r="W1496" s="11">
        <v>2015</v>
      </c>
      <c r="X1496" s="4">
        <v>5</v>
      </c>
    </row>
    <row r="1497" spans="1:24" s="23" customFormat="1" ht="76.5" customHeight="1" outlineLevel="1" x14ac:dyDescent="0.2">
      <c r="A1497" s="1" t="s">
        <v>7172</v>
      </c>
      <c r="B1497" s="16" t="s">
        <v>5277</v>
      </c>
      <c r="C1497" s="4" t="s">
        <v>3479</v>
      </c>
      <c r="D1497" s="4" t="s">
        <v>5326</v>
      </c>
      <c r="E1497" s="4" t="s">
        <v>7028</v>
      </c>
      <c r="F1497" s="22">
        <v>0.03</v>
      </c>
      <c r="G1497" s="4" t="s">
        <v>3190</v>
      </c>
      <c r="H1497" s="22">
        <v>0</v>
      </c>
      <c r="I1497" s="18">
        <v>710000000</v>
      </c>
      <c r="J1497" s="4" t="s">
        <v>1931</v>
      </c>
      <c r="K1497" s="4" t="s">
        <v>5706</v>
      </c>
      <c r="L1497" s="4" t="s">
        <v>1889</v>
      </c>
      <c r="M1497" s="8" t="s">
        <v>3195</v>
      </c>
      <c r="N1497" s="4" t="s">
        <v>1890</v>
      </c>
      <c r="O1497" s="8" t="s">
        <v>1935</v>
      </c>
      <c r="P1497" s="4">
        <v>872</v>
      </c>
      <c r="Q1497" s="4" t="s">
        <v>3139</v>
      </c>
      <c r="R1497" s="10">
        <v>30</v>
      </c>
      <c r="S1497" s="10">
        <v>22.33</v>
      </c>
      <c r="T1497" s="10">
        <v>0</v>
      </c>
      <c r="U1497" s="10">
        <f t="shared" ref="U1497" si="752">T1497*1.12</f>
        <v>0</v>
      </c>
      <c r="V1497" s="1"/>
      <c r="W1497" s="1">
        <v>2015</v>
      </c>
      <c r="X1497" s="4" t="s">
        <v>7597</v>
      </c>
    </row>
    <row r="1498" spans="1:24" s="23" customFormat="1" ht="76.5" customHeight="1" outlineLevel="1" x14ac:dyDescent="0.2">
      <c r="A1498" s="1" t="s">
        <v>8252</v>
      </c>
      <c r="B1498" s="16" t="s">
        <v>5277</v>
      </c>
      <c r="C1498" s="4" t="s">
        <v>3479</v>
      </c>
      <c r="D1498" s="4" t="s">
        <v>5326</v>
      </c>
      <c r="E1498" s="4" t="s">
        <v>7028</v>
      </c>
      <c r="F1498" s="22">
        <v>0.03</v>
      </c>
      <c r="G1498" s="4" t="s">
        <v>3190</v>
      </c>
      <c r="H1498" s="22">
        <v>0</v>
      </c>
      <c r="I1498" s="18">
        <v>710000000</v>
      </c>
      <c r="J1498" s="4" t="s">
        <v>1931</v>
      </c>
      <c r="K1498" s="4" t="s">
        <v>756</v>
      </c>
      <c r="L1498" s="4" t="s">
        <v>1889</v>
      </c>
      <c r="M1498" s="8" t="s">
        <v>3195</v>
      </c>
      <c r="N1498" s="4" t="s">
        <v>1890</v>
      </c>
      <c r="O1498" s="8" t="s">
        <v>1935</v>
      </c>
      <c r="P1498" s="4">
        <v>872</v>
      </c>
      <c r="Q1498" s="4" t="s">
        <v>3139</v>
      </c>
      <c r="R1498" s="10">
        <v>30</v>
      </c>
      <c r="S1498" s="10">
        <v>20.535699999999999</v>
      </c>
      <c r="T1498" s="10">
        <f t="shared" ref="T1498" si="753">S1498*R1498</f>
        <v>616.07099999999991</v>
      </c>
      <c r="U1498" s="10">
        <f t="shared" ref="U1498" si="754">T1498*1.12</f>
        <v>689.99951999999996</v>
      </c>
      <c r="V1498" s="1"/>
      <c r="W1498" s="1">
        <v>2015</v>
      </c>
      <c r="X1498" s="4"/>
    </row>
    <row r="1499" spans="1:24" s="23" customFormat="1" ht="76.5" customHeight="1" outlineLevel="1" x14ac:dyDescent="0.2">
      <c r="A1499" s="1" t="s">
        <v>2410</v>
      </c>
      <c r="B1499" s="24" t="s">
        <v>5277</v>
      </c>
      <c r="C1499" s="4" t="s">
        <v>1613</v>
      </c>
      <c r="D1499" s="4" t="s">
        <v>7171</v>
      </c>
      <c r="E1499" s="4" t="s">
        <v>7086</v>
      </c>
      <c r="F1499" s="4" t="s">
        <v>1614</v>
      </c>
      <c r="G1499" s="4" t="s">
        <v>3190</v>
      </c>
      <c r="H1499" s="22">
        <v>0</v>
      </c>
      <c r="I1499" s="18">
        <v>710000000</v>
      </c>
      <c r="J1499" s="4" t="s">
        <v>1931</v>
      </c>
      <c r="K1499" s="4" t="s">
        <v>5706</v>
      </c>
      <c r="L1499" s="4" t="s">
        <v>1889</v>
      </c>
      <c r="M1499" s="8" t="s">
        <v>3195</v>
      </c>
      <c r="N1499" s="4" t="s">
        <v>1890</v>
      </c>
      <c r="O1499" s="8" t="s">
        <v>1935</v>
      </c>
      <c r="P1499" s="4">
        <v>778</v>
      </c>
      <c r="Q1499" s="4" t="s">
        <v>3327</v>
      </c>
      <c r="R1499" s="34">
        <v>3</v>
      </c>
      <c r="S1499" s="10">
        <v>166</v>
      </c>
      <c r="T1499" s="10">
        <v>0</v>
      </c>
      <c r="U1499" s="10">
        <f t="shared" si="638"/>
        <v>0</v>
      </c>
      <c r="V1499" s="11"/>
      <c r="W1499" s="11">
        <v>2015</v>
      </c>
      <c r="X1499" s="4">
        <v>4.5</v>
      </c>
    </row>
    <row r="1500" spans="1:24" s="23" customFormat="1" ht="76.5" customHeight="1" outlineLevel="1" x14ac:dyDescent="0.2">
      <c r="A1500" s="1" t="s">
        <v>7170</v>
      </c>
      <c r="B1500" s="16" t="s">
        <v>5277</v>
      </c>
      <c r="C1500" s="4" t="s">
        <v>1613</v>
      </c>
      <c r="D1500" s="4" t="s">
        <v>7171</v>
      </c>
      <c r="E1500" s="4" t="s">
        <v>7086</v>
      </c>
      <c r="F1500" s="4" t="s">
        <v>1614</v>
      </c>
      <c r="G1500" s="4" t="s">
        <v>3190</v>
      </c>
      <c r="H1500" s="22">
        <v>0</v>
      </c>
      <c r="I1500" s="18">
        <v>710000000</v>
      </c>
      <c r="J1500" s="4" t="s">
        <v>1931</v>
      </c>
      <c r="K1500" s="4" t="s">
        <v>5706</v>
      </c>
      <c r="L1500" s="4" t="s">
        <v>1889</v>
      </c>
      <c r="M1500" s="8" t="s">
        <v>3195</v>
      </c>
      <c r="N1500" s="4" t="s">
        <v>1890</v>
      </c>
      <c r="O1500" s="8" t="s">
        <v>1935</v>
      </c>
      <c r="P1500" s="4">
        <v>778</v>
      </c>
      <c r="Q1500" s="4" t="s">
        <v>3327</v>
      </c>
      <c r="R1500" s="10">
        <v>3</v>
      </c>
      <c r="S1500" s="10">
        <v>166</v>
      </c>
      <c r="T1500" s="10">
        <v>0</v>
      </c>
      <c r="U1500" s="10">
        <f t="shared" ref="U1500" si="755">T1500*1.12</f>
        <v>0</v>
      </c>
      <c r="V1500" s="1"/>
      <c r="W1500" s="1">
        <v>2015</v>
      </c>
      <c r="X1500" s="4" t="s">
        <v>7597</v>
      </c>
    </row>
    <row r="1501" spans="1:24" s="23" customFormat="1" ht="76.5" customHeight="1" outlineLevel="1" x14ac:dyDescent="0.2">
      <c r="A1501" s="1" t="s">
        <v>8253</v>
      </c>
      <c r="B1501" s="16" t="s">
        <v>5277</v>
      </c>
      <c r="C1501" s="4" t="s">
        <v>1613</v>
      </c>
      <c r="D1501" s="4" t="s">
        <v>7171</v>
      </c>
      <c r="E1501" s="4" t="s">
        <v>7086</v>
      </c>
      <c r="F1501" s="4" t="s">
        <v>1614</v>
      </c>
      <c r="G1501" s="4" t="s">
        <v>3190</v>
      </c>
      <c r="H1501" s="22">
        <v>0</v>
      </c>
      <c r="I1501" s="18">
        <v>710000000</v>
      </c>
      <c r="J1501" s="4" t="s">
        <v>1931</v>
      </c>
      <c r="K1501" s="4" t="s">
        <v>756</v>
      </c>
      <c r="L1501" s="4" t="s">
        <v>1889</v>
      </c>
      <c r="M1501" s="8" t="s">
        <v>3195</v>
      </c>
      <c r="N1501" s="4" t="s">
        <v>1890</v>
      </c>
      <c r="O1501" s="8" t="s">
        <v>1935</v>
      </c>
      <c r="P1501" s="4">
        <v>778</v>
      </c>
      <c r="Q1501" s="4" t="s">
        <v>3327</v>
      </c>
      <c r="R1501" s="10">
        <v>3</v>
      </c>
      <c r="S1501" s="10">
        <v>160.71420000000001</v>
      </c>
      <c r="T1501" s="10">
        <f t="shared" ref="T1501" si="756">S1501*R1501</f>
        <v>482.14260000000002</v>
      </c>
      <c r="U1501" s="10">
        <f t="shared" ref="U1501" si="757">T1501*1.12</f>
        <v>539.99971200000005</v>
      </c>
      <c r="V1501" s="1"/>
      <c r="W1501" s="1">
        <v>2015</v>
      </c>
      <c r="X1501" s="4"/>
    </row>
    <row r="1502" spans="1:24" s="23" customFormat="1" ht="76.5" customHeight="1" outlineLevel="1" x14ac:dyDescent="0.2">
      <c r="A1502" s="1" t="s">
        <v>2411</v>
      </c>
      <c r="B1502" s="24" t="s">
        <v>5277</v>
      </c>
      <c r="C1502" s="4" t="s">
        <v>3480</v>
      </c>
      <c r="D1502" s="4" t="s">
        <v>7169</v>
      </c>
      <c r="E1502" s="4" t="s">
        <v>7028</v>
      </c>
      <c r="F1502" s="4"/>
      <c r="G1502" s="4" t="s">
        <v>3190</v>
      </c>
      <c r="H1502" s="22">
        <v>0</v>
      </c>
      <c r="I1502" s="18">
        <v>710000000</v>
      </c>
      <c r="J1502" s="4" t="s">
        <v>1931</v>
      </c>
      <c r="K1502" s="4" t="s">
        <v>5706</v>
      </c>
      <c r="L1502" s="4" t="s">
        <v>1889</v>
      </c>
      <c r="M1502" s="8" t="s">
        <v>3195</v>
      </c>
      <c r="N1502" s="4" t="s">
        <v>1890</v>
      </c>
      <c r="O1502" s="8" t="s">
        <v>1935</v>
      </c>
      <c r="P1502" s="4">
        <v>872</v>
      </c>
      <c r="Q1502" s="4" t="s">
        <v>3139</v>
      </c>
      <c r="R1502" s="34">
        <v>10</v>
      </c>
      <c r="S1502" s="10">
        <v>120.5</v>
      </c>
      <c r="T1502" s="10">
        <v>0</v>
      </c>
      <c r="U1502" s="10">
        <f t="shared" si="638"/>
        <v>0</v>
      </c>
      <c r="V1502" s="11"/>
      <c r="W1502" s="11">
        <v>2015</v>
      </c>
      <c r="X1502" s="4">
        <v>4.5</v>
      </c>
    </row>
    <row r="1503" spans="1:24" s="23" customFormat="1" ht="76.5" customHeight="1" outlineLevel="1" x14ac:dyDescent="0.2">
      <c r="A1503" s="1" t="s">
        <v>8254</v>
      </c>
      <c r="B1503" s="16" t="s">
        <v>5277</v>
      </c>
      <c r="C1503" s="4" t="s">
        <v>3480</v>
      </c>
      <c r="D1503" s="4" t="s">
        <v>7169</v>
      </c>
      <c r="E1503" s="4" t="s">
        <v>7028</v>
      </c>
      <c r="F1503" s="4"/>
      <c r="G1503" s="4" t="s">
        <v>3190</v>
      </c>
      <c r="H1503" s="22">
        <v>0</v>
      </c>
      <c r="I1503" s="18">
        <v>710000000</v>
      </c>
      <c r="J1503" s="4" t="s">
        <v>1931</v>
      </c>
      <c r="K1503" s="4" t="s">
        <v>5706</v>
      </c>
      <c r="L1503" s="4" t="s">
        <v>1889</v>
      </c>
      <c r="M1503" s="8" t="s">
        <v>3195</v>
      </c>
      <c r="N1503" s="4" t="s">
        <v>1890</v>
      </c>
      <c r="O1503" s="8" t="s">
        <v>1935</v>
      </c>
      <c r="P1503" s="4">
        <v>872</v>
      </c>
      <c r="Q1503" s="4" t="s">
        <v>3139</v>
      </c>
      <c r="R1503" s="10">
        <v>10</v>
      </c>
      <c r="S1503" s="10">
        <v>120.5</v>
      </c>
      <c r="T1503" s="10">
        <v>0</v>
      </c>
      <c r="U1503" s="10">
        <f t="shared" ref="U1503" si="758">T1503*1.12</f>
        <v>0</v>
      </c>
      <c r="V1503" s="1"/>
      <c r="W1503" s="1">
        <v>2015</v>
      </c>
      <c r="X1503" s="4" t="s">
        <v>7597</v>
      </c>
    </row>
    <row r="1504" spans="1:24" s="23" customFormat="1" ht="76.5" customHeight="1" outlineLevel="1" x14ac:dyDescent="0.2">
      <c r="A1504" s="1" t="s">
        <v>7168</v>
      </c>
      <c r="B1504" s="16" t="s">
        <v>5277</v>
      </c>
      <c r="C1504" s="4" t="s">
        <v>3480</v>
      </c>
      <c r="D1504" s="4" t="s">
        <v>7169</v>
      </c>
      <c r="E1504" s="4" t="s">
        <v>7028</v>
      </c>
      <c r="F1504" s="4"/>
      <c r="G1504" s="4" t="s">
        <v>3190</v>
      </c>
      <c r="H1504" s="22">
        <v>0</v>
      </c>
      <c r="I1504" s="18">
        <v>710000000</v>
      </c>
      <c r="J1504" s="4" t="s">
        <v>1931</v>
      </c>
      <c r="K1504" s="4" t="s">
        <v>756</v>
      </c>
      <c r="L1504" s="4" t="s">
        <v>1889</v>
      </c>
      <c r="M1504" s="8" t="s">
        <v>3195</v>
      </c>
      <c r="N1504" s="4" t="s">
        <v>1890</v>
      </c>
      <c r="O1504" s="8" t="s">
        <v>1935</v>
      </c>
      <c r="P1504" s="4">
        <v>872</v>
      </c>
      <c r="Q1504" s="4" t="s">
        <v>3139</v>
      </c>
      <c r="R1504" s="10">
        <v>10</v>
      </c>
      <c r="S1504" s="10">
        <v>27.6785</v>
      </c>
      <c r="T1504" s="10">
        <f t="shared" ref="T1504" si="759">S1504*R1504</f>
        <v>276.78499999999997</v>
      </c>
      <c r="U1504" s="10">
        <f t="shared" ref="U1504" si="760">T1504*1.12</f>
        <v>309.99919999999997</v>
      </c>
      <c r="V1504" s="1"/>
      <c r="W1504" s="1">
        <v>2015</v>
      </c>
      <c r="X1504" s="4"/>
    </row>
    <row r="1505" spans="1:24" s="23" customFormat="1" ht="76.5" customHeight="1" outlineLevel="1" x14ac:dyDescent="0.2">
      <c r="A1505" s="1" t="s">
        <v>2412</v>
      </c>
      <c r="B1505" s="24" t="s">
        <v>5277</v>
      </c>
      <c r="C1505" s="4" t="s">
        <v>3481</v>
      </c>
      <c r="D1505" s="4" t="s">
        <v>7052</v>
      </c>
      <c r="E1505" s="4" t="s">
        <v>7049</v>
      </c>
      <c r="F1505" s="4"/>
      <c r="G1505" s="4" t="s">
        <v>3190</v>
      </c>
      <c r="H1505" s="22">
        <v>0</v>
      </c>
      <c r="I1505" s="18">
        <v>710000000</v>
      </c>
      <c r="J1505" s="4" t="s">
        <v>1931</v>
      </c>
      <c r="K1505" s="4" t="s">
        <v>5706</v>
      </c>
      <c r="L1505" s="4" t="s">
        <v>1889</v>
      </c>
      <c r="M1505" s="8" t="s">
        <v>3195</v>
      </c>
      <c r="N1505" s="4" t="s">
        <v>1890</v>
      </c>
      <c r="O1505" s="8" t="s">
        <v>1935</v>
      </c>
      <c r="P1505" s="4">
        <v>778</v>
      </c>
      <c r="Q1505" s="4" t="s">
        <v>3327</v>
      </c>
      <c r="R1505" s="34">
        <v>20</v>
      </c>
      <c r="S1505" s="10">
        <v>46.45</v>
      </c>
      <c r="T1505" s="10">
        <v>0</v>
      </c>
      <c r="U1505" s="10">
        <f t="shared" si="638"/>
        <v>0</v>
      </c>
      <c r="V1505" s="11"/>
      <c r="W1505" s="11">
        <v>2015</v>
      </c>
      <c r="X1505" s="4">
        <v>4.5</v>
      </c>
    </row>
    <row r="1506" spans="1:24" s="23" customFormat="1" ht="76.5" customHeight="1" outlineLevel="1" x14ac:dyDescent="0.2">
      <c r="A1506" s="1" t="s">
        <v>7053</v>
      </c>
      <c r="B1506" s="16" t="s">
        <v>5277</v>
      </c>
      <c r="C1506" s="4" t="s">
        <v>3481</v>
      </c>
      <c r="D1506" s="4" t="s">
        <v>7052</v>
      </c>
      <c r="E1506" s="4" t="s">
        <v>7049</v>
      </c>
      <c r="F1506" s="4"/>
      <c r="G1506" s="4" t="s">
        <v>3190</v>
      </c>
      <c r="H1506" s="22">
        <v>0</v>
      </c>
      <c r="I1506" s="18">
        <v>710000000</v>
      </c>
      <c r="J1506" s="4" t="s">
        <v>1931</v>
      </c>
      <c r="K1506" s="4" t="s">
        <v>5706</v>
      </c>
      <c r="L1506" s="4" t="s">
        <v>1889</v>
      </c>
      <c r="M1506" s="8" t="s">
        <v>3195</v>
      </c>
      <c r="N1506" s="4" t="s">
        <v>1890</v>
      </c>
      <c r="O1506" s="8" t="s">
        <v>1935</v>
      </c>
      <c r="P1506" s="4">
        <v>778</v>
      </c>
      <c r="Q1506" s="4" t="s">
        <v>3327</v>
      </c>
      <c r="R1506" s="10">
        <v>20</v>
      </c>
      <c r="S1506" s="10">
        <v>46.45</v>
      </c>
      <c r="T1506" s="10">
        <v>0</v>
      </c>
      <c r="U1506" s="10">
        <f t="shared" ref="U1506" si="761">T1506*1.12</f>
        <v>0</v>
      </c>
      <c r="V1506" s="1"/>
      <c r="W1506" s="1">
        <v>2015</v>
      </c>
      <c r="X1506" s="4" t="s">
        <v>8195</v>
      </c>
    </row>
    <row r="1507" spans="1:24" s="23" customFormat="1" ht="76.5" customHeight="1" outlineLevel="1" x14ac:dyDescent="0.2">
      <c r="A1507" s="1" t="s">
        <v>8255</v>
      </c>
      <c r="B1507" s="16" t="s">
        <v>5277</v>
      </c>
      <c r="C1507" s="4" t="s">
        <v>3481</v>
      </c>
      <c r="D1507" s="4" t="s">
        <v>7052</v>
      </c>
      <c r="E1507" s="4" t="s">
        <v>7049</v>
      </c>
      <c r="F1507" s="4"/>
      <c r="G1507" s="4" t="s">
        <v>3190</v>
      </c>
      <c r="H1507" s="22">
        <v>0</v>
      </c>
      <c r="I1507" s="18">
        <v>710000000</v>
      </c>
      <c r="J1507" s="4" t="s">
        <v>1931</v>
      </c>
      <c r="K1507" s="4" t="s">
        <v>756</v>
      </c>
      <c r="L1507" s="4" t="s">
        <v>1889</v>
      </c>
      <c r="M1507" s="8" t="s">
        <v>3195</v>
      </c>
      <c r="N1507" s="4" t="s">
        <v>1890</v>
      </c>
      <c r="O1507" s="8" t="s">
        <v>1935</v>
      </c>
      <c r="P1507" s="4">
        <v>778</v>
      </c>
      <c r="Q1507" s="4" t="s">
        <v>3327</v>
      </c>
      <c r="R1507" s="10">
        <v>1</v>
      </c>
      <c r="S1507" s="10">
        <v>2714.2856999999999</v>
      </c>
      <c r="T1507" s="10">
        <f t="shared" ref="T1507" si="762">S1507*R1507</f>
        <v>2714.2856999999999</v>
      </c>
      <c r="U1507" s="10">
        <f t="shared" ref="U1507" si="763">T1507*1.12</f>
        <v>3039.999984</v>
      </c>
      <c r="V1507" s="1"/>
      <c r="W1507" s="1">
        <v>2015</v>
      </c>
      <c r="X1507" s="4"/>
    </row>
    <row r="1508" spans="1:24" s="23" customFormat="1" ht="76.5" customHeight="1" outlineLevel="1" x14ac:dyDescent="0.2">
      <c r="A1508" s="1" t="s">
        <v>2413</v>
      </c>
      <c r="B1508" s="24" t="s">
        <v>5277</v>
      </c>
      <c r="C1508" s="4" t="s">
        <v>3482</v>
      </c>
      <c r="D1508" s="4" t="s">
        <v>1615</v>
      </c>
      <c r="E1508" s="4" t="s">
        <v>7051</v>
      </c>
      <c r="F1508" s="4"/>
      <c r="G1508" s="4" t="s">
        <v>3190</v>
      </c>
      <c r="H1508" s="22">
        <v>0</v>
      </c>
      <c r="I1508" s="18">
        <v>710000000</v>
      </c>
      <c r="J1508" s="4" t="s">
        <v>1931</v>
      </c>
      <c r="K1508" s="4" t="s">
        <v>5706</v>
      </c>
      <c r="L1508" s="4" t="s">
        <v>1889</v>
      </c>
      <c r="M1508" s="8" t="s">
        <v>3195</v>
      </c>
      <c r="N1508" s="4" t="s">
        <v>1890</v>
      </c>
      <c r="O1508" s="8" t="s">
        <v>1935</v>
      </c>
      <c r="P1508" s="4">
        <v>778</v>
      </c>
      <c r="Q1508" s="4" t="s">
        <v>3327</v>
      </c>
      <c r="R1508" s="34">
        <v>3</v>
      </c>
      <c r="S1508" s="10">
        <v>437</v>
      </c>
      <c r="T1508" s="10">
        <v>0</v>
      </c>
      <c r="U1508" s="10">
        <f t="shared" si="638"/>
        <v>0</v>
      </c>
      <c r="V1508" s="11"/>
      <c r="W1508" s="11">
        <v>2015</v>
      </c>
      <c r="X1508" s="4">
        <v>5</v>
      </c>
    </row>
    <row r="1509" spans="1:24" s="23" customFormat="1" ht="76.5" customHeight="1" outlineLevel="1" x14ac:dyDescent="0.2">
      <c r="A1509" s="1" t="s">
        <v>7050</v>
      </c>
      <c r="B1509" s="16" t="s">
        <v>5277</v>
      </c>
      <c r="C1509" s="4" t="s">
        <v>3482</v>
      </c>
      <c r="D1509" s="4" t="s">
        <v>1615</v>
      </c>
      <c r="E1509" s="4" t="s">
        <v>7051</v>
      </c>
      <c r="F1509" s="4"/>
      <c r="G1509" s="4" t="s">
        <v>3190</v>
      </c>
      <c r="H1509" s="22">
        <v>0</v>
      </c>
      <c r="I1509" s="18">
        <v>710000000</v>
      </c>
      <c r="J1509" s="4" t="s">
        <v>1931</v>
      </c>
      <c r="K1509" s="4" t="s">
        <v>5706</v>
      </c>
      <c r="L1509" s="4" t="s">
        <v>1889</v>
      </c>
      <c r="M1509" s="8" t="s">
        <v>3195</v>
      </c>
      <c r="N1509" s="4" t="s">
        <v>1890</v>
      </c>
      <c r="O1509" s="8" t="s">
        <v>1935</v>
      </c>
      <c r="P1509" s="4">
        <v>778</v>
      </c>
      <c r="Q1509" s="4" t="s">
        <v>3327</v>
      </c>
      <c r="R1509" s="10">
        <v>3</v>
      </c>
      <c r="S1509" s="10">
        <v>437</v>
      </c>
      <c r="T1509" s="10">
        <v>0</v>
      </c>
      <c r="U1509" s="10">
        <f t="shared" ref="U1509" si="764">T1509*1.12</f>
        <v>0</v>
      </c>
      <c r="V1509" s="1"/>
      <c r="W1509" s="1">
        <v>2015</v>
      </c>
      <c r="X1509" s="4" t="s">
        <v>7597</v>
      </c>
    </row>
    <row r="1510" spans="1:24" s="23" customFormat="1" ht="76.5" customHeight="1" outlineLevel="1" x14ac:dyDescent="0.2">
      <c r="A1510" s="1" t="s">
        <v>8256</v>
      </c>
      <c r="B1510" s="16" t="s">
        <v>5277</v>
      </c>
      <c r="C1510" s="4" t="s">
        <v>3482</v>
      </c>
      <c r="D1510" s="4" t="s">
        <v>1615</v>
      </c>
      <c r="E1510" s="4" t="s">
        <v>7051</v>
      </c>
      <c r="F1510" s="4"/>
      <c r="G1510" s="4" t="s">
        <v>3190</v>
      </c>
      <c r="H1510" s="22">
        <v>0</v>
      </c>
      <c r="I1510" s="18">
        <v>710000000</v>
      </c>
      <c r="J1510" s="4" t="s">
        <v>1931</v>
      </c>
      <c r="K1510" s="4" t="s">
        <v>756</v>
      </c>
      <c r="L1510" s="4" t="s">
        <v>1889</v>
      </c>
      <c r="M1510" s="8" t="s">
        <v>3195</v>
      </c>
      <c r="N1510" s="4" t="s">
        <v>1890</v>
      </c>
      <c r="O1510" s="8" t="s">
        <v>1935</v>
      </c>
      <c r="P1510" s="4">
        <v>778</v>
      </c>
      <c r="Q1510" s="4" t="s">
        <v>3327</v>
      </c>
      <c r="R1510" s="10">
        <v>3</v>
      </c>
      <c r="S1510" s="10">
        <v>428.57139999999998</v>
      </c>
      <c r="T1510" s="10">
        <f t="shared" ref="T1510" si="765">S1510*R1510</f>
        <v>1285.7141999999999</v>
      </c>
      <c r="U1510" s="10">
        <f t="shared" ref="U1510" si="766">T1510*1.12</f>
        <v>1439.999904</v>
      </c>
      <c r="V1510" s="1"/>
      <c r="W1510" s="1">
        <v>2015</v>
      </c>
      <c r="X1510" s="4"/>
    </row>
    <row r="1511" spans="1:24" s="23" customFormat="1" ht="76.5" customHeight="1" outlineLevel="1" x14ac:dyDescent="0.2">
      <c r="A1511" s="1" t="s">
        <v>2414</v>
      </c>
      <c r="B1511" s="16" t="s">
        <v>5277</v>
      </c>
      <c r="C1511" s="18" t="s">
        <v>3483</v>
      </c>
      <c r="D1511" s="18" t="s">
        <v>5327</v>
      </c>
      <c r="E1511" s="18" t="s">
        <v>6471</v>
      </c>
      <c r="F1511" s="4"/>
      <c r="G1511" s="4" t="s">
        <v>3190</v>
      </c>
      <c r="H1511" s="22">
        <v>0</v>
      </c>
      <c r="I1511" s="18">
        <v>710000000</v>
      </c>
      <c r="J1511" s="4" t="s">
        <v>1931</v>
      </c>
      <c r="K1511" s="4" t="s">
        <v>5706</v>
      </c>
      <c r="L1511" s="4" t="s">
        <v>1889</v>
      </c>
      <c r="M1511" s="8" t="s">
        <v>3195</v>
      </c>
      <c r="N1511" s="4" t="s">
        <v>1890</v>
      </c>
      <c r="O1511" s="8" t="s">
        <v>1935</v>
      </c>
      <c r="P1511" s="4">
        <v>778</v>
      </c>
      <c r="Q1511" s="4" t="s">
        <v>3327</v>
      </c>
      <c r="R1511" s="10">
        <v>150</v>
      </c>
      <c r="S1511" s="10">
        <v>196.43</v>
      </c>
      <c r="T1511" s="10">
        <v>0</v>
      </c>
      <c r="U1511" s="10">
        <f t="shared" si="638"/>
        <v>0</v>
      </c>
      <c r="V1511" s="1"/>
      <c r="W1511" s="1">
        <v>2015</v>
      </c>
      <c r="X1511" s="4" t="s">
        <v>8195</v>
      </c>
    </row>
    <row r="1512" spans="1:24" s="23" customFormat="1" ht="76.5" customHeight="1" outlineLevel="1" x14ac:dyDescent="0.2">
      <c r="A1512" s="1" t="s">
        <v>8257</v>
      </c>
      <c r="B1512" s="16" t="s">
        <v>5277</v>
      </c>
      <c r="C1512" s="18" t="s">
        <v>3483</v>
      </c>
      <c r="D1512" s="18" t="s">
        <v>5327</v>
      </c>
      <c r="E1512" s="18" t="s">
        <v>6471</v>
      </c>
      <c r="F1512" s="4"/>
      <c r="G1512" s="4" t="s">
        <v>3190</v>
      </c>
      <c r="H1512" s="22">
        <v>0</v>
      </c>
      <c r="I1512" s="18">
        <v>710000000</v>
      </c>
      <c r="J1512" s="4" t="s">
        <v>1931</v>
      </c>
      <c r="K1512" s="4" t="s">
        <v>756</v>
      </c>
      <c r="L1512" s="4" t="s">
        <v>1889</v>
      </c>
      <c r="M1512" s="8" t="s">
        <v>3195</v>
      </c>
      <c r="N1512" s="4" t="s">
        <v>1890</v>
      </c>
      <c r="O1512" s="8" t="s">
        <v>1935</v>
      </c>
      <c r="P1512" s="4">
        <v>778</v>
      </c>
      <c r="Q1512" s="4" t="s">
        <v>3327</v>
      </c>
      <c r="R1512" s="10">
        <v>2</v>
      </c>
      <c r="S1512" s="10">
        <v>580.35709999999995</v>
      </c>
      <c r="T1512" s="10">
        <f t="shared" ref="T1512" si="767">S1512*R1512</f>
        <v>1160.7141999999999</v>
      </c>
      <c r="U1512" s="10">
        <f t="shared" ref="U1512" si="768">T1512*1.12</f>
        <v>1299.999904</v>
      </c>
      <c r="V1512" s="1"/>
      <c r="W1512" s="1">
        <v>2015</v>
      </c>
      <c r="X1512" s="4"/>
    </row>
    <row r="1513" spans="1:24" s="23" customFormat="1" ht="76.5" customHeight="1" outlineLevel="1" x14ac:dyDescent="0.2">
      <c r="A1513" s="1" t="s">
        <v>2415</v>
      </c>
      <c r="B1513" s="24" t="s">
        <v>5277</v>
      </c>
      <c r="C1513" s="4" t="s">
        <v>3484</v>
      </c>
      <c r="D1513" s="4" t="s">
        <v>7048</v>
      </c>
      <c r="E1513" s="4" t="s">
        <v>7049</v>
      </c>
      <c r="F1513" s="65"/>
      <c r="G1513" s="4" t="s">
        <v>3190</v>
      </c>
      <c r="H1513" s="22">
        <v>0</v>
      </c>
      <c r="I1513" s="18">
        <v>710000000</v>
      </c>
      <c r="J1513" s="4" t="s">
        <v>1931</v>
      </c>
      <c r="K1513" s="4" t="s">
        <v>5706</v>
      </c>
      <c r="L1513" s="4" t="s">
        <v>1889</v>
      </c>
      <c r="M1513" s="8" t="s">
        <v>3195</v>
      </c>
      <c r="N1513" s="4" t="s">
        <v>1890</v>
      </c>
      <c r="O1513" s="8" t="s">
        <v>1935</v>
      </c>
      <c r="P1513" s="4">
        <v>778</v>
      </c>
      <c r="Q1513" s="4" t="s">
        <v>3327</v>
      </c>
      <c r="R1513" s="34">
        <v>15</v>
      </c>
      <c r="S1513" s="10">
        <v>1403.6</v>
      </c>
      <c r="T1513" s="10">
        <v>0</v>
      </c>
      <c r="U1513" s="10">
        <f t="shared" si="638"/>
        <v>0</v>
      </c>
      <c r="V1513" s="11"/>
      <c r="W1513" s="11">
        <v>2015</v>
      </c>
      <c r="X1513" s="4">
        <v>4.5</v>
      </c>
    </row>
    <row r="1514" spans="1:24" s="23" customFormat="1" ht="76.5" customHeight="1" outlineLevel="1" x14ac:dyDescent="0.2">
      <c r="A1514" s="1" t="s">
        <v>7047</v>
      </c>
      <c r="B1514" s="16" t="s">
        <v>5277</v>
      </c>
      <c r="C1514" s="4" t="s">
        <v>3484</v>
      </c>
      <c r="D1514" s="4" t="s">
        <v>7048</v>
      </c>
      <c r="E1514" s="4" t="s">
        <v>7049</v>
      </c>
      <c r="F1514" s="65"/>
      <c r="G1514" s="4" t="s">
        <v>3190</v>
      </c>
      <c r="H1514" s="22">
        <v>0</v>
      </c>
      <c r="I1514" s="18">
        <v>710000000</v>
      </c>
      <c r="J1514" s="4" t="s">
        <v>1931</v>
      </c>
      <c r="K1514" s="4" t="s">
        <v>5706</v>
      </c>
      <c r="L1514" s="4" t="s">
        <v>1889</v>
      </c>
      <c r="M1514" s="8" t="s">
        <v>3195</v>
      </c>
      <c r="N1514" s="4" t="s">
        <v>1890</v>
      </c>
      <c r="O1514" s="8" t="s">
        <v>1935</v>
      </c>
      <c r="P1514" s="4">
        <v>778</v>
      </c>
      <c r="Q1514" s="4" t="s">
        <v>3327</v>
      </c>
      <c r="R1514" s="10">
        <v>15</v>
      </c>
      <c r="S1514" s="10">
        <v>1403.6</v>
      </c>
      <c r="T1514" s="10">
        <v>0</v>
      </c>
      <c r="U1514" s="10">
        <f t="shared" ref="U1514" si="769">T1514*1.12</f>
        <v>0</v>
      </c>
      <c r="V1514" s="1"/>
      <c r="W1514" s="1">
        <v>2015</v>
      </c>
      <c r="X1514" s="4" t="s">
        <v>7597</v>
      </c>
    </row>
    <row r="1515" spans="1:24" s="23" customFormat="1" ht="76.5" customHeight="1" outlineLevel="1" x14ac:dyDescent="0.2">
      <c r="A1515" s="1" t="s">
        <v>8258</v>
      </c>
      <c r="B1515" s="16" t="s">
        <v>5277</v>
      </c>
      <c r="C1515" s="4" t="s">
        <v>3484</v>
      </c>
      <c r="D1515" s="4" t="s">
        <v>7048</v>
      </c>
      <c r="E1515" s="4" t="s">
        <v>7049</v>
      </c>
      <c r="F1515" s="65"/>
      <c r="G1515" s="4" t="s">
        <v>3190</v>
      </c>
      <c r="H1515" s="22">
        <v>0</v>
      </c>
      <c r="I1515" s="18">
        <v>710000000</v>
      </c>
      <c r="J1515" s="4" t="s">
        <v>1931</v>
      </c>
      <c r="K1515" s="4" t="s">
        <v>756</v>
      </c>
      <c r="L1515" s="4" t="s">
        <v>1889</v>
      </c>
      <c r="M1515" s="8" t="s">
        <v>3195</v>
      </c>
      <c r="N1515" s="4" t="s">
        <v>1890</v>
      </c>
      <c r="O1515" s="8" t="s">
        <v>1935</v>
      </c>
      <c r="P1515" s="4">
        <v>778</v>
      </c>
      <c r="Q1515" s="4" t="s">
        <v>3327</v>
      </c>
      <c r="R1515" s="10">
        <v>15</v>
      </c>
      <c r="S1515" s="10">
        <v>370.53570000000002</v>
      </c>
      <c r="T1515" s="10">
        <f t="shared" ref="T1515" si="770">S1515*R1515</f>
        <v>5558.0355</v>
      </c>
      <c r="U1515" s="10">
        <f t="shared" ref="U1515" si="771">T1515*1.12</f>
        <v>6224.9997600000006</v>
      </c>
      <c r="V1515" s="1"/>
      <c r="W1515" s="1">
        <v>2015</v>
      </c>
      <c r="X1515" s="4"/>
    </row>
    <row r="1516" spans="1:24" s="23" customFormat="1" ht="76.5" customHeight="1" outlineLevel="1" x14ac:dyDescent="0.2">
      <c r="A1516" s="1" t="s">
        <v>6423</v>
      </c>
      <c r="B1516" s="24" t="s">
        <v>5277</v>
      </c>
      <c r="C1516" s="4" t="s">
        <v>1616</v>
      </c>
      <c r="D1516" s="4" t="s">
        <v>1617</v>
      </c>
      <c r="E1516" s="4" t="s">
        <v>1618</v>
      </c>
      <c r="F1516" s="22">
        <v>0.7</v>
      </c>
      <c r="G1516" s="4" t="s">
        <v>3190</v>
      </c>
      <c r="H1516" s="22">
        <v>0</v>
      </c>
      <c r="I1516" s="18">
        <v>710000000</v>
      </c>
      <c r="J1516" s="4" t="s">
        <v>1931</v>
      </c>
      <c r="K1516" s="4" t="s">
        <v>5706</v>
      </c>
      <c r="L1516" s="4" t="s">
        <v>1889</v>
      </c>
      <c r="M1516" s="8" t="s">
        <v>3195</v>
      </c>
      <c r="N1516" s="4" t="s">
        <v>1890</v>
      </c>
      <c r="O1516" s="8" t="s">
        <v>1935</v>
      </c>
      <c r="P1516" s="4">
        <v>872</v>
      </c>
      <c r="Q1516" s="4" t="s">
        <v>3139</v>
      </c>
      <c r="R1516" s="34">
        <v>30</v>
      </c>
      <c r="S1516" s="10">
        <v>29.03</v>
      </c>
      <c r="T1516" s="10">
        <v>0</v>
      </c>
      <c r="U1516" s="10">
        <f t="shared" si="638"/>
        <v>0</v>
      </c>
      <c r="V1516" s="11"/>
      <c r="W1516" s="11">
        <v>2015</v>
      </c>
      <c r="X1516" s="4" t="s">
        <v>7071</v>
      </c>
    </row>
    <row r="1517" spans="1:24" s="23" customFormat="1" ht="76.5" customHeight="1" outlineLevel="1" x14ac:dyDescent="0.2">
      <c r="A1517" s="1" t="s">
        <v>7194</v>
      </c>
      <c r="B1517" s="16" t="s">
        <v>5277</v>
      </c>
      <c r="C1517" s="4" t="s">
        <v>7196</v>
      </c>
      <c r="D1517" s="4" t="s">
        <v>7195</v>
      </c>
      <c r="E1517" s="4" t="s">
        <v>7028</v>
      </c>
      <c r="F1517" s="22">
        <v>0.7</v>
      </c>
      <c r="G1517" s="4" t="s">
        <v>3190</v>
      </c>
      <c r="H1517" s="22">
        <v>0</v>
      </c>
      <c r="I1517" s="18">
        <v>710000000</v>
      </c>
      <c r="J1517" s="4" t="s">
        <v>1931</v>
      </c>
      <c r="K1517" s="4" t="s">
        <v>5706</v>
      </c>
      <c r="L1517" s="4" t="s">
        <v>1889</v>
      </c>
      <c r="M1517" s="8" t="s">
        <v>3195</v>
      </c>
      <c r="N1517" s="4" t="s">
        <v>1890</v>
      </c>
      <c r="O1517" s="8" t="s">
        <v>1935</v>
      </c>
      <c r="P1517" s="4">
        <v>872</v>
      </c>
      <c r="Q1517" s="4" t="s">
        <v>3139</v>
      </c>
      <c r="R1517" s="10">
        <v>30</v>
      </c>
      <c r="S1517" s="10">
        <v>29.03</v>
      </c>
      <c r="T1517" s="10">
        <v>0</v>
      </c>
      <c r="U1517" s="10">
        <f t="shared" ref="U1517" si="772">T1517*1.12</f>
        <v>0</v>
      </c>
      <c r="V1517" s="1"/>
      <c r="W1517" s="1">
        <v>2015</v>
      </c>
      <c r="X1517" s="4" t="s">
        <v>7597</v>
      </c>
    </row>
    <row r="1518" spans="1:24" s="23" customFormat="1" ht="76.5" customHeight="1" outlineLevel="1" x14ac:dyDescent="0.2">
      <c r="A1518" s="1" t="s">
        <v>8259</v>
      </c>
      <c r="B1518" s="16" t="s">
        <v>5277</v>
      </c>
      <c r="C1518" s="4" t="s">
        <v>7196</v>
      </c>
      <c r="D1518" s="4" t="s">
        <v>7195</v>
      </c>
      <c r="E1518" s="4" t="s">
        <v>7028</v>
      </c>
      <c r="F1518" s="22">
        <v>0.7</v>
      </c>
      <c r="G1518" s="4" t="s">
        <v>3190</v>
      </c>
      <c r="H1518" s="22">
        <v>0</v>
      </c>
      <c r="I1518" s="18">
        <v>710000000</v>
      </c>
      <c r="J1518" s="4" t="s">
        <v>1931</v>
      </c>
      <c r="K1518" s="4" t="s">
        <v>756</v>
      </c>
      <c r="L1518" s="4" t="s">
        <v>1889</v>
      </c>
      <c r="M1518" s="8" t="s">
        <v>3195</v>
      </c>
      <c r="N1518" s="4" t="s">
        <v>1890</v>
      </c>
      <c r="O1518" s="8" t="s">
        <v>1935</v>
      </c>
      <c r="P1518" s="4">
        <v>872</v>
      </c>
      <c r="Q1518" s="4" t="s">
        <v>3139</v>
      </c>
      <c r="R1518" s="10">
        <v>30</v>
      </c>
      <c r="S1518" s="10">
        <v>35.714199999999998</v>
      </c>
      <c r="T1518" s="10">
        <f t="shared" ref="T1518" si="773">S1518*R1518</f>
        <v>1071.4259999999999</v>
      </c>
      <c r="U1518" s="10">
        <f t="shared" ref="U1518" si="774">T1518*1.12</f>
        <v>1199.99712</v>
      </c>
      <c r="V1518" s="1"/>
      <c r="W1518" s="1">
        <v>2015</v>
      </c>
      <c r="X1518" s="4"/>
    </row>
    <row r="1519" spans="1:24" s="23" customFormat="1" ht="76.5" customHeight="1" outlineLevel="1" x14ac:dyDescent="0.2">
      <c r="A1519" s="1" t="s">
        <v>2416</v>
      </c>
      <c r="B1519" s="24" t="s">
        <v>5277</v>
      </c>
      <c r="C1519" s="4" t="s">
        <v>3485</v>
      </c>
      <c r="D1519" s="4" t="s">
        <v>7044</v>
      </c>
      <c r="E1519" s="4" t="s">
        <v>7010</v>
      </c>
      <c r="F1519" s="4"/>
      <c r="G1519" s="4" t="s">
        <v>3190</v>
      </c>
      <c r="H1519" s="22">
        <v>0</v>
      </c>
      <c r="I1519" s="18">
        <v>710000000</v>
      </c>
      <c r="J1519" s="4" t="s">
        <v>1931</v>
      </c>
      <c r="K1519" s="4" t="s">
        <v>5706</v>
      </c>
      <c r="L1519" s="4" t="s">
        <v>1889</v>
      </c>
      <c r="M1519" s="8" t="s">
        <v>3195</v>
      </c>
      <c r="N1519" s="4" t="s">
        <v>1890</v>
      </c>
      <c r="O1519" s="8" t="s">
        <v>1935</v>
      </c>
      <c r="P1519" s="4">
        <v>778</v>
      </c>
      <c r="Q1519" s="4" t="s">
        <v>3327</v>
      </c>
      <c r="R1519" s="34">
        <v>20</v>
      </c>
      <c r="S1519" s="10">
        <v>28.55</v>
      </c>
      <c r="T1519" s="10">
        <v>0</v>
      </c>
      <c r="U1519" s="10">
        <f t="shared" si="638"/>
        <v>0</v>
      </c>
      <c r="V1519" s="11"/>
      <c r="W1519" s="11">
        <v>2015</v>
      </c>
      <c r="X1519" s="4">
        <v>4.5</v>
      </c>
    </row>
    <row r="1520" spans="1:24" s="23" customFormat="1" ht="76.5" customHeight="1" outlineLevel="1" x14ac:dyDescent="0.2">
      <c r="A1520" s="1" t="s">
        <v>7046</v>
      </c>
      <c r="B1520" s="16" t="s">
        <v>5277</v>
      </c>
      <c r="C1520" s="4" t="s">
        <v>3485</v>
      </c>
      <c r="D1520" s="4" t="s">
        <v>7044</v>
      </c>
      <c r="E1520" s="4" t="s">
        <v>7010</v>
      </c>
      <c r="F1520" s="4"/>
      <c r="G1520" s="4" t="s">
        <v>3190</v>
      </c>
      <c r="H1520" s="22">
        <v>0</v>
      </c>
      <c r="I1520" s="18">
        <v>710000000</v>
      </c>
      <c r="J1520" s="4" t="s">
        <v>1931</v>
      </c>
      <c r="K1520" s="4" t="s">
        <v>5706</v>
      </c>
      <c r="L1520" s="4" t="s">
        <v>1889</v>
      </c>
      <c r="M1520" s="8" t="s">
        <v>3195</v>
      </c>
      <c r="N1520" s="4" t="s">
        <v>1890</v>
      </c>
      <c r="O1520" s="8" t="s">
        <v>1935</v>
      </c>
      <c r="P1520" s="4">
        <v>778</v>
      </c>
      <c r="Q1520" s="4" t="s">
        <v>3327</v>
      </c>
      <c r="R1520" s="10">
        <v>20</v>
      </c>
      <c r="S1520" s="10">
        <v>28.55</v>
      </c>
      <c r="T1520" s="10">
        <v>0</v>
      </c>
      <c r="U1520" s="10">
        <f t="shared" ref="U1520" si="775">T1520*1.12</f>
        <v>0</v>
      </c>
      <c r="V1520" s="1"/>
      <c r="W1520" s="1">
        <v>2015</v>
      </c>
      <c r="X1520" s="4" t="s">
        <v>7597</v>
      </c>
    </row>
    <row r="1521" spans="1:24" s="23" customFormat="1" ht="76.5" customHeight="1" outlineLevel="1" x14ac:dyDescent="0.2">
      <c r="A1521" s="1" t="s">
        <v>8260</v>
      </c>
      <c r="B1521" s="16" t="s">
        <v>5277</v>
      </c>
      <c r="C1521" s="4" t="s">
        <v>3485</v>
      </c>
      <c r="D1521" s="4" t="s">
        <v>7044</v>
      </c>
      <c r="E1521" s="4" t="s">
        <v>7010</v>
      </c>
      <c r="F1521" s="4"/>
      <c r="G1521" s="4" t="s">
        <v>3190</v>
      </c>
      <c r="H1521" s="22">
        <v>0</v>
      </c>
      <c r="I1521" s="18">
        <v>710000000</v>
      </c>
      <c r="J1521" s="4" t="s">
        <v>1931</v>
      </c>
      <c r="K1521" s="4" t="s">
        <v>756</v>
      </c>
      <c r="L1521" s="4" t="s">
        <v>1889</v>
      </c>
      <c r="M1521" s="8" t="s">
        <v>3195</v>
      </c>
      <c r="N1521" s="4" t="s">
        <v>1890</v>
      </c>
      <c r="O1521" s="8" t="s">
        <v>1935</v>
      </c>
      <c r="P1521" s="4">
        <v>778</v>
      </c>
      <c r="Q1521" s="4" t="s">
        <v>3327</v>
      </c>
      <c r="R1521" s="10">
        <v>20</v>
      </c>
      <c r="S1521" s="10">
        <v>53.571399999999997</v>
      </c>
      <c r="T1521" s="10">
        <f t="shared" ref="T1521" si="776">S1521*R1521</f>
        <v>1071.4279999999999</v>
      </c>
      <c r="U1521" s="10">
        <f t="shared" ref="U1521" si="777">T1521*1.12</f>
        <v>1199.99936</v>
      </c>
      <c r="V1521" s="1"/>
      <c r="W1521" s="1">
        <v>2015</v>
      </c>
      <c r="X1521" s="4"/>
    </row>
    <row r="1522" spans="1:24" s="23" customFormat="1" ht="76.5" customHeight="1" outlineLevel="1" x14ac:dyDescent="0.2">
      <c r="A1522" s="1" t="s">
        <v>2417</v>
      </c>
      <c r="B1522" s="24" t="s">
        <v>5277</v>
      </c>
      <c r="C1522" s="4" t="s">
        <v>3486</v>
      </c>
      <c r="D1522" s="4" t="s">
        <v>7044</v>
      </c>
      <c r="E1522" s="4" t="s">
        <v>7045</v>
      </c>
      <c r="F1522" s="4"/>
      <c r="G1522" s="4" t="s">
        <v>3190</v>
      </c>
      <c r="H1522" s="22">
        <v>0</v>
      </c>
      <c r="I1522" s="18">
        <v>710000000</v>
      </c>
      <c r="J1522" s="4" t="s">
        <v>1931</v>
      </c>
      <c r="K1522" s="4" t="s">
        <v>5706</v>
      </c>
      <c r="L1522" s="4" t="s">
        <v>1889</v>
      </c>
      <c r="M1522" s="8" t="s">
        <v>3195</v>
      </c>
      <c r="N1522" s="4" t="s">
        <v>1890</v>
      </c>
      <c r="O1522" s="8" t="s">
        <v>1935</v>
      </c>
      <c r="P1522" s="4">
        <v>778</v>
      </c>
      <c r="Q1522" s="4" t="s">
        <v>3327</v>
      </c>
      <c r="R1522" s="34">
        <v>5</v>
      </c>
      <c r="S1522" s="10">
        <v>41</v>
      </c>
      <c r="T1522" s="10">
        <v>0</v>
      </c>
      <c r="U1522" s="10">
        <f t="shared" si="638"/>
        <v>0</v>
      </c>
      <c r="V1522" s="11"/>
      <c r="W1522" s="11">
        <v>2015</v>
      </c>
      <c r="X1522" s="4">
        <v>4.5</v>
      </c>
    </row>
    <row r="1523" spans="1:24" s="23" customFormat="1" ht="76.5" customHeight="1" outlineLevel="1" x14ac:dyDescent="0.2">
      <c r="A1523" s="1" t="s">
        <v>7043</v>
      </c>
      <c r="B1523" s="16" t="s">
        <v>5277</v>
      </c>
      <c r="C1523" s="4" t="s">
        <v>3486</v>
      </c>
      <c r="D1523" s="4" t="s">
        <v>7044</v>
      </c>
      <c r="E1523" s="4" t="s">
        <v>7045</v>
      </c>
      <c r="F1523" s="4"/>
      <c r="G1523" s="4" t="s">
        <v>3190</v>
      </c>
      <c r="H1523" s="22">
        <v>0</v>
      </c>
      <c r="I1523" s="18">
        <v>710000000</v>
      </c>
      <c r="J1523" s="4" t="s">
        <v>1931</v>
      </c>
      <c r="K1523" s="4" t="s">
        <v>5706</v>
      </c>
      <c r="L1523" s="4" t="s">
        <v>1889</v>
      </c>
      <c r="M1523" s="8" t="s">
        <v>3195</v>
      </c>
      <c r="N1523" s="4" t="s">
        <v>1890</v>
      </c>
      <c r="O1523" s="8" t="s">
        <v>1935</v>
      </c>
      <c r="P1523" s="4">
        <v>778</v>
      </c>
      <c r="Q1523" s="4" t="s">
        <v>3327</v>
      </c>
      <c r="R1523" s="10">
        <v>5</v>
      </c>
      <c r="S1523" s="10">
        <v>41</v>
      </c>
      <c r="T1523" s="10">
        <v>0</v>
      </c>
      <c r="U1523" s="10">
        <f t="shared" ref="U1523" si="778">T1523*1.12</f>
        <v>0</v>
      </c>
      <c r="V1523" s="1"/>
      <c r="W1523" s="1">
        <v>2015</v>
      </c>
      <c r="X1523" s="4" t="s">
        <v>7597</v>
      </c>
    </row>
    <row r="1524" spans="1:24" s="23" customFormat="1" ht="76.5" customHeight="1" outlineLevel="1" x14ac:dyDescent="0.2">
      <c r="A1524" s="1" t="s">
        <v>8261</v>
      </c>
      <c r="B1524" s="16" t="s">
        <v>5277</v>
      </c>
      <c r="C1524" s="4" t="s">
        <v>3486</v>
      </c>
      <c r="D1524" s="4" t="s">
        <v>7044</v>
      </c>
      <c r="E1524" s="4" t="s">
        <v>7045</v>
      </c>
      <c r="F1524" s="4"/>
      <c r="G1524" s="4" t="s">
        <v>3190</v>
      </c>
      <c r="H1524" s="22">
        <v>0</v>
      </c>
      <c r="I1524" s="18">
        <v>710000000</v>
      </c>
      <c r="J1524" s="4" t="s">
        <v>1931</v>
      </c>
      <c r="K1524" s="4" t="s">
        <v>756</v>
      </c>
      <c r="L1524" s="4" t="s">
        <v>1889</v>
      </c>
      <c r="M1524" s="8" t="s">
        <v>3195</v>
      </c>
      <c r="N1524" s="4" t="s">
        <v>1890</v>
      </c>
      <c r="O1524" s="8" t="s">
        <v>1935</v>
      </c>
      <c r="P1524" s="4">
        <v>778</v>
      </c>
      <c r="Q1524" s="4" t="s">
        <v>3327</v>
      </c>
      <c r="R1524" s="10">
        <v>5</v>
      </c>
      <c r="S1524" s="10">
        <v>44.642800000000001</v>
      </c>
      <c r="T1524" s="10">
        <f t="shared" ref="T1524" si="779">S1524*R1524</f>
        <v>223.214</v>
      </c>
      <c r="U1524" s="10">
        <f t="shared" ref="U1524" si="780">T1524*1.12</f>
        <v>249.99968000000001</v>
      </c>
      <c r="V1524" s="1"/>
      <c r="W1524" s="1">
        <v>2015</v>
      </c>
      <c r="X1524" s="4"/>
    </row>
    <row r="1525" spans="1:24" s="23" customFormat="1" ht="76.5" customHeight="1" outlineLevel="1" x14ac:dyDescent="0.2">
      <c r="A1525" s="1" t="s">
        <v>2418</v>
      </c>
      <c r="B1525" s="24" t="s">
        <v>5277</v>
      </c>
      <c r="C1525" s="4" t="s">
        <v>3487</v>
      </c>
      <c r="D1525" s="4" t="s">
        <v>7042</v>
      </c>
      <c r="E1525" s="4" t="s">
        <v>7010</v>
      </c>
      <c r="F1525" s="4"/>
      <c r="G1525" s="4" t="s">
        <v>3190</v>
      </c>
      <c r="H1525" s="22">
        <v>0</v>
      </c>
      <c r="I1525" s="18">
        <v>710000000</v>
      </c>
      <c r="J1525" s="4" t="s">
        <v>1931</v>
      </c>
      <c r="K1525" s="4" t="s">
        <v>5706</v>
      </c>
      <c r="L1525" s="4" t="s">
        <v>1889</v>
      </c>
      <c r="M1525" s="8" t="s">
        <v>3195</v>
      </c>
      <c r="N1525" s="4" t="s">
        <v>1890</v>
      </c>
      <c r="O1525" s="8" t="s">
        <v>1935</v>
      </c>
      <c r="P1525" s="4">
        <v>778</v>
      </c>
      <c r="Q1525" s="4" t="s">
        <v>3327</v>
      </c>
      <c r="R1525" s="34">
        <v>3</v>
      </c>
      <c r="S1525" s="10">
        <v>606.33000000000004</v>
      </c>
      <c r="T1525" s="10">
        <v>0</v>
      </c>
      <c r="U1525" s="10">
        <f t="shared" si="638"/>
        <v>0</v>
      </c>
      <c r="V1525" s="11"/>
      <c r="W1525" s="11">
        <v>2015</v>
      </c>
      <c r="X1525" s="4">
        <v>4.5</v>
      </c>
    </row>
    <row r="1526" spans="1:24" s="23" customFormat="1" ht="76.5" customHeight="1" outlineLevel="1" x14ac:dyDescent="0.2">
      <c r="A1526" s="1" t="s">
        <v>7041</v>
      </c>
      <c r="B1526" s="16" t="s">
        <v>5277</v>
      </c>
      <c r="C1526" s="4" t="s">
        <v>3487</v>
      </c>
      <c r="D1526" s="4" t="s">
        <v>7042</v>
      </c>
      <c r="E1526" s="4" t="s">
        <v>7010</v>
      </c>
      <c r="F1526" s="4"/>
      <c r="G1526" s="4" t="s">
        <v>3190</v>
      </c>
      <c r="H1526" s="22">
        <v>0</v>
      </c>
      <c r="I1526" s="18">
        <v>710000000</v>
      </c>
      <c r="J1526" s="4" t="s">
        <v>1931</v>
      </c>
      <c r="K1526" s="4" t="s">
        <v>5706</v>
      </c>
      <c r="L1526" s="4" t="s">
        <v>1889</v>
      </c>
      <c r="M1526" s="8" t="s">
        <v>3195</v>
      </c>
      <c r="N1526" s="4" t="s">
        <v>1890</v>
      </c>
      <c r="O1526" s="8" t="s">
        <v>1935</v>
      </c>
      <c r="P1526" s="4">
        <v>778</v>
      </c>
      <c r="Q1526" s="4" t="s">
        <v>3327</v>
      </c>
      <c r="R1526" s="10">
        <v>3</v>
      </c>
      <c r="S1526" s="10">
        <v>606.33000000000004</v>
      </c>
      <c r="T1526" s="10">
        <v>0</v>
      </c>
      <c r="U1526" s="10">
        <f t="shared" ref="U1526" si="781">T1526*1.12</f>
        <v>0</v>
      </c>
      <c r="V1526" s="1"/>
      <c r="W1526" s="1">
        <v>2015</v>
      </c>
      <c r="X1526" s="4" t="s">
        <v>7597</v>
      </c>
    </row>
    <row r="1527" spans="1:24" s="23" customFormat="1" ht="76.5" customHeight="1" outlineLevel="1" x14ac:dyDescent="0.2">
      <c r="A1527" s="1" t="s">
        <v>8262</v>
      </c>
      <c r="B1527" s="16" t="s">
        <v>5277</v>
      </c>
      <c r="C1527" s="4" t="s">
        <v>3487</v>
      </c>
      <c r="D1527" s="4" t="s">
        <v>7042</v>
      </c>
      <c r="E1527" s="4" t="s">
        <v>7010</v>
      </c>
      <c r="F1527" s="4"/>
      <c r="G1527" s="4" t="s">
        <v>3190</v>
      </c>
      <c r="H1527" s="22">
        <v>0</v>
      </c>
      <c r="I1527" s="18">
        <v>710000000</v>
      </c>
      <c r="J1527" s="4" t="s">
        <v>1931</v>
      </c>
      <c r="K1527" s="4" t="s">
        <v>756</v>
      </c>
      <c r="L1527" s="4" t="s">
        <v>1889</v>
      </c>
      <c r="M1527" s="8" t="s">
        <v>3195</v>
      </c>
      <c r="N1527" s="4" t="s">
        <v>1890</v>
      </c>
      <c r="O1527" s="8" t="s">
        <v>1935</v>
      </c>
      <c r="P1527" s="4">
        <v>778</v>
      </c>
      <c r="Q1527" s="4" t="s">
        <v>3327</v>
      </c>
      <c r="R1527" s="10">
        <v>3</v>
      </c>
      <c r="S1527" s="10">
        <v>642.28570000000002</v>
      </c>
      <c r="T1527" s="10">
        <f t="shared" ref="T1527" si="782">S1527*R1527</f>
        <v>1926.8571000000002</v>
      </c>
      <c r="U1527" s="10">
        <f t="shared" ref="U1527" si="783">T1527*1.12</f>
        <v>2158.0799520000005</v>
      </c>
      <c r="V1527" s="1"/>
      <c r="W1527" s="1">
        <v>2015</v>
      </c>
      <c r="X1527" s="4"/>
    </row>
    <row r="1528" spans="1:24" s="23" customFormat="1" ht="76.5" customHeight="1" outlineLevel="1" x14ac:dyDescent="0.2">
      <c r="A1528" s="1" t="s">
        <v>2419</v>
      </c>
      <c r="B1528" s="24" t="s">
        <v>5277</v>
      </c>
      <c r="C1528" s="4" t="s">
        <v>3488</v>
      </c>
      <c r="D1528" s="4" t="s">
        <v>5328</v>
      </c>
      <c r="E1528" s="4" t="s">
        <v>5329</v>
      </c>
      <c r="F1528" s="4"/>
      <c r="G1528" s="4" t="s">
        <v>3190</v>
      </c>
      <c r="H1528" s="22">
        <v>0</v>
      </c>
      <c r="I1528" s="18">
        <v>710000000</v>
      </c>
      <c r="J1528" s="4" t="s">
        <v>1931</v>
      </c>
      <c r="K1528" s="4" t="s">
        <v>5706</v>
      </c>
      <c r="L1528" s="4" t="s">
        <v>1889</v>
      </c>
      <c r="M1528" s="8" t="s">
        <v>3195</v>
      </c>
      <c r="N1528" s="4" t="s">
        <v>1890</v>
      </c>
      <c r="O1528" s="8" t="s">
        <v>1935</v>
      </c>
      <c r="P1528" s="4">
        <v>778</v>
      </c>
      <c r="Q1528" s="4" t="s">
        <v>3327</v>
      </c>
      <c r="R1528" s="34">
        <v>3</v>
      </c>
      <c r="S1528" s="10">
        <v>242.33</v>
      </c>
      <c r="T1528" s="10">
        <v>0</v>
      </c>
      <c r="U1528" s="10">
        <f t="shared" si="638"/>
        <v>0</v>
      </c>
      <c r="V1528" s="11"/>
      <c r="W1528" s="11">
        <v>2015</v>
      </c>
      <c r="X1528" s="4" t="s">
        <v>7064</v>
      </c>
    </row>
    <row r="1529" spans="1:24" s="23" customFormat="1" ht="76.5" customHeight="1" outlineLevel="1" x14ac:dyDescent="0.2">
      <c r="A1529" s="1" t="s">
        <v>7060</v>
      </c>
      <c r="B1529" s="16" t="s">
        <v>5277</v>
      </c>
      <c r="C1529" s="4" t="s">
        <v>7061</v>
      </c>
      <c r="D1529" s="4" t="s">
        <v>7062</v>
      </c>
      <c r="E1529" s="4" t="s">
        <v>7063</v>
      </c>
      <c r="F1529" s="4"/>
      <c r="G1529" s="4" t="s">
        <v>3190</v>
      </c>
      <c r="H1529" s="22">
        <v>0</v>
      </c>
      <c r="I1529" s="18">
        <v>710000000</v>
      </c>
      <c r="J1529" s="4" t="s">
        <v>1931</v>
      </c>
      <c r="K1529" s="4" t="s">
        <v>5706</v>
      </c>
      <c r="L1529" s="4" t="s">
        <v>1889</v>
      </c>
      <c r="M1529" s="8" t="s">
        <v>3195</v>
      </c>
      <c r="N1529" s="4" t="s">
        <v>1890</v>
      </c>
      <c r="O1529" s="8" t="s">
        <v>1935</v>
      </c>
      <c r="P1529" s="4">
        <v>796</v>
      </c>
      <c r="Q1529" s="4" t="s">
        <v>3196</v>
      </c>
      <c r="R1529" s="10">
        <v>3</v>
      </c>
      <c r="S1529" s="10">
        <v>242.33</v>
      </c>
      <c r="T1529" s="10">
        <v>0</v>
      </c>
      <c r="U1529" s="10">
        <f t="shared" ref="U1529" si="784">T1529*1.12</f>
        <v>0</v>
      </c>
      <c r="V1529" s="1"/>
      <c r="W1529" s="1">
        <v>2015</v>
      </c>
      <c r="X1529" s="4" t="s">
        <v>7597</v>
      </c>
    </row>
    <row r="1530" spans="1:24" s="23" customFormat="1" ht="76.5" customHeight="1" outlineLevel="1" x14ac:dyDescent="0.2">
      <c r="A1530" s="1" t="s">
        <v>8263</v>
      </c>
      <c r="B1530" s="16" t="s">
        <v>5277</v>
      </c>
      <c r="C1530" s="4" t="s">
        <v>7061</v>
      </c>
      <c r="D1530" s="4" t="s">
        <v>7062</v>
      </c>
      <c r="E1530" s="4" t="s">
        <v>7063</v>
      </c>
      <c r="F1530" s="4"/>
      <c r="G1530" s="4" t="s">
        <v>3190</v>
      </c>
      <c r="H1530" s="22">
        <v>0</v>
      </c>
      <c r="I1530" s="18">
        <v>710000000</v>
      </c>
      <c r="J1530" s="4" t="s">
        <v>1931</v>
      </c>
      <c r="K1530" s="4" t="s">
        <v>756</v>
      </c>
      <c r="L1530" s="4" t="s">
        <v>1889</v>
      </c>
      <c r="M1530" s="8" t="s">
        <v>3195</v>
      </c>
      <c r="N1530" s="4" t="s">
        <v>1890</v>
      </c>
      <c r="O1530" s="8" t="s">
        <v>1935</v>
      </c>
      <c r="P1530" s="4">
        <v>796</v>
      </c>
      <c r="Q1530" s="4" t="s">
        <v>3196</v>
      </c>
      <c r="R1530" s="10">
        <v>3</v>
      </c>
      <c r="S1530" s="10">
        <v>241.07140000000001</v>
      </c>
      <c r="T1530" s="10">
        <f t="shared" ref="T1530" si="785">S1530*R1530</f>
        <v>723.21420000000001</v>
      </c>
      <c r="U1530" s="10">
        <f t="shared" ref="U1530" si="786">T1530*1.12</f>
        <v>809.99990400000013</v>
      </c>
      <c r="V1530" s="1"/>
      <c r="W1530" s="1">
        <v>2015</v>
      </c>
      <c r="X1530" s="4"/>
    </row>
    <row r="1531" spans="1:24" s="23" customFormat="1" ht="76.5" customHeight="1" outlineLevel="1" x14ac:dyDescent="0.2">
      <c r="A1531" s="1" t="s">
        <v>2420</v>
      </c>
      <c r="B1531" s="24" t="s">
        <v>5277</v>
      </c>
      <c r="C1531" s="4" t="s">
        <v>1619</v>
      </c>
      <c r="D1531" s="4" t="s">
        <v>7066</v>
      </c>
      <c r="E1531" s="4" t="s">
        <v>7067</v>
      </c>
      <c r="F1531" s="4"/>
      <c r="G1531" s="4" t="s">
        <v>3190</v>
      </c>
      <c r="H1531" s="22">
        <v>0</v>
      </c>
      <c r="I1531" s="18">
        <v>710000000</v>
      </c>
      <c r="J1531" s="4" t="s">
        <v>1931</v>
      </c>
      <c r="K1531" s="4" t="s">
        <v>5706</v>
      </c>
      <c r="L1531" s="4" t="s">
        <v>1889</v>
      </c>
      <c r="M1531" s="8" t="s">
        <v>3195</v>
      </c>
      <c r="N1531" s="4" t="s">
        <v>1890</v>
      </c>
      <c r="O1531" s="8" t="s">
        <v>1935</v>
      </c>
      <c r="P1531" s="4">
        <v>872</v>
      </c>
      <c r="Q1531" s="4" t="s">
        <v>3139</v>
      </c>
      <c r="R1531" s="34">
        <v>5</v>
      </c>
      <c r="S1531" s="10">
        <v>559</v>
      </c>
      <c r="T1531" s="10">
        <v>0</v>
      </c>
      <c r="U1531" s="10">
        <f t="shared" si="638"/>
        <v>0</v>
      </c>
      <c r="V1531" s="11"/>
      <c r="W1531" s="11">
        <v>2015</v>
      </c>
      <c r="X1531" s="4">
        <v>4.5</v>
      </c>
    </row>
    <row r="1532" spans="1:24" s="23" customFormat="1" ht="76.5" customHeight="1" outlineLevel="1" x14ac:dyDescent="0.2">
      <c r="A1532" s="1" t="s">
        <v>7065</v>
      </c>
      <c r="B1532" s="16" t="s">
        <v>5277</v>
      </c>
      <c r="C1532" s="4" t="s">
        <v>1619</v>
      </c>
      <c r="D1532" s="4" t="s">
        <v>7066</v>
      </c>
      <c r="E1532" s="4" t="s">
        <v>7067</v>
      </c>
      <c r="F1532" s="4"/>
      <c r="G1532" s="4" t="s">
        <v>3190</v>
      </c>
      <c r="H1532" s="22">
        <v>0</v>
      </c>
      <c r="I1532" s="18">
        <v>710000000</v>
      </c>
      <c r="J1532" s="4" t="s">
        <v>1931</v>
      </c>
      <c r="K1532" s="4" t="s">
        <v>5706</v>
      </c>
      <c r="L1532" s="4" t="s">
        <v>1889</v>
      </c>
      <c r="M1532" s="8" t="s">
        <v>3195</v>
      </c>
      <c r="N1532" s="4" t="s">
        <v>1890</v>
      </c>
      <c r="O1532" s="8" t="s">
        <v>1935</v>
      </c>
      <c r="P1532" s="4">
        <v>872</v>
      </c>
      <c r="Q1532" s="4" t="s">
        <v>3139</v>
      </c>
      <c r="R1532" s="10">
        <v>5</v>
      </c>
      <c r="S1532" s="10">
        <v>559</v>
      </c>
      <c r="T1532" s="10">
        <v>0</v>
      </c>
      <c r="U1532" s="10">
        <f t="shared" ref="U1532" si="787">T1532*1.12</f>
        <v>0</v>
      </c>
      <c r="V1532" s="1"/>
      <c r="W1532" s="1">
        <v>2015</v>
      </c>
      <c r="X1532" s="4" t="s">
        <v>7597</v>
      </c>
    </row>
    <row r="1533" spans="1:24" s="23" customFormat="1" ht="76.5" customHeight="1" outlineLevel="1" x14ac:dyDescent="0.2">
      <c r="A1533" s="1" t="s">
        <v>8264</v>
      </c>
      <c r="B1533" s="16" t="s">
        <v>5277</v>
      </c>
      <c r="C1533" s="4" t="s">
        <v>1619</v>
      </c>
      <c r="D1533" s="4" t="s">
        <v>7066</v>
      </c>
      <c r="E1533" s="4" t="s">
        <v>7067</v>
      </c>
      <c r="F1533" s="4"/>
      <c r="G1533" s="4" t="s">
        <v>3190</v>
      </c>
      <c r="H1533" s="22">
        <v>0</v>
      </c>
      <c r="I1533" s="18">
        <v>710000000</v>
      </c>
      <c r="J1533" s="4" t="s">
        <v>1931</v>
      </c>
      <c r="K1533" s="4" t="s">
        <v>756</v>
      </c>
      <c r="L1533" s="4" t="s">
        <v>1889</v>
      </c>
      <c r="M1533" s="8" t="s">
        <v>3195</v>
      </c>
      <c r="N1533" s="4" t="s">
        <v>1890</v>
      </c>
      <c r="O1533" s="8" t="s">
        <v>1935</v>
      </c>
      <c r="P1533" s="4">
        <v>872</v>
      </c>
      <c r="Q1533" s="4" t="s">
        <v>3139</v>
      </c>
      <c r="R1533" s="10">
        <v>5</v>
      </c>
      <c r="S1533" s="10">
        <v>729.46420000000001</v>
      </c>
      <c r="T1533" s="10">
        <f t="shared" ref="T1533" si="788">S1533*R1533</f>
        <v>3647.3209999999999</v>
      </c>
      <c r="U1533" s="10">
        <f t="shared" ref="U1533" si="789">T1533*1.12</f>
        <v>4084.9995200000003</v>
      </c>
      <c r="V1533" s="1"/>
      <c r="W1533" s="1">
        <v>2015</v>
      </c>
      <c r="X1533" s="4"/>
    </row>
    <row r="1534" spans="1:24" s="23" customFormat="1" ht="76.5" customHeight="1" outlineLevel="1" x14ac:dyDescent="0.2">
      <c r="A1534" s="1" t="s">
        <v>2421</v>
      </c>
      <c r="B1534" s="24" t="s">
        <v>5277</v>
      </c>
      <c r="C1534" s="4" t="s">
        <v>3489</v>
      </c>
      <c r="D1534" s="4" t="s">
        <v>3490</v>
      </c>
      <c r="E1534" s="4" t="s">
        <v>5330</v>
      </c>
      <c r="F1534" s="4"/>
      <c r="G1534" s="4" t="s">
        <v>3190</v>
      </c>
      <c r="H1534" s="22">
        <v>0</v>
      </c>
      <c r="I1534" s="18">
        <v>710000000</v>
      </c>
      <c r="J1534" s="4" t="s">
        <v>1931</v>
      </c>
      <c r="K1534" s="4" t="s">
        <v>5706</v>
      </c>
      <c r="L1534" s="4" t="s">
        <v>1889</v>
      </c>
      <c r="M1534" s="8" t="s">
        <v>3195</v>
      </c>
      <c r="N1534" s="4" t="s">
        <v>1890</v>
      </c>
      <c r="O1534" s="8" t="s">
        <v>1935</v>
      </c>
      <c r="P1534" s="4">
        <v>778</v>
      </c>
      <c r="Q1534" s="4" t="s">
        <v>3327</v>
      </c>
      <c r="R1534" s="34">
        <v>10</v>
      </c>
      <c r="S1534" s="10">
        <v>1225.8</v>
      </c>
      <c r="T1534" s="10">
        <v>0</v>
      </c>
      <c r="U1534" s="10">
        <f t="shared" si="638"/>
        <v>0</v>
      </c>
      <c r="V1534" s="11"/>
      <c r="W1534" s="11">
        <v>2015</v>
      </c>
      <c r="X1534" s="4" t="s">
        <v>7071</v>
      </c>
    </row>
    <row r="1535" spans="1:24" s="23" customFormat="1" ht="76.5" customHeight="1" outlineLevel="1" x14ac:dyDescent="0.2">
      <c r="A1535" s="1" t="s">
        <v>7068</v>
      </c>
      <c r="B1535" s="16" t="s">
        <v>5277</v>
      </c>
      <c r="C1535" s="4" t="s">
        <v>7188</v>
      </c>
      <c r="D1535" s="4" t="s">
        <v>7187</v>
      </c>
      <c r="E1535" s="4" t="s">
        <v>7010</v>
      </c>
      <c r="F1535" s="4"/>
      <c r="G1535" s="4" t="s">
        <v>3190</v>
      </c>
      <c r="H1535" s="22">
        <v>0</v>
      </c>
      <c r="I1535" s="18">
        <v>710000000</v>
      </c>
      <c r="J1535" s="4" t="s">
        <v>1931</v>
      </c>
      <c r="K1535" s="4" t="s">
        <v>5706</v>
      </c>
      <c r="L1535" s="4" t="s">
        <v>1889</v>
      </c>
      <c r="M1535" s="8" t="s">
        <v>3195</v>
      </c>
      <c r="N1535" s="4" t="s">
        <v>1890</v>
      </c>
      <c r="O1535" s="8" t="s">
        <v>1935</v>
      </c>
      <c r="P1535" s="4">
        <v>778</v>
      </c>
      <c r="Q1535" s="4" t="s">
        <v>3327</v>
      </c>
      <c r="R1535" s="10">
        <v>10</v>
      </c>
      <c r="S1535" s="10">
        <v>1225.8</v>
      </c>
      <c r="T1535" s="10">
        <v>0</v>
      </c>
      <c r="U1535" s="10">
        <f t="shared" ref="U1535" si="790">T1535*1.12</f>
        <v>0</v>
      </c>
      <c r="V1535" s="1"/>
      <c r="W1535" s="1">
        <v>2015</v>
      </c>
      <c r="X1535" s="4" t="s">
        <v>7597</v>
      </c>
    </row>
    <row r="1536" spans="1:24" s="23" customFormat="1" ht="76.5" customHeight="1" outlineLevel="1" x14ac:dyDescent="0.2">
      <c r="A1536" s="1" t="s">
        <v>8265</v>
      </c>
      <c r="B1536" s="16" t="s">
        <v>5277</v>
      </c>
      <c r="C1536" s="4" t="s">
        <v>7188</v>
      </c>
      <c r="D1536" s="4" t="s">
        <v>7187</v>
      </c>
      <c r="E1536" s="4" t="s">
        <v>7010</v>
      </c>
      <c r="F1536" s="4"/>
      <c r="G1536" s="4" t="s">
        <v>3190</v>
      </c>
      <c r="H1536" s="22">
        <v>0</v>
      </c>
      <c r="I1536" s="18">
        <v>710000000</v>
      </c>
      <c r="J1536" s="4" t="s">
        <v>1931</v>
      </c>
      <c r="K1536" s="4" t="s">
        <v>756</v>
      </c>
      <c r="L1536" s="4" t="s">
        <v>1889</v>
      </c>
      <c r="M1536" s="8" t="s">
        <v>3195</v>
      </c>
      <c r="N1536" s="4" t="s">
        <v>1890</v>
      </c>
      <c r="O1536" s="8" t="s">
        <v>1935</v>
      </c>
      <c r="P1536" s="4">
        <v>778</v>
      </c>
      <c r="Q1536" s="4" t="s">
        <v>3327</v>
      </c>
      <c r="R1536" s="10">
        <v>10</v>
      </c>
      <c r="S1536" s="10">
        <v>768.75</v>
      </c>
      <c r="T1536" s="10">
        <f t="shared" ref="T1536" si="791">S1536*R1536</f>
        <v>7687.5</v>
      </c>
      <c r="U1536" s="10">
        <f t="shared" ref="U1536" si="792">T1536*1.12</f>
        <v>8610</v>
      </c>
      <c r="V1536" s="1"/>
      <c r="W1536" s="1">
        <v>2015</v>
      </c>
      <c r="X1536" s="4"/>
    </row>
    <row r="1537" spans="1:24" s="23" customFormat="1" ht="76.5" customHeight="1" outlineLevel="1" x14ac:dyDescent="0.2">
      <c r="A1537" s="1" t="s">
        <v>2422</v>
      </c>
      <c r="B1537" s="24" t="s">
        <v>5277</v>
      </c>
      <c r="C1537" s="4" t="s">
        <v>3491</v>
      </c>
      <c r="D1537" s="4" t="s">
        <v>3492</v>
      </c>
      <c r="E1537" s="4" t="s">
        <v>7010</v>
      </c>
      <c r="F1537" s="4"/>
      <c r="G1537" s="4" t="s">
        <v>3190</v>
      </c>
      <c r="H1537" s="22">
        <v>0</v>
      </c>
      <c r="I1537" s="18">
        <v>710000000</v>
      </c>
      <c r="J1537" s="4" t="s">
        <v>1931</v>
      </c>
      <c r="K1537" s="4" t="s">
        <v>5706</v>
      </c>
      <c r="L1537" s="4" t="s">
        <v>1889</v>
      </c>
      <c r="M1537" s="8" t="s">
        <v>3195</v>
      </c>
      <c r="N1537" s="4" t="s">
        <v>1890</v>
      </c>
      <c r="O1537" s="8" t="s">
        <v>1935</v>
      </c>
      <c r="P1537" s="4">
        <v>778</v>
      </c>
      <c r="Q1537" s="4" t="s">
        <v>3327</v>
      </c>
      <c r="R1537" s="34">
        <v>10</v>
      </c>
      <c r="S1537" s="10">
        <v>9.8000000000000007</v>
      </c>
      <c r="T1537" s="10">
        <v>0</v>
      </c>
      <c r="U1537" s="10">
        <f t="shared" si="638"/>
        <v>0</v>
      </c>
      <c r="V1537" s="11"/>
      <c r="W1537" s="11">
        <v>2015</v>
      </c>
      <c r="X1537" s="4">
        <v>5</v>
      </c>
    </row>
    <row r="1538" spans="1:24" s="23" customFormat="1" ht="76.5" customHeight="1" outlineLevel="1" x14ac:dyDescent="0.2">
      <c r="A1538" s="1" t="s">
        <v>7076</v>
      </c>
      <c r="B1538" s="16" t="s">
        <v>5277</v>
      </c>
      <c r="C1538" s="4" t="s">
        <v>3491</v>
      </c>
      <c r="D1538" s="4" t="s">
        <v>3492</v>
      </c>
      <c r="E1538" s="4" t="s">
        <v>7010</v>
      </c>
      <c r="F1538" s="4"/>
      <c r="G1538" s="4" t="s">
        <v>3190</v>
      </c>
      <c r="H1538" s="22">
        <v>0</v>
      </c>
      <c r="I1538" s="18">
        <v>710000000</v>
      </c>
      <c r="J1538" s="4" t="s">
        <v>1931</v>
      </c>
      <c r="K1538" s="4" t="s">
        <v>5706</v>
      </c>
      <c r="L1538" s="4" t="s">
        <v>1889</v>
      </c>
      <c r="M1538" s="8" t="s">
        <v>3195</v>
      </c>
      <c r="N1538" s="4" t="s">
        <v>1890</v>
      </c>
      <c r="O1538" s="8" t="s">
        <v>1935</v>
      </c>
      <c r="P1538" s="4">
        <v>778</v>
      </c>
      <c r="Q1538" s="4" t="s">
        <v>3327</v>
      </c>
      <c r="R1538" s="10">
        <v>10</v>
      </c>
      <c r="S1538" s="10">
        <v>9.8000000000000007</v>
      </c>
      <c r="T1538" s="10">
        <v>0</v>
      </c>
      <c r="U1538" s="10">
        <f t="shared" ref="U1538" si="793">T1538*1.12</f>
        <v>0</v>
      </c>
      <c r="V1538" s="1"/>
      <c r="W1538" s="1">
        <v>2015</v>
      </c>
      <c r="X1538" s="4" t="s">
        <v>7597</v>
      </c>
    </row>
    <row r="1539" spans="1:24" s="23" customFormat="1" ht="76.5" customHeight="1" outlineLevel="1" x14ac:dyDescent="0.2">
      <c r="A1539" s="1" t="s">
        <v>8266</v>
      </c>
      <c r="B1539" s="16" t="s">
        <v>5277</v>
      </c>
      <c r="C1539" s="4" t="s">
        <v>3491</v>
      </c>
      <c r="D1539" s="4" t="s">
        <v>3492</v>
      </c>
      <c r="E1539" s="4" t="s">
        <v>7010</v>
      </c>
      <c r="F1539" s="4"/>
      <c r="G1539" s="4" t="s">
        <v>3190</v>
      </c>
      <c r="H1539" s="22">
        <v>0</v>
      </c>
      <c r="I1539" s="18">
        <v>710000000</v>
      </c>
      <c r="J1539" s="4" t="s">
        <v>1931</v>
      </c>
      <c r="K1539" s="4" t="s">
        <v>756</v>
      </c>
      <c r="L1539" s="4" t="s">
        <v>1889</v>
      </c>
      <c r="M1539" s="8" t="s">
        <v>3195</v>
      </c>
      <c r="N1539" s="4" t="s">
        <v>1890</v>
      </c>
      <c r="O1539" s="8" t="s">
        <v>1935</v>
      </c>
      <c r="P1539" s="4">
        <v>778</v>
      </c>
      <c r="Q1539" s="4" t="s">
        <v>3327</v>
      </c>
      <c r="R1539" s="10">
        <v>10</v>
      </c>
      <c r="S1539" s="10">
        <v>15.71</v>
      </c>
      <c r="T1539" s="10">
        <f t="shared" ref="T1539" si="794">S1539*R1539</f>
        <v>157.10000000000002</v>
      </c>
      <c r="U1539" s="10">
        <f t="shared" ref="U1539" si="795">T1539*1.12</f>
        <v>175.95200000000006</v>
      </c>
      <c r="V1539" s="1"/>
      <c r="W1539" s="1">
        <v>2015</v>
      </c>
      <c r="X1539" s="4"/>
    </row>
    <row r="1540" spans="1:24" s="23" customFormat="1" ht="76.5" customHeight="1" outlineLevel="1" x14ac:dyDescent="0.2">
      <c r="A1540" s="1" t="s">
        <v>2423</v>
      </c>
      <c r="B1540" s="24" t="s">
        <v>5277</v>
      </c>
      <c r="C1540" s="4" t="s">
        <v>3493</v>
      </c>
      <c r="D1540" s="4" t="s">
        <v>7078</v>
      </c>
      <c r="E1540" s="4" t="s">
        <v>7010</v>
      </c>
      <c r="F1540" s="4"/>
      <c r="G1540" s="4" t="s">
        <v>3190</v>
      </c>
      <c r="H1540" s="22">
        <v>0</v>
      </c>
      <c r="I1540" s="18">
        <v>710000000</v>
      </c>
      <c r="J1540" s="4" t="s">
        <v>1931</v>
      </c>
      <c r="K1540" s="4" t="s">
        <v>5706</v>
      </c>
      <c r="L1540" s="4" t="s">
        <v>1889</v>
      </c>
      <c r="M1540" s="8" t="s">
        <v>3195</v>
      </c>
      <c r="N1540" s="4" t="s">
        <v>1890</v>
      </c>
      <c r="O1540" s="8" t="s">
        <v>1935</v>
      </c>
      <c r="P1540" s="4">
        <v>778</v>
      </c>
      <c r="Q1540" s="4" t="s">
        <v>3327</v>
      </c>
      <c r="R1540" s="34">
        <v>30</v>
      </c>
      <c r="S1540" s="10">
        <v>29.03</v>
      </c>
      <c r="T1540" s="10">
        <v>0</v>
      </c>
      <c r="U1540" s="10">
        <f t="shared" si="638"/>
        <v>0</v>
      </c>
      <c r="V1540" s="11"/>
      <c r="W1540" s="11">
        <v>2015</v>
      </c>
      <c r="X1540" s="4">
        <v>4.5</v>
      </c>
    </row>
    <row r="1541" spans="1:24" s="23" customFormat="1" ht="76.5" customHeight="1" outlineLevel="1" x14ac:dyDescent="0.2">
      <c r="A1541" s="1" t="s">
        <v>7077</v>
      </c>
      <c r="B1541" s="16" t="s">
        <v>5277</v>
      </c>
      <c r="C1541" s="4" t="s">
        <v>3493</v>
      </c>
      <c r="D1541" s="4" t="s">
        <v>7078</v>
      </c>
      <c r="E1541" s="4" t="s">
        <v>7010</v>
      </c>
      <c r="F1541" s="4"/>
      <c r="G1541" s="4" t="s">
        <v>3190</v>
      </c>
      <c r="H1541" s="22">
        <v>0</v>
      </c>
      <c r="I1541" s="18">
        <v>710000000</v>
      </c>
      <c r="J1541" s="4" t="s">
        <v>1931</v>
      </c>
      <c r="K1541" s="4" t="s">
        <v>5706</v>
      </c>
      <c r="L1541" s="4" t="s">
        <v>1889</v>
      </c>
      <c r="M1541" s="8" t="s">
        <v>3195</v>
      </c>
      <c r="N1541" s="4" t="s">
        <v>1890</v>
      </c>
      <c r="O1541" s="8" t="s">
        <v>1935</v>
      </c>
      <c r="P1541" s="4">
        <v>778</v>
      </c>
      <c r="Q1541" s="4" t="s">
        <v>3327</v>
      </c>
      <c r="R1541" s="10">
        <v>30</v>
      </c>
      <c r="S1541" s="10">
        <v>29.03</v>
      </c>
      <c r="T1541" s="10">
        <v>0</v>
      </c>
      <c r="U1541" s="10">
        <f t="shared" ref="U1541" si="796">T1541*1.12</f>
        <v>0</v>
      </c>
      <c r="V1541" s="1"/>
      <c r="W1541" s="1">
        <v>2015</v>
      </c>
      <c r="X1541" s="4" t="s">
        <v>7597</v>
      </c>
    </row>
    <row r="1542" spans="1:24" s="23" customFormat="1" ht="76.5" customHeight="1" outlineLevel="1" x14ac:dyDescent="0.2">
      <c r="A1542" s="1" t="s">
        <v>8267</v>
      </c>
      <c r="B1542" s="16" t="s">
        <v>5277</v>
      </c>
      <c r="C1542" s="4" t="s">
        <v>3493</v>
      </c>
      <c r="D1542" s="4" t="s">
        <v>7078</v>
      </c>
      <c r="E1542" s="4" t="s">
        <v>7010</v>
      </c>
      <c r="F1542" s="4"/>
      <c r="G1542" s="4" t="s">
        <v>3190</v>
      </c>
      <c r="H1542" s="22">
        <v>0</v>
      </c>
      <c r="I1542" s="18">
        <v>710000000</v>
      </c>
      <c r="J1542" s="4" t="s">
        <v>1931</v>
      </c>
      <c r="K1542" s="4" t="s">
        <v>756</v>
      </c>
      <c r="L1542" s="4" t="s">
        <v>1889</v>
      </c>
      <c r="M1542" s="8" t="s">
        <v>3195</v>
      </c>
      <c r="N1542" s="4" t="s">
        <v>1890</v>
      </c>
      <c r="O1542" s="8" t="s">
        <v>1935</v>
      </c>
      <c r="P1542" s="4">
        <v>778</v>
      </c>
      <c r="Q1542" s="4" t="s">
        <v>3327</v>
      </c>
      <c r="R1542" s="10">
        <v>30</v>
      </c>
      <c r="S1542" s="10">
        <v>9.8214000000000006</v>
      </c>
      <c r="T1542" s="10">
        <f t="shared" ref="T1542" si="797">S1542*R1542</f>
        <v>294.642</v>
      </c>
      <c r="U1542" s="10">
        <f t="shared" ref="U1542" si="798">T1542*1.12</f>
        <v>329.99904000000004</v>
      </c>
      <c r="V1542" s="1"/>
      <c r="W1542" s="1">
        <v>2015</v>
      </c>
      <c r="X1542" s="4"/>
    </row>
    <row r="1543" spans="1:24" s="23" customFormat="1" ht="76.5" customHeight="1" outlineLevel="1" x14ac:dyDescent="0.2">
      <c r="A1543" s="1" t="s">
        <v>2424</v>
      </c>
      <c r="B1543" s="24" t="s">
        <v>5277</v>
      </c>
      <c r="C1543" s="4" t="s">
        <v>3494</v>
      </c>
      <c r="D1543" s="4" t="s">
        <v>3495</v>
      </c>
      <c r="E1543" s="4" t="s">
        <v>5331</v>
      </c>
      <c r="F1543" s="4"/>
      <c r="G1543" s="4" t="s">
        <v>3190</v>
      </c>
      <c r="H1543" s="22">
        <v>0</v>
      </c>
      <c r="I1543" s="18">
        <v>710000000</v>
      </c>
      <c r="J1543" s="4" t="s">
        <v>1931</v>
      </c>
      <c r="K1543" s="4" t="s">
        <v>5706</v>
      </c>
      <c r="L1543" s="4" t="s">
        <v>1889</v>
      </c>
      <c r="M1543" s="8" t="s">
        <v>3195</v>
      </c>
      <c r="N1543" s="4" t="s">
        <v>1890</v>
      </c>
      <c r="O1543" s="8" t="s">
        <v>1935</v>
      </c>
      <c r="P1543" s="4">
        <v>778</v>
      </c>
      <c r="Q1543" s="4" t="s">
        <v>3327</v>
      </c>
      <c r="R1543" s="34">
        <v>10</v>
      </c>
      <c r="S1543" s="10">
        <v>78.599999999999994</v>
      </c>
      <c r="T1543" s="10">
        <v>0</v>
      </c>
      <c r="U1543" s="10">
        <f t="shared" si="638"/>
        <v>0</v>
      </c>
      <c r="V1543" s="11"/>
      <c r="W1543" s="11">
        <v>2015</v>
      </c>
      <c r="X1543" s="4">
        <v>3.5</v>
      </c>
    </row>
    <row r="1544" spans="1:24" s="23" customFormat="1" ht="76.5" customHeight="1" outlineLevel="1" x14ac:dyDescent="0.2">
      <c r="A1544" s="1" t="s">
        <v>7232</v>
      </c>
      <c r="B1544" s="16" t="s">
        <v>5277</v>
      </c>
      <c r="C1544" s="4" t="s">
        <v>7261</v>
      </c>
      <c r="D1544" s="4" t="s">
        <v>3495</v>
      </c>
      <c r="E1544" s="4" t="s">
        <v>7010</v>
      </c>
      <c r="F1544" s="4"/>
      <c r="G1544" s="4" t="s">
        <v>3190</v>
      </c>
      <c r="H1544" s="22">
        <v>0</v>
      </c>
      <c r="I1544" s="18">
        <v>710000000</v>
      </c>
      <c r="J1544" s="4" t="s">
        <v>1931</v>
      </c>
      <c r="K1544" s="4" t="s">
        <v>5706</v>
      </c>
      <c r="L1544" s="4" t="s">
        <v>1889</v>
      </c>
      <c r="M1544" s="8" t="s">
        <v>3195</v>
      </c>
      <c r="N1544" s="4" t="s">
        <v>1890</v>
      </c>
      <c r="O1544" s="8" t="s">
        <v>1935</v>
      </c>
      <c r="P1544" s="4">
        <v>778</v>
      </c>
      <c r="Q1544" s="4" t="s">
        <v>3327</v>
      </c>
      <c r="R1544" s="10">
        <v>10</v>
      </c>
      <c r="S1544" s="10">
        <v>78.599999999999994</v>
      </c>
      <c r="T1544" s="10">
        <v>0</v>
      </c>
      <c r="U1544" s="10">
        <f t="shared" ref="U1544" si="799">T1544*1.12</f>
        <v>0</v>
      </c>
      <c r="V1544" s="1"/>
      <c r="W1544" s="1">
        <v>2015</v>
      </c>
      <c r="X1544" s="4" t="s">
        <v>7597</v>
      </c>
    </row>
    <row r="1545" spans="1:24" s="23" customFormat="1" ht="76.5" customHeight="1" outlineLevel="1" x14ac:dyDescent="0.2">
      <c r="A1545" s="1" t="s">
        <v>8268</v>
      </c>
      <c r="B1545" s="16" t="s">
        <v>5277</v>
      </c>
      <c r="C1545" s="4" t="s">
        <v>7261</v>
      </c>
      <c r="D1545" s="4" t="s">
        <v>3495</v>
      </c>
      <c r="E1545" s="4" t="s">
        <v>7010</v>
      </c>
      <c r="F1545" s="4"/>
      <c r="G1545" s="4" t="s">
        <v>3190</v>
      </c>
      <c r="H1545" s="22">
        <v>0</v>
      </c>
      <c r="I1545" s="18">
        <v>710000000</v>
      </c>
      <c r="J1545" s="4" t="s">
        <v>1931</v>
      </c>
      <c r="K1545" s="4" t="s">
        <v>756</v>
      </c>
      <c r="L1545" s="4" t="s">
        <v>1889</v>
      </c>
      <c r="M1545" s="8" t="s">
        <v>3195</v>
      </c>
      <c r="N1545" s="4" t="s">
        <v>1890</v>
      </c>
      <c r="O1545" s="8" t="s">
        <v>1935</v>
      </c>
      <c r="P1545" s="4">
        <v>778</v>
      </c>
      <c r="Q1545" s="4" t="s">
        <v>3327</v>
      </c>
      <c r="R1545" s="10">
        <v>10</v>
      </c>
      <c r="S1545" s="10">
        <v>98.214200000000005</v>
      </c>
      <c r="T1545" s="10">
        <f t="shared" ref="T1545" si="800">S1545*R1545</f>
        <v>982.14200000000005</v>
      </c>
      <c r="U1545" s="10">
        <f t="shared" ref="U1545" si="801">T1545*1.12</f>
        <v>1099.9990400000002</v>
      </c>
      <c r="V1545" s="1"/>
      <c r="W1545" s="1">
        <v>2015</v>
      </c>
      <c r="X1545" s="4"/>
    </row>
    <row r="1546" spans="1:24" s="23" customFormat="1" ht="76.5" customHeight="1" outlineLevel="1" x14ac:dyDescent="0.2">
      <c r="A1546" s="1" t="s">
        <v>2425</v>
      </c>
      <c r="B1546" s="24" t="s">
        <v>5277</v>
      </c>
      <c r="C1546" s="4" t="s">
        <v>3496</v>
      </c>
      <c r="D1546" s="4" t="s">
        <v>7079</v>
      </c>
      <c r="E1546" s="4" t="s">
        <v>7040</v>
      </c>
      <c r="F1546" s="4"/>
      <c r="G1546" s="4" t="s">
        <v>3190</v>
      </c>
      <c r="H1546" s="22">
        <v>0</v>
      </c>
      <c r="I1546" s="18">
        <v>710000000</v>
      </c>
      <c r="J1546" s="4" t="s">
        <v>1931</v>
      </c>
      <c r="K1546" s="4" t="s">
        <v>5706</v>
      </c>
      <c r="L1546" s="4" t="s">
        <v>1889</v>
      </c>
      <c r="M1546" s="8" t="s">
        <v>3195</v>
      </c>
      <c r="N1546" s="4" t="s">
        <v>1890</v>
      </c>
      <c r="O1546" s="8" t="s">
        <v>1935</v>
      </c>
      <c r="P1546" s="4">
        <v>872</v>
      </c>
      <c r="Q1546" s="4" t="s">
        <v>3139</v>
      </c>
      <c r="R1546" s="34">
        <v>3</v>
      </c>
      <c r="S1546" s="10">
        <v>528.66999999999996</v>
      </c>
      <c r="T1546" s="10">
        <v>0</v>
      </c>
      <c r="U1546" s="10">
        <f t="shared" si="638"/>
        <v>0</v>
      </c>
      <c r="V1546" s="11"/>
      <c r="W1546" s="11">
        <v>2015</v>
      </c>
      <c r="X1546" s="4">
        <v>4.5</v>
      </c>
    </row>
    <row r="1547" spans="1:24" s="23" customFormat="1" ht="76.5" customHeight="1" outlineLevel="1" x14ac:dyDescent="0.2">
      <c r="A1547" s="1" t="s">
        <v>7080</v>
      </c>
      <c r="B1547" s="16" t="s">
        <v>5277</v>
      </c>
      <c r="C1547" s="4" t="s">
        <v>3496</v>
      </c>
      <c r="D1547" s="4" t="s">
        <v>7079</v>
      </c>
      <c r="E1547" s="4" t="s">
        <v>7040</v>
      </c>
      <c r="F1547" s="4"/>
      <c r="G1547" s="4" t="s">
        <v>3190</v>
      </c>
      <c r="H1547" s="22">
        <v>0</v>
      </c>
      <c r="I1547" s="18">
        <v>710000000</v>
      </c>
      <c r="J1547" s="4" t="s">
        <v>1931</v>
      </c>
      <c r="K1547" s="4" t="s">
        <v>5706</v>
      </c>
      <c r="L1547" s="4" t="s">
        <v>1889</v>
      </c>
      <c r="M1547" s="8" t="s">
        <v>3195</v>
      </c>
      <c r="N1547" s="4" t="s">
        <v>1890</v>
      </c>
      <c r="O1547" s="8" t="s">
        <v>1935</v>
      </c>
      <c r="P1547" s="4">
        <v>872</v>
      </c>
      <c r="Q1547" s="4" t="s">
        <v>3139</v>
      </c>
      <c r="R1547" s="10">
        <v>3</v>
      </c>
      <c r="S1547" s="10">
        <v>528.66999999999996</v>
      </c>
      <c r="T1547" s="10">
        <v>0</v>
      </c>
      <c r="U1547" s="10">
        <f t="shared" ref="U1547" si="802">T1547*1.12</f>
        <v>0</v>
      </c>
      <c r="V1547" s="1"/>
      <c r="W1547" s="1">
        <v>2015</v>
      </c>
      <c r="X1547" s="4" t="s">
        <v>7597</v>
      </c>
    </row>
    <row r="1548" spans="1:24" s="23" customFormat="1" ht="76.5" customHeight="1" outlineLevel="1" x14ac:dyDescent="0.2">
      <c r="A1548" s="1" t="s">
        <v>8269</v>
      </c>
      <c r="B1548" s="16" t="s">
        <v>5277</v>
      </c>
      <c r="C1548" s="4" t="s">
        <v>3496</v>
      </c>
      <c r="D1548" s="4" t="s">
        <v>7079</v>
      </c>
      <c r="E1548" s="4" t="s">
        <v>7040</v>
      </c>
      <c r="F1548" s="4"/>
      <c r="G1548" s="4" t="s">
        <v>3190</v>
      </c>
      <c r="H1548" s="22">
        <v>0</v>
      </c>
      <c r="I1548" s="18">
        <v>710000000</v>
      </c>
      <c r="J1548" s="4" t="s">
        <v>1931</v>
      </c>
      <c r="K1548" s="4" t="s">
        <v>756</v>
      </c>
      <c r="L1548" s="4" t="s">
        <v>1889</v>
      </c>
      <c r="M1548" s="8" t="s">
        <v>3195</v>
      </c>
      <c r="N1548" s="4" t="s">
        <v>1890</v>
      </c>
      <c r="O1548" s="8" t="s">
        <v>1935</v>
      </c>
      <c r="P1548" s="4">
        <v>872</v>
      </c>
      <c r="Q1548" s="4" t="s">
        <v>3139</v>
      </c>
      <c r="R1548" s="10">
        <v>3</v>
      </c>
      <c r="S1548" s="10">
        <v>714.28570000000002</v>
      </c>
      <c r="T1548" s="10">
        <f t="shared" ref="T1548" si="803">S1548*R1548</f>
        <v>2142.8571000000002</v>
      </c>
      <c r="U1548" s="10">
        <f t="shared" ref="U1548" si="804">T1548*1.12</f>
        <v>2399.9999520000006</v>
      </c>
      <c r="V1548" s="1"/>
      <c r="W1548" s="1">
        <v>2015</v>
      </c>
      <c r="X1548" s="4"/>
    </row>
    <row r="1549" spans="1:24" s="23" customFormat="1" ht="76.5" customHeight="1" outlineLevel="1" x14ac:dyDescent="0.2">
      <c r="A1549" s="1" t="s">
        <v>2426</v>
      </c>
      <c r="B1549" s="24" t="s">
        <v>5277</v>
      </c>
      <c r="C1549" s="4" t="s">
        <v>3497</v>
      </c>
      <c r="D1549" s="4" t="s">
        <v>3498</v>
      </c>
      <c r="E1549" s="4" t="s">
        <v>5748</v>
      </c>
      <c r="F1549" s="4" t="s">
        <v>1597</v>
      </c>
      <c r="G1549" s="4" t="s">
        <v>3190</v>
      </c>
      <c r="H1549" s="22">
        <v>0</v>
      </c>
      <c r="I1549" s="18">
        <v>710000000</v>
      </c>
      <c r="J1549" s="4" t="s">
        <v>1931</v>
      </c>
      <c r="K1549" s="4" t="s">
        <v>5706</v>
      </c>
      <c r="L1549" s="4" t="s">
        <v>1889</v>
      </c>
      <c r="M1549" s="8" t="s">
        <v>3195</v>
      </c>
      <c r="N1549" s="4" t="s">
        <v>1890</v>
      </c>
      <c r="O1549" s="8" t="s">
        <v>1935</v>
      </c>
      <c r="P1549" s="4">
        <v>778</v>
      </c>
      <c r="Q1549" s="4" t="s">
        <v>3327</v>
      </c>
      <c r="R1549" s="34">
        <v>5</v>
      </c>
      <c r="S1549" s="10">
        <v>428.2</v>
      </c>
      <c r="T1549" s="10">
        <v>0</v>
      </c>
      <c r="U1549" s="10">
        <f t="shared" si="638"/>
        <v>0</v>
      </c>
      <c r="V1549" s="11"/>
      <c r="W1549" s="11">
        <v>2015</v>
      </c>
      <c r="X1549" s="4" t="s">
        <v>7071</v>
      </c>
    </row>
    <row r="1550" spans="1:24" s="23" customFormat="1" ht="76.5" customHeight="1" outlineLevel="1" x14ac:dyDescent="0.2">
      <c r="A1550" s="1" t="s">
        <v>7197</v>
      </c>
      <c r="B1550" s="16" t="s">
        <v>5277</v>
      </c>
      <c r="C1550" s="4" t="s">
        <v>7199</v>
      </c>
      <c r="D1550" s="4" t="s">
        <v>7198</v>
      </c>
      <c r="E1550" s="4" t="s">
        <v>7010</v>
      </c>
      <c r="F1550" s="4" t="s">
        <v>1597</v>
      </c>
      <c r="G1550" s="4" t="s">
        <v>3190</v>
      </c>
      <c r="H1550" s="22">
        <v>0</v>
      </c>
      <c r="I1550" s="18">
        <v>710000000</v>
      </c>
      <c r="J1550" s="4" t="s">
        <v>1931</v>
      </c>
      <c r="K1550" s="4" t="s">
        <v>5706</v>
      </c>
      <c r="L1550" s="4" t="s">
        <v>1889</v>
      </c>
      <c r="M1550" s="8" t="s">
        <v>3195</v>
      </c>
      <c r="N1550" s="4" t="s">
        <v>1890</v>
      </c>
      <c r="O1550" s="8" t="s">
        <v>1935</v>
      </c>
      <c r="P1550" s="4">
        <v>778</v>
      </c>
      <c r="Q1550" s="4" t="s">
        <v>3327</v>
      </c>
      <c r="R1550" s="10">
        <v>5</v>
      </c>
      <c r="S1550" s="10">
        <v>428.2</v>
      </c>
      <c r="T1550" s="10">
        <v>0</v>
      </c>
      <c r="U1550" s="10">
        <f t="shared" ref="U1550" si="805">T1550*1.12</f>
        <v>0</v>
      </c>
      <c r="V1550" s="1"/>
      <c r="W1550" s="1">
        <v>2015</v>
      </c>
      <c r="X1550" s="4" t="s">
        <v>7597</v>
      </c>
    </row>
    <row r="1551" spans="1:24" s="23" customFormat="1" ht="76.5" customHeight="1" outlineLevel="1" x14ac:dyDescent="0.2">
      <c r="A1551" s="1" t="s">
        <v>8270</v>
      </c>
      <c r="B1551" s="16" t="s">
        <v>5277</v>
      </c>
      <c r="C1551" s="4" t="s">
        <v>7199</v>
      </c>
      <c r="D1551" s="4" t="s">
        <v>7198</v>
      </c>
      <c r="E1551" s="4" t="s">
        <v>7010</v>
      </c>
      <c r="F1551" s="4" t="s">
        <v>1597</v>
      </c>
      <c r="G1551" s="4" t="s">
        <v>3190</v>
      </c>
      <c r="H1551" s="22">
        <v>0</v>
      </c>
      <c r="I1551" s="18">
        <v>710000000</v>
      </c>
      <c r="J1551" s="4" t="s">
        <v>1931</v>
      </c>
      <c r="K1551" s="4" t="s">
        <v>756</v>
      </c>
      <c r="L1551" s="4" t="s">
        <v>1889</v>
      </c>
      <c r="M1551" s="8" t="s">
        <v>3195</v>
      </c>
      <c r="N1551" s="4" t="s">
        <v>1890</v>
      </c>
      <c r="O1551" s="8" t="s">
        <v>1935</v>
      </c>
      <c r="P1551" s="4">
        <v>778</v>
      </c>
      <c r="Q1551" s="4" t="s">
        <v>3327</v>
      </c>
      <c r="R1551" s="10">
        <v>5</v>
      </c>
      <c r="S1551" s="10">
        <v>492.8571</v>
      </c>
      <c r="T1551" s="10">
        <f t="shared" ref="T1551" si="806">S1551*R1551</f>
        <v>2464.2855</v>
      </c>
      <c r="U1551" s="10">
        <f t="shared" ref="U1551" si="807">T1551*1.12</f>
        <v>2759.9997600000002</v>
      </c>
      <c r="V1551" s="1"/>
      <c r="W1551" s="1">
        <v>2015</v>
      </c>
      <c r="X1551" s="4"/>
    </row>
    <row r="1552" spans="1:24" s="23" customFormat="1" ht="76.5" customHeight="1" outlineLevel="1" x14ac:dyDescent="0.2">
      <c r="A1552" s="1" t="s">
        <v>2427</v>
      </c>
      <c r="B1552" s="24" t="s">
        <v>5277</v>
      </c>
      <c r="C1552" s="4" t="s">
        <v>6413</v>
      </c>
      <c r="D1552" s="4" t="s">
        <v>6414</v>
      </c>
      <c r="E1552" s="4" t="s">
        <v>7040</v>
      </c>
      <c r="F1552" s="7"/>
      <c r="G1552" s="4" t="s">
        <v>3190</v>
      </c>
      <c r="H1552" s="22">
        <v>0</v>
      </c>
      <c r="I1552" s="18">
        <v>710000000</v>
      </c>
      <c r="J1552" s="4" t="s">
        <v>1931</v>
      </c>
      <c r="K1552" s="4" t="s">
        <v>5706</v>
      </c>
      <c r="L1552" s="4" t="s">
        <v>1889</v>
      </c>
      <c r="M1552" s="4" t="s">
        <v>3195</v>
      </c>
      <c r="N1552" s="4" t="s">
        <v>1890</v>
      </c>
      <c r="O1552" s="8" t="s">
        <v>1935</v>
      </c>
      <c r="P1552" s="4">
        <v>872</v>
      </c>
      <c r="Q1552" s="4" t="s">
        <v>3139</v>
      </c>
      <c r="R1552" s="34">
        <v>2</v>
      </c>
      <c r="S1552" s="10">
        <v>517</v>
      </c>
      <c r="T1552" s="10">
        <v>0</v>
      </c>
      <c r="U1552" s="10">
        <f t="shared" si="638"/>
        <v>0</v>
      </c>
      <c r="V1552" s="11"/>
      <c r="W1552" s="11">
        <v>2015</v>
      </c>
      <c r="X1552" s="4">
        <v>5</v>
      </c>
    </row>
    <row r="1553" spans="1:24" s="23" customFormat="1" ht="76.5" customHeight="1" outlineLevel="1" x14ac:dyDescent="0.2">
      <c r="A1553" s="1" t="s">
        <v>7081</v>
      </c>
      <c r="B1553" s="16" t="s">
        <v>5277</v>
      </c>
      <c r="C1553" s="4" t="s">
        <v>6413</v>
      </c>
      <c r="D1553" s="4" t="s">
        <v>6414</v>
      </c>
      <c r="E1553" s="4" t="s">
        <v>7040</v>
      </c>
      <c r="F1553" s="7"/>
      <c r="G1553" s="4" t="s">
        <v>3190</v>
      </c>
      <c r="H1553" s="22">
        <v>0</v>
      </c>
      <c r="I1553" s="18">
        <v>710000000</v>
      </c>
      <c r="J1553" s="4" t="s">
        <v>1931</v>
      </c>
      <c r="K1553" s="4" t="s">
        <v>5706</v>
      </c>
      <c r="L1553" s="4" t="s">
        <v>1889</v>
      </c>
      <c r="M1553" s="4" t="s">
        <v>3195</v>
      </c>
      <c r="N1553" s="4" t="s">
        <v>1890</v>
      </c>
      <c r="O1553" s="8" t="s">
        <v>1935</v>
      </c>
      <c r="P1553" s="4">
        <v>872</v>
      </c>
      <c r="Q1553" s="4" t="s">
        <v>3139</v>
      </c>
      <c r="R1553" s="10">
        <v>2</v>
      </c>
      <c r="S1553" s="10">
        <v>517</v>
      </c>
      <c r="T1553" s="10">
        <v>0</v>
      </c>
      <c r="U1553" s="10">
        <f t="shared" ref="U1553" si="808">T1553*1.12</f>
        <v>0</v>
      </c>
      <c r="V1553" s="1"/>
      <c r="W1553" s="1">
        <v>2015</v>
      </c>
      <c r="X1553" s="4" t="s">
        <v>7597</v>
      </c>
    </row>
    <row r="1554" spans="1:24" s="23" customFormat="1" ht="76.5" customHeight="1" outlineLevel="1" x14ac:dyDescent="0.2">
      <c r="A1554" s="1" t="s">
        <v>8271</v>
      </c>
      <c r="B1554" s="16" t="s">
        <v>5277</v>
      </c>
      <c r="C1554" s="4" t="s">
        <v>6413</v>
      </c>
      <c r="D1554" s="4" t="s">
        <v>6414</v>
      </c>
      <c r="E1554" s="4" t="s">
        <v>7040</v>
      </c>
      <c r="F1554" s="7"/>
      <c r="G1554" s="4" t="s">
        <v>3190</v>
      </c>
      <c r="H1554" s="22">
        <v>0</v>
      </c>
      <c r="I1554" s="18">
        <v>710000000</v>
      </c>
      <c r="J1554" s="4" t="s">
        <v>1931</v>
      </c>
      <c r="K1554" s="4" t="s">
        <v>756</v>
      </c>
      <c r="L1554" s="4" t="s">
        <v>1889</v>
      </c>
      <c r="M1554" s="4" t="s">
        <v>3195</v>
      </c>
      <c r="N1554" s="4" t="s">
        <v>1890</v>
      </c>
      <c r="O1554" s="8" t="s">
        <v>1935</v>
      </c>
      <c r="P1554" s="4">
        <v>872</v>
      </c>
      <c r="Q1554" s="4" t="s">
        <v>3139</v>
      </c>
      <c r="R1554" s="10">
        <v>2</v>
      </c>
      <c r="S1554" s="10">
        <v>1376.7856999999999</v>
      </c>
      <c r="T1554" s="10">
        <f t="shared" ref="T1554" si="809">S1554*R1554</f>
        <v>2753.5713999999998</v>
      </c>
      <c r="U1554" s="10">
        <f t="shared" ref="U1554" si="810">T1554*1.12</f>
        <v>3083.9999680000001</v>
      </c>
      <c r="V1554" s="1"/>
      <c r="W1554" s="1">
        <v>2015</v>
      </c>
      <c r="X1554" s="4"/>
    </row>
    <row r="1555" spans="1:24" s="23" customFormat="1" ht="76.5" customHeight="1" outlineLevel="1" x14ac:dyDescent="0.2">
      <c r="A1555" s="1" t="s">
        <v>2428</v>
      </c>
      <c r="B1555" s="24" t="s">
        <v>5277</v>
      </c>
      <c r="C1555" s="4" t="s">
        <v>1620</v>
      </c>
      <c r="D1555" s="4" t="s">
        <v>1621</v>
      </c>
      <c r="E1555" s="4" t="s">
        <v>7083</v>
      </c>
      <c r="F1555" s="4"/>
      <c r="G1555" s="4" t="s">
        <v>3190</v>
      </c>
      <c r="H1555" s="22">
        <v>0</v>
      </c>
      <c r="I1555" s="18">
        <v>710000000</v>
      </c>
      <c r="J1555" s="4" t="s">
        <v>1931</v>
      </c>
      <c r="K1555" s="4" t="s">
        <v>5706</v>
      </c>
      <c r="L1555" s="4" t="s">
        <v>1889</v>
      </c>
      <c r="M1555" s="8" t="s">
        <v>3195</v>
      </c>
      <c r="N1555" s="4" t="s">
        <v>1890</v>
      </c>
      <c r="O1555" s="8" t="s">
        <v>1935</v>
      </c>
      <c r="P1555" s="4">
        <v>778</v>
      </c>
      <c r="Q1555" s="4" t="s">
        <v>3327</v>
      </c>
      <c r="R1555" s="34">
        <v>15</v>
      </c>
      <c r="S1555" s="10">
        <v>83.07</v>
      </c>
      <c r="T1555" s="10">
        <v>0</v>
      </c>
      <c r="U1555" s="10">
        <f t="shared" si="638"/>
        <v>0</v>
      </c>
      <c r="V1555" s="11"/>
      <c r="W1555" s="11">
        <v>2015</v>
      </c>
      <c r="X1555" s="4">
        <v>5</v>
      </c>
    </row>
    <row r="1556" spans="1:24" s="23" customFormat="1" ht="76.5" customHeight="1" outlineLevel="1" x14ac:dyDescent="0.2">
      <c r="A1556" s="1" t="s">
        <v>7082</v>
      </c>
      <c r="B1556" s="16" t="s">
        <v>5277</v>
      </c>
      <c r="C1556" s="4" t="s">
        <v>1620</v>
      </c>
      <c r="D1556" s="4" t="s">
        <v>1621</v>
      </c>
      <c r="E1556" s="4" t="s">
        <v>7083</v>
      </c>
      <c r="F1556" s="4"/>
      <c r="G1556" s="4" t="s">
        <v>3190</v>
      </c>
      <c r="H1556" s="22">
        <v>0</v>
      </c>
      <c r="I1556" s="18">
        <v>710000000</v>
      </c>
      <c r="J1556" s="4" t="s">
        <v>1931</v>
      </c>
      <c r="K1556" s="4" t="s">
        <v>5706</v>
      </c>
      <c r="L1556" s="4" t="s">
        <v>1889</v>
      </c>
      <c r="M1556" s="8" t="s">
        <v>3195</v>
      </c>
      <c r="N1556" s="4" t="s">
        <v>1890</v>
      </c>
      <c r="O1556" s="8" t="s">
        <v>1935</v>
      </c>
      <c r="P1556" s="4">
        <v>778</v>
      </c>
      <c r="Q1556" s="4" t="s">
        <v>3327</v>
      </c>
      <c r="R1556" s="10">
        <v>15</v>
      </c>
      <c r="S1556" s="10">
        <v>83.07</v>
      </c>
      <c r="T1556" s="10">
        <v>0</v>
      </c>
      <c r="U1556" s="10">
        <f t="shared" ref="U1556" si="811">T1556*1.12</f>
        <v>0</v>
      </c>
      <c r="V1556" s="1"/>
      <c r="W1556" s="1">
        <v>2015</v>
      </c>
      <c r="X1556" s="4" t="s">
        <v>7597</v>
      </c>
    </row>
    <row r="1557" spans="1:24" s="23" customFormat="1" ht="76.5" customHeight="1" outlineLevel="1" x14ac:dyDescent="0.2">
      <c r="A1557" s="1" t="s">
        <v>8272</v>
      </c>
      <c r="B1557" s="16" t="s">
        <v>5277</v>
      </c>
      <c r="C1557" s="4" t="s">
        <v>1620</v>
      </c>
      <c r="D1557" s="4" t="s">
        <v>1621</v>
      </c>
      <c r="E1557" s="4" t="s">
        <v>7083</v>
      </c>
      <c r="F1557" s="4"/>
      <c r="G1557" s="4" t="s">
        <v>3190</v>
      </c>
      <c r="H1557" s="22">
        <v>0</v>
      </c>
      <c r="I1557" s="18">
        <v>710000000</v>
      </c>
      <c r="J1557" s="4" t="s">
        <v>1931</v>
      </c>
      <c r="K1557" s="4" t="s">
        <v>756</v>
      </c>
      <c r="L1557" s="4" t="s">
        <v>1889</v>
      </c>
      <c r="M1557" s="8" t="s">
        <v>3195</v>
      </c>
      <c r="N1557" s="4" t="s">
        <v>1890</v>
      </c>
      <c r="O1557" s="8" t="s">
        <v>1935</v>
      </c>
      <c r="P1557" s="4">
        <v>778</v>
      </c>
      <c r="Q1557" s="4" t="s">
        <v>3327</v>
      </c>
      <c r="R1557" s="10">
        <v>15</v>
      </c>
      <c r="S1557" s="10">
        <v>58.035699999999999</v>
      </c>
      <c r="T1557" s="10">
        <f t="shared" ref="T1557" si="812">S1557*R1557</f>
        <v>870.53549999999996</v>
      </c>
      <c r="U1557" s="10">
        <f t="shared" ref="U1557" si="813">T1557*1.12</f>
        <v>974.99976000000004</v>
      </c>
      <c r="V1557" s="1"/>
      <c r="W1557" s="1">
        <v>2015</v>
      </c>
      <c r="X1557" s="4"/>
    </row>
    <row r="1558" spans="1:24" s="23" customFormat="1" ht="76.5" customHeight="1" outlineLevel="1" x14ac:dyDescent="0.2">
      <c r="A1558" s="1" t="s">
        <v>2429</v>
      </c>
      <c r="B1558" s="24" t="s">
        <v>5277</v>
      </c>
      <c r="C1558" s="4" t="s">
        <v>3499</v>
      </c>
      <c r="D1558" s="4" t="s">
        <v>3500</v>
      </c>
      <c r="E1558" s="4" t="s">
        <v>5749</v>
      </c>
      <c r="F1558" s="4"/>
      <c r="G1558" s="4" t="s">
        <v>3190</v>
      </c>
      <c r="H1558" s="22">
        <v>0</v>
      </c>
      <c r="I1558" s="18">
        <v>710000000</v>
      </c>
      <c r="J1558" s="4" t="s">
        <v>1931</v>
      </c>
      <c r="K1558" s="4" t="s">
        <v>5706</v>
      </c>
      <c r="L1558" s="4" t="s">
        <v>1889</v>
      </c>
      <c r="M1558" s="8" t="s">
        <v>3195</v>
      </c>
      <c r="N1558" s="4" t="s">
        <v>1890</v>
      </c>
      <c r="O1558" s="8" t="s">
        <v>1935</v>
      </c>
      <c r="P1558" s="4">
        <v>778</v>
      </c>
      <c r="Q1558" s="4" t="s">
        <v>3327</v>
      </c>
      <c r="R1558" s="34">
        <v>5</v>
      </c>
      <c r="S1558" s="10">
        <v>261.60000000000002</v>
      </c>
      <c r="T1558" s="10">
        <v>0</v>
      </c>
      <c r="U1558" s="10">
        <f t="shared" si="638"/>
        <v>0</v>
      </c>
      <c r="V1558" s="11"/>
      <c r="W1558" s="11">
        <v>2015</v>
      </c>
      <c r="X1558" s="4" t="s">
        <v>7071</v>
      </c>
    </row>
    <row r="1559" spans="1:24" s="23" customFormat="1" ht="76.5" customHeight="1" outlineLevel="1" x14ac:dyDescent="0.2">
      <c r="A1559" s="1" t="s">
        <v>7200</v>
      </c>
      <c r="B1559" s="16" t="s">
        <v>5277</v>
      </c>
      <c r="C1559" s="4" t="s">
        <v>7202</v>
      </c>
      <c r="D1559" s="4" t="s">
        <v>7201</v>
      </c>
      <c r="E1559" s="4" t="s">
        <v>7010</v>
      </c>
      <c r="F1559" s="4"/>
      <c r="G1559" s="4" t="s">
        <v>3190</v>
      </c>
      <c r="H1559" s="22">
        <v>0</v>
      </c>
      <c r="I1559" s="18">
        <v>710000000</v>
      </c>
      <c r="J1559" s="4" t="s">
        <v>1931</v>
      </c>
      <c r="K1559" s="4" t="s">
        <v>5706</v>
      </c>
      <c r="L1559" s="4" t="s">
        <v>1889</v>
      </c>
      <c r="M1559" s="8" t="s">
        <v>3195</v>
      </c>
      <c r="N1559" s="4" t="s">
        <v>1890</v>
      </c>
      <c r="O1559" s="8" t="s">
        <v>1935</v>
      </c>
      <c r="P1559" s="4">
        <v>778</v>
      </c>
      <c r="Q1559" s="4" t="s">
        <v>3327</v>
      </c>
      <c r="R1559" s="10">
        <v>5</v>
      </c>
      <c r="S1559" s="10">
        <v>261.60000000000002</v>
      </c>
      <c r="T1559" s="10">
        <v>0</v>
      </c>
      <c r="U1559" s="10">
        <f t="shared" ref="U1559" si="814">T1559*1.12</f>
        <v>0</v>
      </c>
      <c r="V1559" s="1"/>
      <c r="W1559" s="1">
        <v>2015</v>
      </c>
      <c r="X1559" s="4" t="s">
        <v>7597</v>
      </c>
    </row>
    <row r="1560" spans="1:24" s="23" customFormat="1" ht="76.5" customHeight="1" outlineLevel="1" x14ac:dyDescent="0.2">
      <c r="A1560" s="1" t="s">
        <v>8273</v>
      </c>
      <c r="B1560" s="16" t="s">
        <v>5277</v>
      </c>
      <c r="C1560" s="4" t="s">
        <v>7202</v>
      </c>
      <c r="D1560" s="4" t="s">
        <v>7201</v>
      </c>
      <c r="E1560" s="4" t="s">
        <v>7010</v>
      </c>
      <c r="F1560" s="4"/>
      <c r="G1560" s="4" t="s">
        <v>3190</v>
      </c>
      <c r="H1560" s="22">
        <v>0</v>
      </c>
      <c r="I1560" s="18">
        <v>710000000</v>
      </c>
      <c r="J1560" s="4" t="s">
        <v>1931</v>
      </c>
      <c r="K1560" s="4" t="s">
        <v>756</v>
      </c>
      <c r="L1560" s="4" t="s">
        <v>1889</v>
      </c>
      <c r="M1560" s="8" t="s">
        <v>3195</v>
      </c>
      <c r="N1560" s="4" t="s">
        <v>1890</v>
      </c>
      <c r="O1560" s="8" t="s">
        <v>1935</v>
      </c>
      <c r="P1560" s="4">
        <v>778</v>
      </c>
      <c r="Q1560" s="4" t="s">
        <v>3327</v>
      </c>
      <c r="R1560" s="10">
        <v>5</v>
      </c>
      <c r="S1560" s="10">
        <v>325.89280000000002</v>
      </c>
      <c r="T1560" s="10">
        <f t="shared" ref="T1560" si="815">S1560*R1560</f>
        <v>1629.4640000000002</v>
      </c>
      <c r="U1560" s="10">
        <f t="shared" ref="U1560" si="816">T1560*1.12</f>
        <v>1824.9996800000004</v>
      </c>
      <c r="V1560" s="1"/>
      <c r="W1560" s="1">
        <v>2015</v>
      </c>
      <c r="X1560" s="4"/>
    </row>
    <row r="1561" spans="1:24" s="23" customFormat="1" ht="76.5" customHeight="1" outlineLevel="1" x14ac:dyDescent="0.2">
      <c r="A1561" s="1" t="s">
        <v>2430</v>
      </c>
      <c r="B1561" s="24" t="s">
        <v>5277</v>
      </c>
      <c r="C1561" s="4" t="s">
        <v>1622</v>
      </c>
      <c r="D1561" s="4" t="s">
        <v>5644</v>
      </c>
      <c r="E1561" s="4" t="s">
        <v>1623</v>
      </c>
      <c r="F1561" s="4" t="s">
        <v>1624</v>
      </c>
      <c r="G1561" s="4" t="s">
        <v>3190</v>
      </c>
      <c r="H1561" s="22">
        <v>0</v>
      </c>
      <c r="I1561" s="18">
        <v>710000000</v>
      </c>
      <c r="J1561" s="4" t="s">
        <v>1931</v>
      </c>
      <c r="K1561" s="4" t="s">
        <v>5706</v>
      </c>
      <c r="L1561" s="4" t="s">
        <v>1889</v>
      </c>
      <c r="M1561" s="8" t="s">
        <v>3195</v>
      </c>
      <c r="N1561" s="4" t="s">
        <v>1890</v>
      </c>
      <c r="O1561" s="8" t="s">
        <v>1935</v>
      </c>
      <c r="P1561" s="8">
        <v>796</v>
      </c>
      <c r="Q1561" s="8" t="s">
        <v>3196</v>
      </c>
      <c r="R1561" s="34">
        <v>50</v>
      </c>
      <c r="S1561" s="10">
        <v>1785.7</v>
      </c>
      <c r="T1561" s="10">
        <v>0</v>
      </c>
      <c r="U1561" s="10">
        <f t="shared" si="638"/>
        <v>0</v>
      </c>
      <c r="V1561" s="11"/>
      <c r="W1561" s="11">
        <v>2015</v>
      </c>
      <c r="X1561" s="4" t="s">
        <v>7256</v>
      </c>
    </row>
    <row r="1562" spans="1:24" s="23" customFormat="1" ht="76.5" customHeight="1" outlineLevel="1" x14ac:dyDescent="0.2">
      <c r="A1562" s="1" t="s">
        <v>7255</v>
      </c>
      <c r="B1562" s="16" t="s">
        <v>5277</v>
      </c>
      <c r="C1562" s="4" t="s">
        <v>7258</v>
      </c>
      <c r="D1562" s="4" t="s">
        <v>7259</v>
      </c>
      <c r="E1562" s="4" t="s">
        <v>7260</v>
      </c>
      <c r="F1562" s="4" t="s">
        <v>1624</v>
      </c>
      <c r="G1562" s="4" t="s">
        <v>3190</v>
      </c>
      <c r="H1562" s="22">
        <v>0</v>
      </c>
      <c r="I1562" s="18">
        <v>710000000</v>
      </c>
      <c r="J1562" s="4" t="s">
        <v>1931</v>
      </c>
      <c r="K1562" s="4" t="s">
        <v>5706</v>
      </c>
      <c r="L1562" s="4" t="s">
        <v>1889</v>
      </c>
      <c r="M1562" s="8" t="s">
        <v>3195</v>
      </c>
      <c r="N1562" s="4" t="s">
        <v>1890</v>
      </c>
      <c r="O1562" s="8" t="s">
        <v>1935</v>
      </c>
      <c r="P1562" s="4">
        <v>872</v>
      </c>
      <c r="Q1562" s="4" t="s">
        <v>3139</v>
      </c>
      <c r="R1562" s="10">
        <v>50</v>
      </c>
      <c r="S1562" s="10">
        <v>1785.7</v>
      </c>
      <c r="T1562" s="10">
        <v>0</v>
      </c>
      <c r="U1562" s="10">
        <f t="shared" ref="U1562" si="817">T1562*1.12</f>
        <v>0</v>
      </c>
      <c r="V1562" s="1"/>
      <c r="W1562" s="1">
        <v>2015</v>
      </c>
      <c r="X1562" s="4" t="s">
        <v>7597</v>
      </c>
    </row>
    <row r="1563" spans="1:24" s="23" customFormat="1" ht="76.5" customHeight="1" outlineLevel="1" x14ac:dyDescent="0.2">
      <c r="A1563" s="1" t="s">
        <v>8274</v>
      </c>
      <c r="B1563" s="16" t="s">
        <v>5277</v>
      </c>
      <c r="C1563" s="4" t="s">
        <v>7258</v>
      </c>
      <c r="D1563" s="4" t="s">
        <v>7259</v>
      </c>
      <c r="E1563" s="4" t="s">
        <v>7260</v>
      </c>
      <c r="F1563" s="4" t="s">
        <v>1624</v>
      </c>
      <c r="G1563" s="4" t="s">
        <v>3190</v>
      </c>
      <c r="H1563" s="22">
        <v>0</v>
      </c>
      <c r="I1563" s="18">
        <v>710000000</v>
      </c>
      <c r="J1563" s="4" t="s">
        <v>1931</v>
      </c>
      <c r="K1563" s="4" t="s">
        <v>756</v>
      </c>
      <c r="L1563" s="4" t="s">
        <v>1889</v>
      </c>
      <c r="M1563" s="8" t="s">
        <v>3195</v>
      </c>
      <c r="N1563" s="4" t="s">
        <v>1890</v>
      </c>
      <c r="O1563" s="8" t="s">
        <v>1935</v>
      </c>
      <c r="P1563" s="4">
        <v>872</v>
      </c>
      <c r="Q1563" s="4" t="s">
        <v>3139</v>
      </c>
      <c r="R1563" s="10">
        <v>50</v>
      </c>
      <c r="S1563" s="10">
        <v>1625</v>
      </c>
      <c r="T1563" s="10">
        <f t="shared" ref="T1563" si="818">S1563*R1563</f>
        <v>81250</v>
      </c>
      <c r="U1563" s="10">
        <f t="shared" ref="U1563" si="819">T1563*1.12</f>
        <v>91000.000000000015</v>
      </c>
      <c r="V1563" s="1"/>
      <c r="W1563" s="1">
        <v>2015</v>
      </c>
      <c r="X1563" s="4"/>
    </row>
    <row r="1564" spans="1:24" s="23" customFormat="1" ht="76.5" customHeight="1" outlineLevel="1" x14ac:dyDescent="0.2">
      <c r="A1564" s="1" t="s">
        <v>2431</v>
      </c>
      <c r="B1564" s="24" t="s">
        <v>5277</v>
      </c>
      <c r="C1564" s="4" t="s">
        <v>3502</v>
      </c>
      <c r="D1564" s="4" t="s">
        <v>7085</v>
      </c>
      <c r="E1564" s="4" t="s">
        <v>7086</v>
      </c>
      <c r="F1564" s="4"/>
      <c r="G1564" s="4" t="s">
        <v>3190</v>
      </c>
      <c r="H1564" s="22">
        <v>0</v>
      </c>
      <c r="I1564" s="18">
        <v>710000000</v>
      </c>
      <c r="J1564" s="4" t="s">
        <v>1931</v>
      </c>
      <c r="K1564" s="4" t="s">
        <v>5706</v>
      </c>
      <c r="L1564" s="4" t="s">
        <v>1889</v>
      </c>
      <c r="M1564" s="8" t="s">
        <v>3195</v>
      </c>
      <c r="N1564" s="4" t="s">
        <v>1890</v>
      </c>
      <c r="O1564" s="8" t="s">
        <v>1935</v>
      </c>
      <c r="P1564" s="4">
        <v>778</v>
      </c>
      <c r="Q1564" s="4" t="s">
        <v>3327</v>
      </c>
      <c r="R1564" s="34">
        <v>2</v>
      </c>
      <c r="S1564" s="10">
        <v>132.5</v>
      </c>
      <c r="T1564" s="10">
        <v>0</v>
      </c>
      <c r="U1564" s="10">
        <f t="shared" ref="U1564:U1654" si="820">T1564*1.12</f>
        <v>0</v>
      </c>
      <c r="V1564" s="11"/>
      <c r="W1564" s="11">
        <v>2015</v>
      </c>
      <c r="X1564" s="4">
        <v>4.5</v>
      </c>
    </row>
    <row r="1565" spans="1:24" s="23" customFormat="1" ht="76.5" customHeight="1" outlineLevel="1" x14ac:dyDescent="0.2">
      <c r="A1565" s="1" t="s">
        <v>7084</v>
      </c>
      <c r="B1565" s="16" t="s">
        <v>5277</v>
      </c>
      <c r="C1565" s="4" t="s">
        <v>3502</v>
      </c>
      <c r="D1565" s="4" t="s">
        <v>7085</v>
      </c>
      <c r="E1565" s="4" t="s">
        <v>7086</v>
      </c>
      <c r="F1565" s="4"/>
      <c r="G1565" s="4" t="s">
        <v>3190</v>
      </c>
      <c r="H1565" s="22">
        <v>0</v>
      </c>
      <c r="I1565" s="18">
        <v>710000000</v>
      </c>
      <c r="J1565" s="4" t="s">
        <v>1931</v>
      </c>
      <c r="K1565" s="4" t="s">
        <v>5706</v>
      </c>
      <c r="L1565" s="4" t="s">
        <v>1889</v>
      </c>
      <c r="M1565" s="8" t="s">
        <v>3195</v>
      </c>
      <c r="N1565" s="4" t="s">
        <v>1890</v>
      </c>
      <c r="O1565" s="8" t="s">
        <v>1935</v>
      </c>
      <c r="P1565" s="4">
        <v>778</v>
      </c>
      <c r="Q1565" s="4" t="s">
        <v>3327</v>
      </c>
      <c r="R1565" s="10">
        <v>2</v>
      </c>
      <c r="S1565" s="10">
        <v>132.5</v>
      </c>
      <c r="T1565" s="10">
        <v>0</v>
      </c>
      <c r="U1565" s="10">
        <f t="shared" ref="U1565" si="821">T1565*1.12</f>
        <v>0</v>
      </c>
      <c r="V1565" s="1"/>
      <c r="W1565" s="1">
        <v>2015</v>
      </c>
      <c r="X1565" s="4" t="s">
        <v>7597</v>
      </c>
    </row>
    <row r="1566" spans="1:24" s="23" customFormat="1" ht="76.5" customHeight="1" outlineLevel="1" x14ac:dyDescent="0.2">
      <c r="A1566" s="1" t="s">
        <v>8275</v>
      </c>
      <c r="B1566" s="16" t="s">
        <v>5277</v>
      </c>
      <c r="C1566" s="4" t="s">
        <v>3502</v>
      </c>
      <c r="D1566" s="4" t="s">
        <v>7085</v>
      </c>
      <c r="E1566" s="4" t="s">
        <v>7086</v>
      </c>
      <c r="F1566" s="4"/>
      <c r="G1566" s="4" t="s">
        <v>3190</v>
      </c>
      <c r="H1566" s="22">
        <v>0</v>
      </c>
      <c r="I1566" s="18">
        <v>710000000</v>
      </c>
      <c r="J1566" s="4" t="s">
        <v>1931</v>
      </c>
      <c r="K1566" s="4" t="s">
        <v>756</v>
      </c>
      <c r="L1566" s="4" t="s">
        <v>1889</v>
      </c>
      <c r="M1566" s="8" t="s">
        <v>3195</v>
      </c>
      <c r="N1566" s="4" t="s">
        <v>1890</v>
      </c>
      <c r="O1566" s="8" t="s">
        <v>1935</v>
      </c>
      <c r="P1566" s="4">
        <v>778</v>
      </c>
      <c r="Q1566" s="4" t="s">
        <v>3327</v>
      </c>
      <c r="R1566" s="10">
        <v>2</v>
      </c>
      <c r="S1566" s="10">
        <v>132.5</v>
      </c>
      <c r="T1566" s="10">
        <v>142.8571</v>
      </c>
      <c r="U1566" s="10">
        <f t="shared" ref="U1566" si="822">T1566*1.12</f>
        <v>159.99995200000001</v>
      </c>
      <c r="V1566" s="1"/>
      <c r="W1566" s="1">
        <v>2015</v>
      </c>
      <c r="X1566" s="4"/>
    </row>
    <row r="1567" spans="1:24" s="23" customFormat="1" ht="76.5" customHeight="1" outlineLevel="1" x14ac:dyDescent="0.2">
      <c r="A1567" s="1" t="s">
        <v>2432</v>
      </c>
      <c r="B1567" s="24" t="s">
        <v>5277</v>
      </c>
      <c r="C1567" s="4" t="s">
        <v>3503</v>
      </c>
      <c r="D1567" s="4" t="s">
        <v>7085</v>
      </c>
      <c r="E1567" s="4" t="s">
        <v>7010</v>
      </c>
      <c r="F1567" s="4"/>
      <c r="G1567" s="4" t="s">
        <v>3190</v>
      </c>
      <c r="H1567" s="22">
        <v>0</v>
      </c>
      <c r="I1567" s="18">
        <v>710000000</v>
      </c>
      <c r="J1567" s="4" t="s">
        <v>1931</v>
      </c>
      <c r="K1567" s="4" t="s">
        <v>5706</v>
      </c>
      <c r="L1567" s="4" t="s">
        <v>1889</v>
      </c>
      <c r="M1567" s="8" t="s">
        <v>3195</v>
      </c>
      <c r="N1567" s="4" t="s">
        <v>1890</v>
      </c>
      <c r="O1567" s="8" t="s">
        <v>1935</v>
      </c>
      <c r="P1567" s="4">
        <v>778</v>
      </c>
      <c r="Q1567" s="4" t="s">
        <v>3327</v>
      </c>
      <c r="R1567" s="34">
        <v>15</v>
      </c>
      <c r="S1567" s="10">
        <v>38.4</v>
      </c>
      <c r="T1567" s="10">
        <v>0</v>
      </c>
      <c r="U1567" s="10">
        <f t="shared" si="820"/>
        <v>0</v>
      </c>
      <c r="V1567" s="11"/>
      <c r="W1567" s="11">
        <v>2015</v>
      </c>
      <c r="X1567" s="4">
        <v>4.5</v>
      </c>
    </row>
    <row r="1568" spans="1:24" s="23" customFormat="1" ht="76.5" customHeight="1" outlineLevel="1" x14ac:dyDescent="0.2">
      <c r="A1568" s="1" t="s">
        <v>7087</v>
      </c>
      <c r="B1568" s="16" t="s">
        <v>5277</v>
      </c>
      <c r="C1568" s="4" t="s">
        <v>3503</v>
      </c>
      <c r="D1568" s="4" t="s">
        <v>7085</v>
      </c>
      <c r="E1568" s="4" t="s">
        <v>7010</v>
      </c>
      <c r="F1568" s="4"/>
      <c r="G1568" s="4" t="s">
        <v>3190</v>
      </c>
      <c r="H1568" s="22">
        <v>0</v>
      </c>
      <c r="I1568" s="18">
        <v>710000000</v>
      </c>
      <c r="J1568" s="4" t="s">
        <v>1931</v>
      </c>
      <c r="K1568" s="4" t="s">
        <v>5706</v>
      </c>
      <c r="L1568" s="4" t="s">
        <v>1889</v>
      </c>
      <c r="M1568" s="8" t="s">
        <v>3195</v>
      </c>
      <c r="N1568" s="4" t="s">
        <v>1890</v>
      </c>
      <c r="O1568" s="8" t="s">
        <v>1935</v>
      </c>
      <c r="P1568" s="4">
        <v>778</v>
      </c>
      <c r="Q1568" s="4" t="s">
        <v>3327</v>
      </c>
      <c r="R1568" s="10">
        <v>15</v>
      </c>
      <c r="S1568" s="10">
        <v>38.4</v>
      </c>
      <c r="T1568" s="10">
        <f t="shared" ref="T1568" si="823">S1568*R1568</f>
        <v>576</v>
      </c>
      <c r="U1568" s="10">
        <f t="shared" ref="U1568" si="824">T1568*1.12</f>
        <v>645.12000000000012</v>
      </c>
      <c r="V1568" s="1"/>
      <c r="W1568" s="1">
        <v>2015</v>
      </c>
      <c r="X1568" s="4" t="s">
        <v>7597</v>
      </c>
    </row>
    <row r="1569" spans="1:24" s="23" customFormat="1" ht="76.5" customHeight="1" outlineLevel="1" x14ac:dyDescent="0.2">
      <c r="A1569" s="1" t="s">
        <v>8276</v>
      </c>
      <c r="B1569" s="16" t="s">
        <v>5277</v>
      </c>
      <c r="C1569" s="4" t="s">
        <v>3503</v>
      </c>
      <c r="D1569" s="4" t="s">
        <v>7085</v>
      </c>
      <c r="E1569" s="4" t="s">
        <v>7010</v>
      </c>
      <c r="F1569" s="4"/>
      <c r="G1569" s="4" t="s">
        <v>3190</v>
      </c>
      <c r="H1569" s="22">
        <v>0</v>
      </c>
      <c r="I1569" s="18">
        <v>710000000</v>
      </c>
      <c r="J1569" s="4" t="s">
        <v>1931</v>
      </c>
      <c r="K1569" s="4" t="s">
        <v>756</v>
      </c>
      <c r="L1569" s="4" t="s">
        <v>1889</v>
      </c>
      <c r="M1569" s="8" t="s">
        <v>3195</v>
      </c>
      <c r="N1569" s="4" t="s">
        <v>1890</v>
      </c>
      <c r="O1569" s="8" t="s">
        <v>1935</v>
      </c>
      <c r="P1569" s="4">
        <v>778</v>
      </c>
      <c r="Q1569" s="4" t="s">
        <v>3327</v>
      </c>
      <c r="R1569" s="10">
        <v>15</v>
      </c>
      <c r="S1569" s="10">
        <v>35.714199999999998</v>
      </c>
      <c r="T1569" s="10">
        <f t="shared" ref="T1569" si="825">S1569*R1569</f>
        <v>535.71299999999997</v>
      </c>
      <c r="U1569" s="10">
        <f t="shared" ref="U1569" si="826">T1569*1.12</f>
        <v>599.99856</v>
      </c>
      <c r="V1569" s="1"/>
      <c r="W1569" s="1">
        <v>2015</v>
      </c>
      <c r="X1569" s="4"/>
    </row>
    <row r="1570" spans="1:24" s="23" customFormat="1" ht="76.5" customHeight="1" outlineLevel="1" x14ac:dyDescent="0.2">
      <c r="A1570" s="1" t="s">
        <v>2433</v>
      </c>
      <c r="B1570" s="24" t="s">
        <v>5277</v>
      </c>
      <c r="C1570" s="4" t="s">
        <v>3504</v>
      </c>
      <c r="D1570" s="4" t="s">
        <v>3505</v>
      </c>
      <c r="E1570" s="4" t="s">
        <v>5750</v>
      </c>
      <c r="F1570" s="4"/>
      <c r="G1570" s="4" t="s">
        <v>3190</v>
      </c>
      <c r="H1570" s="22">
        <v>0</v>
      </c>
      <c r="I1570" s="18">
        <v>710000000</v>
      </c>
      <c r="J1570" s="4" t="s">
        <v>1931</v>
      </c>
      <c r="K1570" s="4" t="s">
        <v>5706</v>
      </c>
      <c r="L1570" s="4" t="s">
        <v>1889</v>
      </c>
      <c r="M1570" s="8" t="s">
        <v>3195</v>
      </c>
      <c r="N1570" s="4" t="s">
        <v>1890</v>
      </c>
      <c r="O1570" s="8" t="s">
        <v>1935</v>
      </c>
      <c r="P1570" s="4">
        <v>872</v>
      </c>
      <c r="Q1570" s="4" t="s">
        <v>3139</v>
      </c>
      <c r="R1570" s="34">
        <v>10</v>
      </c>
      <c r="S1570" s="10">
        <v>559.79999999999995</v>
      </c>
      <c r="T1570" s="10">
        <v>0</v>
      </c>
      <c r="U1570" s="10">
        <f t="shared" si="820"/>
        <v>0</v>
      </c>
      <c r="V1570" s="11"/>
      <c r="W1570" s="11">
        <v>2015</v>
      </c>
      <c r="X1570" s="4" t="s">
        <v>6745</v>
      </c>
    </row>
    <row r="1571" spans="1:24" s="23" customFormat="1" ht="76.5" customHeight="1" outlineLevel="1" x14ac:dyDescent="0.2">
      <c r="A1571" s="1" t="s">
        <v>7230</v>
      </c>
      <c r="B1571" s="16" t="s">
        <v>5277</v>
      </c>
      <c r="C1571" s="4" t="s">
        <v>7231</v>
      </c>
      <c r="D1571" s="4" t="s">
        <v>3478</v>
      </c>
      <c r="E1571" s="4" t="s">
        <v>7028</v>
      </c>
      <c r="F1571" s="4" t="s">
        <v>5750</v>
      </c>
      <c r="G1571" s="4" t="s">
        <v>3190</v>
      </c>
      <c r="H1571" s="22">
        <v>0</v>
      </c>
      <c r="I1571" s="18">
        <v>710000000</v>
      </c>
      <c r="J1571" s="4" t="s">
        <v>1931</v>
      </c>
      <c r="K1571" s="4" t="s">
        <v>5706</v>
      </c>
      <c r="L1571" s="4" t="s">
        <v>1889</v>
      </c>
      <c r="M1571" s="8" t="s">
        <v>3195</v>
      </c>
      <c r="N1571" s="4" t="s">
        <v>1890</v>
      </c>
      <c r="O1571" s="8" t="s">
        <v>1935</v>
      </c>
      <c r="P1571" s="4">
        <v>872</v>
      </c>
      <c r="Q1571" s="4" t="s">
        <v>3139</v>
      </c>
      <c r="R1571" s="10">
        <v>10</v>
      </c>
      <c r="S1571" s="10">
        <v>559.79999999999995</v>
      </c>
      <c r="T1571" s="10">
        <v>0</v>
      </c>
      <c r="U1571" s="10">
        <f t="shared" ref="U1571" si="827">T1571*1.12</f>
        <v>0</v>
      </c>
      <c r="V1571" s="1"/>
      <c r="W1571" s="1">
        <v>2015</v>
      </c>
      <c r="X1571" s="4" t="s">
        <v>7597</v>
      </c>
    </row>
    <row r="1572" spans="1:24" s="23" customFormat="1" ht="76.5" customHeight="1" outlineLevel="1" x14ac:dyDescent="0.2">
      <c r="A1572" s="1" t="s">
        <v>8277</v>
      </c>
      <c r="B1572" s="16" t="s">
        <v>5277</v>
      </c>
      <c r="C1572" s="4" t="s">
        <v>7231</v>
      </c>
      <c r="D1572" s="4" t="s">
        <v>3478</v>
      </c>
      <c r="E1572" s="4" t="s">
        <v>7028</v>
      </c>
      <c r="F1572" s="4" t="s">
        <v>5750</v>
      </c>
      <c r="G1572" s="4" t="s">
        <v>3190</v>
      </c>
      <c r="H1572" s="22">
        <v>0</v>
      </c>
      <c r="I1572" s="18">
        <v>710000000</v>
      </c>
      <c r="J1572" s="4" t="s">
        <v>1931</v>
      </c>
      <c r="K1572" s="4" t="s">
        <v>756</v>
      </c>
      <c r="L1572" s="4" t="s">
        <v>1889</v>
      </c>
      <c r="M1572" s="8" t="s">
        <v>3195</v>
      </c>
      <c r="N1572" s="4" t="s">
        <v>1890</v>
      </c>
      <c r="O1572" s="8" t="s">
        <v>1935</v>
      </c>
      <c r="P1572" s="4">
        <v>872</v>
      </c>
      <c r="Q1572" s="4" t="s">
        <v>3139</v>
      </c>
      <c r="R1572" s="10">
        <v>10</v>
      </c>
      <c r="S1572" s="10">
        <v>607.14279999999997</v>
      </c>
      <c r="T1572" s="10">
        <f t="shared" ref="T1572" si="828">S1572*R1572</f>
        <v>6071.4279999999999</v>
      </c>
      <c r="U1572" s="10">
        <f t="shared" ref="U1572" si="829">T1572*1.12</f>
        <v>6799.9993600000007</v>
      </c>
      <c r="V1572" s="1"/>
      <c r="W1572" s="1">
        <v>2015</v>
      </c>
      <c r="X1572" s="4"/>
    </row>
    <row r="1573" spans="1:24" s="23" customFormat="1" ht="76.5" customHeight="1" outlineLevel="1" x14ac:dyDescent="0.2">
      <c r="A1573" s="1" t="s">
        <v>2434</v>
      </c>
      <c r="B1573" s="24" t="s">
        <v>5277</v>
      </c>
      <c r="C1573" s="4" t="s">
        <v>6472</v>
      </c>
      <c r="D1573" s="4" t="s">
        <v>3505</v>
      </c>
      <c r="E1573" s="4" t="s">
        <v>1625</v>
      </c>
      <c r="F1573" s="4"/>
      <c r="G1573" s="4" t="s">
        <v>3190</v>
      </c>
      <c r="H1573" s="22">
        <v>0</v>
      </c>
      <c r="I1573" s="18">
        <v>710000000</v>
      </c>
      <c r="J1573" s="4" t="s">
        <v>1931</v>
      </c>
      <c r="K1573" s="4" t="s">
        <v>5706</v>
      </c>
      <c r="L1573" s="4" t="s">
        <v>1889</v>
      </c>
      <c r="M1573" s="8" t="s">
        <v>3195</v>
      </c>
      <c r="N1573" s="4" t="s">
        <v>1890</v>
      </c>
      <c r="O1573" s="8" t="s">
        <v>1935</v>
      </c>
      <c r="P1573" s="4">
        <v>778</v>
      </c>
      <c r="Q1573" s="4" t="s">
        <v>3327</v>
      </c>
      <c r="R1573" s="34">
        <v>10</v>
      </c>
      <c r="S1573" s="10">
        <v>559.79999999999995</v>
      </c>
      <c r="T1573" s="10">
        <v>0</v>
      </c>
      <c r="U1573" s="10">
        <f t="shared" si="820"/>
        <v>0</v>
      </c>
      <c r="V1573" s="11"/>
      <c r="W1573" s="11">
        <v>2015</v>
      </c>
      <c r="X1573" s="4" t="s">
        <v>6745</v>
      </c>
    </row>
    <row r="1574" spans="1:24" s="23" customFormat="1" ht="76.5" customHeight="1" outlineLevel="1" x14ac:dyDescent="0.2">
      <c r="A1574" s="1" t="s">
        <v>7227</v>
      </c>
      <c r="B1574" s="16" t="s">
        <v>5277</v>
      </c>
      <c r="C1574" s="4" t="s">
        <v>7229</v>
      </c>
      <c r="D1574" s="4" t="s">
        <v>3478</v>
      </c>
      <c r="E1574" s="4" t="s">
        <v>7228</v>
      </c>
      <c r="F1574" s="4" t="s">
        <v>1625</v>
      </c>
      <c r="G1574" s="4" t="s">
        <v>3190</v>
      </c>
      <c r="H1574" s="22">
        <v>0</v>
      </c>
      <c r="I1574" s="18">
        <v>710000000</v>
      </c>
      <c r="J1574" s="4" t="s">
        <v>1931</v>
      </c>
      <c r="K1574" s="4" t="s">
        <v>5706</v>
      </c>
      <c r="L1574" s="4" t="s">
        <v>1889</v>
      </c>
      <c r="M1574" s="8" t="s">
        <v>3195</v>
      </c>
      <c r="N1574" s="4" t="s">
        <v>1890</v>
      </c>
      <c r="O1574" s="8" t="s">
        <v>1935</v>
      </c>
      <c r="P1574" s="4">
        <v>778</v>
      </c>
      <c r="Q1574" s="4" t="s">
        <v>3327</v>
      </c>
      <c r="R1574" s="10">
        <v>10</v>
      </c>
      <c r="S1574" s="10">
        <v>559.79999999999995</v>
      </c>
      <c r="T1574" s="10">
        <v>0</v>
      </c>
      <c r="U1574" s="10">
        <f t="shared" ref="U1574" si="830">T1574*1.12</f>
        <v>0</v>
      </c>
      <c r="V1574" s="1"/>
      <c r="W1574" s="1">
        <v>2015</v>
      </c>
      <c r="X1574" s="4" t="s">
        <v>7597</v>
      </c>
    </row>
    <row r="1575" spans="1:24" s="23" customFormat="1" ht="76.5" customHeight="1" outlineLevel="1" x14ac:dyDescent="0.2">
      <c r="A1575" s="1" t="s">
        <v>8278</v>
      </c>
      <c r="B1575" s="16" t="s">
        <v>5277</v>
      </c>
      <c r="C1575" s="4" t="s">
        <v>7229</v>
      </c>
      <c r="D1575" s="4" t="s">
        <v>3478</v>
      </c>
      <c r="E1575" s="4" t="s">
        <v>7228</v>
      </c>
      <c r="F1575" s="4" t="s">
        <v>1625</v>
      </c>
      <c r="G1575" s="4" t="s">
        <v>3190</v>
      </c>
      <c r="H1575" s="22">
        <v>0</v>
      </c>
      <c r="I1575" s="18">
        <v>710000000</v>
      </c>
      <c r="J1575" s="4" t="s">
        <v>1931</v>
      </c>
      <c r="K1575" s="4" t="s">
        <v>756</v>
      </c>
      <c r="L1575" s="4" t="s">
        <v>1889</v>
      </c>
      <c r="M1575" s="8" t="s">
        <v>3195</v>
      </c>
      <c r="N1575" s="4" t="s">
        <v>1890</v>
      </c>
      <c r="O1575" s="8" t="s">
        <v>1935</v>
      </c>
      <c r="P1575" s="4">
        <v>778</v>
      </c>
      <c r="Q1575" s="4" t="s">
        <v>3327</v>
      </c>
      <c r="R1575" s="10">
        <v>10</v>
      </c>
      <c r="S1575" s="10">
        <v>491.07139999999998</v>
      </c>
      <c r="T1575" s="10">
        <f t="shared" ref="T1575" si="831">S1575*R1575</f>
        <v>4910.7139999999999</v>
      </c>
      <c r="U1575" s="10">
        <f t="shared" ref="U1575" si="832">T1575*1.12</f>
        <v>5499.9996800000008</v>
      </c>
      <c r="V1575" s="1"/>
      <c r="W1575" s="1">
        <v>2015</v>
      </c>
      <c r="X1575" s="4"/>
    </row>
    <row r="1576" spans="1:24" s="23" customFormat="1" ht="76.5" customHeight="1" outlineLevel="1" x14ac:dyDescent="0.2">
      <c r="A1576" s="1" t="s">
        <v>2435</v>
      </c>
      <c r="B1576" s="16" t="s">
        <v>5277</v>
      </c>
      <c r="C1576" s="4" t="s">
        <v>1626</v>
      </c>
      <c r="D1576" s="4" t="s">
        <v>6166</v>
      </c>
      <c r="E1576" s="4" t="s">
        <v>1627</v>
      </c>
      <c r="F1576" s="4"/>
      <c r="G1576" s="4" t="s">
        <v>3190</v>
      </c>
      <c r="H1576" s="22">
        <v>0</v>
      </c>
      <c r="I1576" s="18">
        <v>710000000</v>
      </c>
      <c r="J1576" s="4" t="s">
        <v>1931</v>
      </c>
      <c r="K1576" s="4" t="s">
        <v>5706</v>
      </c>
      <c r="L1576" s="4" t="s">
        <v>1889</v>
      </c>
      <c r="M1576" s="8" t="s">
        <v>3195</v>
      </c>
      <c r="N1576" s="4" t="s">
        <v>1890</v>
      </c>
      <c r="O1576" s="8" t="s">
        <v>1935</v>
      </c>
      <c r="P1576" s="8">
        <v>796</v>
      </c>
      <c r="Q1576" s="8" t="s">
        <v>3196</v>
      </c>
      <c r="R1576" s="10">
        <v>100</v>
      </c>
      <c r="S1576" s="10">
        <v>9.3800000000000008</v>
      </c>
      <c r="T1576" s="10">
        <v>0</v>
      </c>
      <c r="U1576" s="10">
        <f t="shared" si="820"/>
        <v>0</v>
      </c>
      <c r="V1576" s="1"/>
      <c r="W1576" s="1">
        <v>2015</v>
      </c>
      <c r="X1576" s="4" t="s">
        <v>7597</v>
      </c>
    </row>
    <row r="1577" spans="1:24" s="23" customFormat="1" ht="76.5" customHeight="1" outlineLevel="1" x14ac:dyDescent="0.2">
      <c r="A1577" s="1" t="s">
        <v>8279</v>
      </c>
      <c r="B1577" s="16" t="s">
        <v>5277</v>
      </c>
      <c r="C1577" s="4" t="s">
        <v>1626</v>
      </c>
      <c r="D1577" s="4" t="s">
        <v>6166</v>
      </c>
      <c r="E1577" s="4" t="s">
        <v>1627</v>
      </c>
      <c r="F1577" s="4"/>
      <c r="G1577" s="4" t="s">
        <v>3190</v>
      </c>
      <c r="H1577" s="22">
        <v>0</v>
      </c>
      <c r="I1577" s="18">
        <v>710000000</v>
      </c>
      <c r="J1577" s="4" t="s">
        <v>1931</v>
      </c>
      <c r="K1577" s="4" t="s">
        <v>756</v>
      </c>
      <c r="L1577" s="4" t="s">
        <v>1889</v>
      </c>
      <c r="M1577" s="8" t="s">
        <v>3195</v>
      </c>
      <c r="N1577" s="4" t="s">
        <v>1890</v>
      </c>
      <c r="O1577" s="8" t="s">
        <v>1935</v>
      </c>
      <c r="P1577" s="8">
        <v>796</v>
      </c>
      <c r="Q1577" s="8" t="s">
        <v>3196</v>
      </c>
      <c r="R1577" s="10">
        <v>100</v>
      </c>
      <c r="S1577" s="10">
        <v>9.8214000000000006</v>
      </c>
      <c r="T1577" s="10">
        <f t="shared" ref="T1577" si="833">S1577*R1577</f>
        <v>982.1400000000001</v>
      </c>
      <c r="U1577" s="10">
        <f t="shared" ref="U1577" si="834">T1577*1.12</f>
        <v>1099.9968000000001</v>
      </c>
      <c r="V1577" s="1"/>
      <c r="W1577" s="1">
        <v>2015</v>
      </c>
      <c r="X1577" s="4"/>
    </row>
    <row r="1578" spans="1:24" s="23" customFormat="1" ht="76.5" customHeight="1" outlineLevel="1" x14ac:dyDescent="0.2">
      <c r="A1578" s="1" t="s">
        <v>2436</v>
      </c>
      <c r="B1578" s="16" t="s">
        <v>5277</v>
      </c>
      <c r="C1578" s="4" t="s">
        <v>1628</v>
      </c>
      <c r="D1578" s="4" t="s">
        <v>1629</v>
      </c>
      <c r="E1578" s="4" t="s">
        <v>5751</v>
      </c>
      <c r="F1578" s="4"/>
      <c r="G1578" s="4" t="s">
        <v>3190</v>
      </c>
      <c r="H1578" s="22">
        <v>0</v>
      </c>
      <c r="I1578" s="18">
        <v>710000000</v>
      </c>
      <c r="J1578" s="4" t="s">
        <v>1931</v>
      </c>
      <c r="K1578" s="4" t="s">
        <v>5706</v>
      </c>
      <c r="L1578" s="4" t="s">
        <v>1889</v>
      </c>
      <c r="M1578" s="8" t="s">
        <v>3195</v>
      </c>
      <c r="N1578" s="4" t="s">
        <v>1890</v>
      </c>
      <c r="O1578" s="8" t="s">
        <v>1935</v>
      </c>
      <c r="P1578" s="4">
        <v>778</v>
      </c>
      <c r="Q1578" s="4" t="s">
        <v>3327</v>
      </c>
      <c r="R1578" s="10">
        <v>30</v>
      </c>
      <c r="S1578" s="10">
        <v>205.37</v>
      </c>
      <c r="T1578" s="10">
        <v>0</v>
      </c>
      <c r="U1578" s="10">
        <f t="shared" si="820"/>
        <v>0</v>
      </c>
      <c r="V1578" s="1"/>
      <c r="W1578" s="1">
        <v>2015</v>
      </c>
      <c r="X1578" s="4" t="s">
        <v>7597</v>
      </c>
    </row>
    <row r="1579" spans="1:24" s="23" customFormat="1" ht="76.5" customHeight="1" outlineLevel="1" x14ac:dyDescent="0.2">
      <c r="A1579" s="1" t="s">
        <v>8280</v>
      </c>
      <c r="B1579" s="16" t="s">
        <v>5277</v>
      </c>
      <c r="C1579" s="4" t="s">
        <v>1628</v>
      </c>
      <c r="D1579" s="4" t="s">
        <v>1629</v>
      </c>
      <c r="E1579" s="4" t="s">
        <v>5751</v>
      </c>
      <c r="F1579" s="4"/>
      <c r="G1579" s="4" t="s">
        <v>3190</v>
      </c>
      <c r="H1579" s="22">
        <v>0</v>
      </c>
      <c r="I1579" s="18">
        <v>710000000</v>
      </c>
      <c r="J1579" s="4" t="s">
        <v>1931</v>
      </c>
      <c r="K1579" s="4" t="s">
        <v>756</v>
      </c>
      <c r="L1579" s="4" t="s">
        <v>1889</v>
      </c>
      <c r="M1579" s="8" t="s">
        <v>3195</v>
      </c>
      <c r="N1579" s="4" t="s">
        <v>1890</v>
      </c>
      <c r="O1579" s="8" t="s">
        <v>1935</v>
      </c>
      <c r="P1579" s="4">
        <v>778</v>
      </c>
      <c r="Q1579" s="4" t="s">
        <v>3327</v>
      </c>
      <c r="R1579" s="10">
        <v>30</v>
      </c>
      <c r="S1579" s="10">
        <v>71.4285</v>
      </c>
      <c r="T1579" s="10">
        <f t="shared" ref="T1579" si="835">S1579*R1579</f>
        <v>2142.855</v>
      </c>
      <c r="U1579" s="10">
        <f t="shared" ref="U1579" si="836">T1579*1.12</f>
        <v>2399.9976000000001</v>
      </c>
      <c r="V1579" s="1"/>
      <c r="W1579" s="1">
        <v>2015</v>
      </c>
      <c r="X1579" s="4"/>
    </row>
    <row r="1580" spans="1:24" s="23" customFormat="1" ht="76.5" customHeight="1" outlineLevel="1" x14ac:dyDescent="0.2">
      <c r="A1580" s="1" t="s">
        <v>2437</v>
      </c>
      <c r="B1580" s="16" t="s">
        <v>5277</v>
      </c>
      <c r="C1580" s="4" t="s">
        <v>1630</v>
      </c>
      <c r="D1580" s="4" t="s">
        <v>1629</v>
      </c>
      <c r="E1580" s="4" t="s">
        <v>5752</v>
      </c>
      <c r="F1580" s="4"/>
      <c r="G1580" s="4" t="s">
        <v>3190</v>
      </c>
      <c r="H1580" s="22">
        <v>0</v>
      </c>
      <c r="I1580" s="18">
        <v>710000000</v>
      </c>
      <c r="J1580" s="4" t="s">
        <v>1931</v>
      </c>
      <c r="K1580" s="4" t="s">
        <v>5706</v>
      </c>
      <c r="L1580" s="4" t="s">
        <v>1889</v>
      </c>
      <c r="M1580" s="8" t="s">
        <v>3195</v>
      </c>
      <c r="N1580" s="4" t="s">
        <v>1890</v>
      </c>
      <c r="O1580" s="8" t="s">
        <v>1935</v>
      </c>
      <c r="P1580" s="4">
        <v>778</v>
      </c>
      <c r="Q1580" s="4" t="s">
        <v>3327</v>
      </c>
      <c r="R1580" s="10">
        <v>30</v>
      </c>
      <c r="S1580" s="10">
        <v>112.93</v>
      </c>
      <c r="T1580" s="10">
        <v>0</v>
      </c>
      <c r="U1580" s="10">
        <f t="shared" si="820"/>
        <v>0</v>
      </c>
      <c r="V1580" s="1"/>
      <c r="W1580" s="1">
        <v>2015</v>
      </c>
      <c r="X1580" s="4" t="s">
        <v>7597</v>
      </c>
    </row>
    <row r="1581" spans="1:24" s="23" customFormat="1" ht="76.5" customHeight="1" outlineLevel="1" x14ac:dyDescent="0.2">
      <c r="A1581" s="1" t="s">
        <v>8281</v>
      </c>
      <c r="B1581" s="16" t="s">
        <v>5277</v>
      </c>
      <c r="C1581" s="4" t="s">
        <v>1630</v>
      </c>
      <c r="D1581" s="4" t="s">
        <v>1629</v>
      </c>
      <c r="E1581" s="4" t="s">
        <v>5752</v>
      </c>
      <c r="F1581" s="4"/>
      <c r="G1581" s="4" t="s">
        <v>3190</v>
      </c>
      <c r="H1581" s="22">
        <v>0</v>
      </c>
      <c r="I1581" s="18">
        <v>710000000</v>
      </c>
      <c r="J1581" s="4" t="s">
        <v>1931</v>
      </c>
      <c r="K1581" s="4" t="s">
        <v>756</v>
      </c>
      <c r="L1581" s="4" t="s">
        <v>1889</v>
      </c>
      <c r="M1581" s="8" t="s">
        <v>3195</v>
      </c>
      <c r="N1581" s="4" t="s">
        <v>1890</v>
      </c>
      <c r="O1581" s="8" t="s">
        <v>1935</v>
      </c>
      <c r="P1581" s="4">
        <v>778</v>
      </c>
      <c r="Q1581" s="4" t="s">
        <v>3327</v>
      </c>
      <c r="R1581" s="10">
        <v>30</v>
      </c>
      <c r="S1581" s="10">
        <v>79.464200000000005</v>
      </c>
      <c r="T1581" s="10">
        <f t="shared" ref="T1581" si="837">S1581*R1581</f>
        <v>2383.9260000000004</v>
      </c>
      <c r="U1581" s="10">
        <f t="shared" ref="U1581" si="838">T1581*1.12</f>
        <v>2669.9971200000009</v>
      </c>
      <c r="V1581" s="1"/>
      <c r="W1581" s="1">
        <v>2015</v>
      </c>
      <c r="X1581" s="4"/>
    </row>
    <row r="1582" spans="1:24" s="23" customFormat="1" ht="76.5" customHeight="1" outlineLevel="1" x14ac:dyDescent="0.2">
      <c r="A1582" s="1" t="s">
        <v>2438</v>
      </c>
      <c r="B1582" s="16" t="s">
        <v>5277</v>
      </c>
      <c r="C1582" s="4" t="s">
        <v>3510</v>
      </c>
      <c r="D1582" s="4" t="s">
        <v>5753</v>
      </c>
      <c r="E1582" s="4" t="s">
        <v>5754</v>
      </c>
      <c r="F1582" s="4" t="s">
        <v>3511</v>
      </c>
      <c r="G1582" s="4" t="s">
        <v>3190</v>
      </c>
      <c r="H1582" s="22">
        <v>0</v>
      </c>
      <c r="I1582" s="18">
        <v>710000000</v>
      </c>
      <c r="J1582" s="4" t="s">
        <v>1931</v>
      </c>
      <c r="K1582" s="4" t="s">
        <v>5706</v>
      </c>
      <c r="L1582" s="4" t="s">
        <v>1889</v>
      </c>
      <c r="M1582" s="8" t="s">
        <v>3195</v>
      </c>
      <c r="N1582" s="4" t="s">
        <v>1890</v>
      </c>
      <c r="O1582" s="8" t="s">
        <v>1935</v>
      </c>
      <c r="P1582" s="8">
        <v>796</v>
      </c>
      <c r="Q1582" s="8" t="s">
        <v>3196</v>
      </c>
      <c r="R1582" s="10">
        <v>50</v>
      </c>
      <c r="S1582" s="10">
        <v>49.56</v>
      </c>
      <c r="T1582" s="10">
        <v>0</v>
      </c>
      <c r="U1582" s="10">
        <f t="shared" si="820"/>
        <v>0</v>
      </c>
      <c r="V1582" s="1"/>
      <c r="W1582" s="1">
        <v>2015</v>
      </c>
      <c r="X1582" s="4" t="s">
        <v>7597</v>
      </c>
    </row>
    <row r="1583" spans="1:24" s="23" customFormat="1" ht="76.5" customHeight="1" outlineLevel="1" x14ac:dyDescent="0.2">
      <c r="A1583" s="1" t="s">
        <v>8282</v>
      </c>
      <c r="B1583" s="16" t="s">
        <v>5277</v>
      </c>
      <c r="C1583" s="4" t="s">
        <v>3510</v>
      </c>
      <c r="D1583" s="4" t="s">
        <v>5753</v>
      </c>
      <c r="E1583" s="4" t="s">
        <v>5754</v>
      </c>
      <c r="F1583" s="4" t="s">
        <v>3511</v>
      </c>
      <c r="G1583" s="4" t="s">
        <v>3190</v>
      </c>
      <c r="H1583" s="22">
        <v>0</v>
      </c>
      <c r="I1583" s="18">
        <v>710000000</v>
      </c>
      <c r="J1583" s="4" t="s">
        <v>1931</v>
      </c>
      <c r="K1583" s="4" t="s">
        <v>756</v>
      </c>
      <c r="L1583" s="4" t="s">
        <v>1889</v>
      </c>
      <c r="M1583" s="8" t="s">
        <v>3195</v>
      </c>
      <c r="N1583" s="4" t="s">
        <v>1890</v>
      </c>
      <c r="O1583" s="8" t="s">
        <v>1935</v>
      </c>
      <c r="P1583" s="8">
        <v>796</v>
      </c>
      <c r="Q1583" s="8" t="s">
        <v>3196</v>
      </c>
      <c r="R1583" s="10">
        <v>50</v>
      </c>
      <c r="S1583" s="10">
        <v>53.571399999999997</v>
      </c>
      <c r="T1583" s="10">
        <f t="shared" ref="T1583" si="839">S1583*R1583</f>
        <v>2678.5699999999997</v>
      </c>
      <c r="U1583" s="10">
        <f t="shared" ref="U1583" si="840">T1583*1.12</f>
        <v>2999.9983999999999</v>
      </c>
      <c r="V1583" s="1"/>
      <c r="W1583" s="1">
        <v>2015</v>
      </c>
      <c r="X1583" s="4"/>
    </row>
    <row r="1584" spans="1:24" s="23" customFormat="1" ht="76.5" customHeight="1" outlineLevel="1" x14ac:dyDescent="0.2">
      <c r="A1584" s="1" t="s">
        <v>2439</v>
      </c>
      <c r="B1584" s="16" t="s">
        <v>5277</v>
      </c>
      <c r="C1584" s="4" t="s">
        <v>3512</v>
      </c>
      <c r="D1584" s="4" t="s">
        <v>5753</v>
      </c>
      <c r="E1584" s="4" t="s">
        <v>5755</v>
      </c>
      <c r="F1584" s="4" t="s">
        <v>3511</v>
      </c>
      <c r="G1584" s="4" t="s">
        <v>3190</v>
      </c>
      <c r="H1584" s="22">
        <v>0</v>
      </c>
      <c r="I1584" s="18">
        <v>710000000</v>
      </c>
      <c r="J1584" s="4" t="s">
        <v>1931</v>
      </c>
      <c r="K1584" s="4" t="s">
        <v>5706</v>
      </c>
      <c r="L1584" s="4" t="s">
        <v>1889</v>
      </c>
      <c r="M1584" s="8" t="s">
        <v>3195</v>
      </c>
      <c r="N1584" s="4" t="s">
        <v>1890</v>
      </c>
      <c r="O1584" s="8" t="s">
        <v>1935</v>
      </c>
      <c r="P1584" s="8">
        <v>796</v>
      </c>
      <c r="Q1584" s="8" t="s">
        <v>3196</v>
      </c>
      <c r="R1584" s="10">
        <v>50</v>
      </c>
      <c r="S1584" s="10">
        <v>40.619999999999997</v>
      </c>
      <c r="T1584" s="10">
        <v>0</v>
      </c>
      <c r="U1584" s="10">
        <f t="shared" si="820"/>
        <v>0</v>
      </c>
      <c r="V1584" s="1"/>
      <c r="W1584" s="1">
        <v>2015</v>
      </c>
      <c r="X1584" s="4" t="s">
        <v>7597</v>
      </c>
    </row>
    <row r="1585" spans="1:24" s="23" customFormat="1" ht="76.5" customHeight="1" outlineLevel="1" x14ac:dyDescent="0.2">
      <c r="A1585" s="1" t="s">
        <v>8283</v>
      </c>
      <c r="B1585" s="16" t="s">
        <v>5277</v>
      </c>
      <c r="C1585" s="4" t="s">
        <v>3512</v>
      </c>
      <c r="D1585" s="4" t="s">
        <v>5753</v>
      </c>
      <c r="E1585" s="4" t="s">
        <v>5755</v>
      </c>
      <c r="F1585" s="4" t="s">
        <v>3511</v>
      </c>
      <c r="G1585" s="4" t="s">
        <v>3190</v>
      </c>
      <c r="H1585" s="22">
        <v>0</v>
      </c>
      <c r="I1585" s="18">
        <v>710000000</v>
      </c>
      <c r="J1585" s="4" t="s">
        <v>1931</v>
      </c>
      <c r="K1585" s="4" t="s">
        <v>756</v>
      </c>
      <c r="L1585" s="4" t="s">
        <v>1889</v>
      </c>
      <c r="M1585" s="8" t="s">
        <v>3195</v>
      </c>
      <c r="N1585" s="4" t="s">
        <v>1890</v>
      </c>
      <c r="O1585" s="8" t="s">
        <v>1935</v>
      </c>
      <c r="P1585" s="8">
        <v>796</v>
      </c>
      <c r="Q1585" s="8" t="s">
        <v>3196</v>
      </c>
      <c r="R1585" s="10">
        <v>50</v>
      </c>
      <c r="S1585" s="10">
        <v>40.1785</v>
      </c>
      <c r="T1585" s="10">
        <f t="shared" ref="T1585" si="841">S1585*R1585</f>
        <v>2008.925</v>
      </c>
      <c r="U1585" s="10">
        <f t="shared" ref="U1585" si="842">T1585*1.12</f>
        <v>2249.9960000000001</v>
      </c>
      <c r="V1585" s="1"/>
      <c r="W1585" s="1">
        <v>2015</v>
      </c>
      <c r="X1585" s="4"/>
    </row>
    <row r="1586" spans="1:24" s="23" customFormat="1" ht="76.5" customHeight="1" outlineLevel="1" x14ac:dyDescent="0.2">
      <c r="A1586" s="1" t="s">
        <v>2440</v>
      </c>
      <c r="B1586" s="16" t="s">
        <v>5277</v>
      </c>
      <c r="C1586" s="4" t="s">
        <v>3510</v>
      </c>
      <c r="D1586" s="4" t="s">
        <v>5753</v>
      </c>
      <c r="E1586" s="4" t="s">
        <v>5754</v>
      </c>
      <c r="F1586" s="4" t="s">
        <v>3513</v>
      </c>
      <c r="G1586" s="4" t="s">
        <v>3190</v>
      </c>
      <c r="H1586" s="22">
        <v>0</v>
      </c>
      <c r="I1586" s="18">
        <v>710000000</v>
      </c>
      <c r="J1586" s="4" t="s">
        <v>1931</v>
      </c>
      <c r="K1586" s="4" t="s">
        <v>5706</v>
      </c>
      <c r="L1586" s="4" t="s">
        <v>1889</v>
      </c>
      <c r="M1586" s="8" t="s">
        <v>3195</v>
      </c>
      <c r="N1586" s="4" t="s">
        <v>1890</v>
      </c>
      <c r="O1586" s="8" t="s">
        <v>1935</v>
      </c>
      <c r="P1586" s="8">
        <v>796</v>
      </c>
      <c r="Q1586" s="8" t="s">
        <v>3196</v>
      </c>
      <c r="R1586" s="10">
        <v>50</v>
      </c>
      <c r="S1586" s="10">
        <v>27.68</v>
      </c>
      <c r="T1586" s="10">
        <v>0</v>
      </c>
      <c r="U1586" s="10">
        <f t="shared" si="820"/>
        <v>0</v>
      </c>
      <c r="V1586" s="1"/>
      <c r="W1586" s="1">
        <v>2015</v>
      </c>
      <c r="X1586" s="4" t="s">
        <v>7597</v>
      </c>
    </row>
    <row r="1587" spans="1:24" s="23" customFormat="1" ht="76.5" customHeight="1" outlineLevel="1" x14ac:dyDescent="0.2">
      <c r="A1587" s="1" t="s">
        <v>8284</v>
      </c>
      <c r="B1587" s="16" t="s">
        <v>5277</v>
      </c>
      <c r="C1587" s="4" t="s">
        <v>3510</v>
      </c>
      <c r="D1587" s="4" t="s">
        <v>5753</v>
      </c>
      <c r="E1587" s="4" t="s">
        <v>5754</v>
      </c>
      <c r="F1587" s="4" t="s">
        <v>3513</v>
      </c>
      <c r="G1587" s="4" t="s">
        <v>3190</v>
      </c>
      <c r="H1587" s="22">
        <v>0</v>
      </c>
      <c r="I1587" s="18">
        <v>710000000</v>
      </c>
      <c r="J1587" s="4" t="s">
        <v>1931</v>
      </c>
      <c r="K1587" s="4" t="s">
        <v>756</v>
      </c>
      <c r="L1587" s="4" t="s">
        <v>1889</v>
      </c>
      <c r="M1587" s="8" t="s">
        <v>3195</v>
      </c>
      <c r="N1587" s="4" t="s">
        <v>1890</v>
      </c>
      <c r="O1587" s="8" t="s">
        <v>1935</v>
      </c>
      <c r="P1587" s="8">
        <v>796</v>
      </c>
      <c r="Q1587" s="8" t="s">
        <v>3196</v>
      </c>
      <c r="R1587" s="10">
        <v>50</v>
      </c>
      <c r="S1587" s="10">
        <v>29.464200000000002</v>
      </c>
      <c r="T1587" s="10">
        <f t="shared" ref="T1587" si="843">S1587*R1587</f>
        <v>1473.21</v>
      </c>
      <c r="U1587" s="10">
        <f t="shared" ref="U1587" si="844">T1587*1.12</f>
        <v>1649.9952000000003</v>
      </c>
      <c r="V1587" s="1"/>
      <c r="W1587" s="1">
        <v>2015</v>
      </c>
      <c r="X1587" s="4"/>
    </row>
    <row r="1588" spans="1:24" s="23" customFormat="1" ht="76.5" customHeight="1" outlineLevel="1" x14ac:dyDescent="0.2">
      <c r="A1588" s="1" t="s">
        <v>2441</v>
      </c>
      <c r="B1588" s="16" t="s">
        <v>5277</v>
      </c>
      <c r="C1588" s="4" t="s">
        <v>3512</v>
      </c>
      <c r="D1588" s="4" t="s">
        <v>5753</v>
      </c>
      <c r="E1588" s="4" t="s">
        <v>5755</v>
      </c>
      <c r="F1588" s="4" t="s">
        <v>3513</v>
      </c>
      <c r="G1588" s="4" t="s">
        <v>3190</v>
      </c>
      <c r="H1588" s="22">
        <v>0</v>
      </c>
      <c r="I1588" s="18">
        <v>710000000</v>
      </c>
      <c r="J1588" s="4" t="s">
        <v>1931</v>
      </c>
      <c r="K1588" s="4" t="s">
        <v>5706</v>
      </c>
      <c r="L1588" s="4" t="s">
        <v>1889</v>
      </c>
      <c r="M1588" s="8" t="s">
        <v>3195</v>
      </c>
      <c r="N1588" s="4" t="s">
        <v>1890</v>
      </c>
      <c r="O1588" s="8" t="s">
        <v>1935</v>
      </c>
      <c r="P1588" s="8">
        <v>796</v>
      </c>
      <c r="Q1588" s="8" t="s">
        <v>3196</v>
      </c>
      <c r="R1588" s="10">
        <v>50</v>
      </c>
      <c r="S1588" s="10">
        <v>23.66</v>
      </c>
      <c r="T1588" s="10">
        <v>0</v>
      </c>
      <c r="U1588" s="10">
        <f t="shared" si="820"/>
        <v>0</v>
      </c>
      <c r="V1588" s="1"/>
      <c r="W1588" s="1">
        <v>2015</v>
      </c>
      <c r="X1588" s="4" t="s">
        <v>7597</v>
      </c>
    </row>
    <row r="1589" spans="1:24" s="23" customFormat="1" ht="76.5" customHeight="1" outlineLevel="1" x14ac:dyDescent="0.2">
      <c r="A1589" s="1" t="s">
        <v>8285</v>
      </c>
      <c r="B1589" s="16" t="s">
        <v>5277</v>
      </c>
      <c r="C1589" s="4" t="s">
        <v>3512</v>
      </c>
      <c r="D1589" s="4" t="s">
        <v>5753</v>
      </c>
      <c r="E1589" s="4" t="s">
        <v>5755</v>
      </c>
      <c r="F1589" s="4" t="s">
        <v>3513</v>
      </c>
      <c r="G1589" s="4" t="s">
        <v>3190</v>
      </c>
      <c r="H1589" s="22">
        <v>0</v>
      </c>
      <c r="I1589" s="18">
        <v>710000000</v>
      </c>
      <c r="J1589" s="4" t="s">
        <v>1931</v>
      </c>
      <c r="K1589" s="4" t="s">
        <v>756</v>
      </c>
      <c r="L1589" s="4" t="s">
        <v>1889</v>
      </c>
      <c r="M1589" s="8" t="s">
        <v>3195</v>
      </c>
      <c r="N1589" s="4" t="s">
        <v>1890</v>
      </c>
      <c r="O1589" s="8" t="s">
        <v>1935</v>
      </c>
      <c r="P1589" s="8">
        <v>796</v>
      </c>
      <c r="Q1589" s="8" t="s">
        <v>3196</v>
      </c>
      <c r="R1589" s="10">
        <v>50</v>
      </c>
      <c r="S1589" s="10">
        <v>25</v>
      </c>
      <c r="T1589" s="10">
        <f t="shared" ref="T1589" si="845">S1589*R1589</f>
        <v>1250</v>
      </c>
      <c r="U1589" s="10">
        <f t="shared" ref="U1589" si="846">T1589*1.12</f>
        <v>1400.0000000000002</v>
      </c>
      <c r="V1589" s="1"/>
      <c r="W1589" s="1">
        <v>2015</v>
      </c>
      <c r="X1589" s="4"/>
    </row>
    <row r="1590" spans="1:24" s="23" customFormat="1" ht="76.5" customHeight="1" outlineLevel="1" x14ac:dyDescent="0.2">
      <c r="A1590" s="1" t="s">
        <v>2442</v>
      </c>
      <c r="B1590" s="16" t="s">
        <v>5277</v>
      </c>
      <c r="C1590" s="4" t="s">
        <v>3506</v>
      </c>
      <c r="D1590" s="4" t="s">
        <v>5756</v>
      </c>
      <c r="E1590" s="4" t="s">
        <v>5757</v>
      </c>
      <c r="F1590" s="4"/>
      <c r="G1590" s="4" t="s">
        <v>3190</v>
      </c>
      <c r="H1590" s="22">
        <v>0</v>
      </c>
      <c r="I1590" s="18">
        <v>710000000</v>
      </c>
      <c r="J1590" s="4" t="s">
        <v>1931</v>
      </c>
      <c r="K1590" s="4" t="s">
        <v>5706</v>
      </c>
      <c r="L1590" s="4" t="s">
        <v>1889</v>
      </c>
      <c r="M1590" s="8" t="s">
        <v>3195</v>
      </c>
      <c r="N1590" s="4" t="s">
        <v>1890</v>
      </c>
      <c r="O1590" s="8" t="s">
        <v>1935</v>
      </c>
      <c r="P1590" s="4">
        <v>778</v>
      </c>
      <c r="Q1590" s="4" t="s">
        <v>3327</v>
      </c>
      <c r="R1590" s="10">
        <v>10</v>
      </c>
      <c r="S1590" s="10">
        <v>226.8</v>
      </c>
      <c r="T1590" s="10">
        <v>0</v>
      </c>
      <c r="U1590" s="10">
        <f t="shared" si="820"/>
        <v>0</v>
      </c>
      <c r="V1590" s="1"/>
      <c r="W1590" s="1">
        <v>2015</v>
      </c>
      <c r="X1590" s="4" t="s">
        <v>7597</v>
      </c>
    </row>
    <row r="1591" spans="1:24" s="23" customFormat="1" ht="76.5" customHeight="1" outlineLevel="1" x14ac:dyDescent="0.2">
      <c r="A1591" s="1" t="s">
        <v>8286</v>
      </c>
      <c r="B1591" s="16" t="s">
        <v>5277</v>
      </c>
      <c r="C1591" s="4" t="s">
        <v>3506</v>
      </c>
      <c r="D1591" s="4" t="s">
        <v>5756</v>
      </c>
      <c r="E1591" s="4" t="s">
        <v>5757</v>
      </c>
      <c r="F1591" s="4"/>
      <c r="G1591" s="4" t="s">
        <v>3190</v>
      </c>
      <c r="H1591" s="22">
        <v>0</v>
      </c>
      <c r="I1591" s="18">
        <v>710000000</v>
      </c>
      <c r="J1591" s="4" t="s">
        <v>1931</v>
      </c>
      <c r="K1591" s="4" t="s">
        <v>756</v>
      </c>
      <c r="L1591" s="4" t="s">
        <v>1889</v>
      </c>
      <c r="M1591" s="8" t="s">
        <v>3195</v>
      </c>
      <c r="N1591" s="4" t="s">
        <v>1890</v>
      </c>
      <c r="O1591" s="8" t="s">
        <v>1935</v>
      </c>
      <c r="P1591" s="4">
        <v>778</v>
      </c>
      <c r="Q1591" s="4" t="s">
        <v>3327</v>
      </c>
      <c r="R1591" s="10">
        <v>10</v>
      </c>
      <c r="S1591" s="10">
        <v>330.3571</v>
      </c>
      <c r="T1591" s="10">
        <f t="shared" ref="T1591" si="847">S1591*R1591</f>
        <v>3303.5709999999999</v>
      </c>
      <c r="U1591" s="10">
        <f t="shared" ref="U1591" si="848">T1591*1.12</f>
        <v>3699.9995200000003</v>
      </c>
      <c r="V1591" s="1"/>
      <c r="W1591" s="1">
        <v>2015</v>
      </c>
      <c r="X1591" s="4"/>
    </row>
    <row r="1592" spans="1:24" s="23" customFormat="1" ht="76.5" customHeight="1" outlineLevel="1" x14ac:dyDescent="0.2">
      <c r="A1592" s="1" t="s">
        <v>2443</v>
      </c>
      <c r="B1592" s="16" t="s">
        <v>5277</v>
      </c>
      <c r="C1592" s="4" t="s">
        <v>1631</v>
      </c>
      <c r="D1592" s="4" t="s">
        <v>5758</v>
      </c>
      <c r="E1592" s="4" t="s">
        <v>1632</v>
      </c>
      <c r="F1592" s="4"/>
      <c r="G1592" s="4" t="s">
        <v>3190</v>
      </c>
      <c r="H1592" s="22">
        <v>0</v>
      </c>
      <c r="I1592" s="18">
        <v>710000000</v>
      </c>
      <c r="J1592" s="4" t="s">
        <v>1931</v>
      </c>
      <c r="K1592" s="4" t="s">
        <v>5706</v>
      </c>
      <c r="L1592" s="4" t="s">
        <v>1889</v>
      </c>
      <c r="M1592" s="8" t="s">
        <v>3195</v>
      </c>
      <c r="N1592" s="4" t="s">
        <v>1890</v>
      </c>
      <c r="O1592" s="8" t="s">
        <v>1935</v>
      </c>
      <c r="P1592" s="4">
        <v>715</v>
      </c>
      <c r="Q1592" s="4" t="s">
        <v>5618</v>
      </c>
      <c r="R1592" s="10">
        <v>100</v>
      </c>
      <c r="S1592" s="10">
        <v>14.73</v>
      </c>
      <c r="T1592" s="10">
        <v>0</v>
      </c>
      <c r="U1592" s="10">
        <f t="shared" si="820"/>
        <v>0</v>
      </c>
      <c r="V1592" s="1"/>
      <c r="W1592" s="1">
        <v>2015</v>
      </c>
      <c r="X1592" s="4" t="s">
        <v>8195</v>
      </c>
    </row>
    <row r="1593" spans="1:24" s="23" customFormat="1" ht="76.5" customHeight="1" outlineLevel="1" x14ac:dyDescent="0.2">
      <c r="A1593" s="1" t="s">
        <v>8287</v>
      </c>
      <c r="B1593" s="16" t="s">
        <v>5277</v>
      </c>
      <c r="C1593" s="4" t="s">
        <v>1631</v>
      </c>
      <c r="D1593" s="4" t="s">
        <v>5758</v>
      </c>
      <c r="E1593" s="4" t="s">
        <v>1632</v>
      </c>
      <c r="F1593" s="4"/>
      <c r="G1593" s="4" t="s">
        <v>3190</v>
      </c>
      <c r="H1593" s="22">
        <v>0</v>
      </c>
      <c r="I1593" s="18">
        <v>710000000</v>
      </c>
      <c r="J1593" s="4" t="s">
        <v>1931</v>
      </c>
      <c r="K1593" s="4" t="s">
        <v>756</v>
      </c>
      <c r="L1593" s="4" t="s">
        <v>1889</v>
      </c>
      <c r="M1593" s="8" t="s">
        <v>3195</v>
      </c>
      <c r="N1593" s="4" t="s">
        <v>1890</v>
      </c>
      <c r="O1593" s="8" t="s">
        <v>1935</v>
      </c>
      <c r="P1593" s="4">
        <v>715</v>
      </c>
      <c r="Q1593" s="4" t="s">
        <v>5618</v>
      </c>
      <c r="R1593" s="10">
        <v>2</v>
      </c>
      <c r="S1593" s="10">
        <v>892.85709999999995</v>
      </c>
      <c r="T1593" s="10">
        <f t="shared" ref="T1593" si="849">S1593*R1593</f>
        <v>1785.7141999999999</v>
      </c>
      <c r="U1593" s="10">
        <f t="shared" ref="U1593" si="850">T1593*1.12</f>
        <v>1999.999904</v>
      </c>
      <c r="V1593" s="1"/>
      <c r="W1593" s="1">
        <v>2015</v>
      </c>
      <c r="X1593" s="4"/>
    </row>
    <row r="1594" spans="1:24" s="23" customFormat="1" ht="76.5" customHeight="1" outlineLevel="1" x14ac:dyDescent="0.2">
      <c r="A1594" s="1" t="s">
        <v>2444</v>
      </c>
      <c r="B1594" s="16" t="s">
        <v>5277</v>
      </c>
      <c r="C1594" s="4" t="s">
        <v>3509</v>
      </c>
      <c r="D1594" s="4" t="s">
        <v>5758</v>
      </c>
      <c r="E1594" s="4" t="s">
        <v>5759</v>
      </c>
      <c r="F1594" s="4"/>
      <c r="G1594" s="4" t="s">
        <v>3190</v>
      </c>
      <c r="H1594" s="22">
        <v>0</v>
      </c>
      <c r="I1594" s="18">
        <v>710000000</v>
      </c>
      <c r="J1594" s="4" t="s">
        <v>1931</v>
      </c>
      <c r="K1594" s="4" t="s">
        <v>5706</v>
      </c>
      <c r="L1594" s="4" t="s">
        <v>1889</v>
      </c>
      <c r="M1594" s="8" t="s">
        <v>3195</v>
      </c>
      <c r="N1594" s="4" t="s">
        <v>1890</v>
      </c>
      <c r="O1594" s="8" t="s">
        <v>1935</v>
      </c>
      <c r="P1594" s="4">
        <v>715</v>
      </c>
      <c r="Q1594" s="4" t="s">
        <v>5618</v>
      </c>
      <c r="R1594" s="10">
        <v>100</v>
      </c>
      <c r="S1594" s="10">
        <v>41.96</v>
      </c>
      <c r="T1594" s="10">
        <v>0</v>
      </c>
      <c r="U1594" s="10">
        <f t="shared" si="820"/>
        <v>0</v>
      </c>
      <c r="V1594" s="1"/>
      <c r="W1594" s="1">
        <v>2015</v>
      </c>
      <c r="X1594" s="4" t="s">
        <v>7597</v>
      </c>
    </row>
    <row r="1595" spans="1:24" s="23" customFormat="1" ht="76.5" customHeight="1" outlineLevel="1" x14ac:dyDescent="0.2">
      <c r="A1595" s="1" t="s">
        <v>8288</v>
      </c>
      <c r="B1595" s="16" t="s">
        <v>5277</v>
      </c>
      <c r="C1595" s="4" t="s">
        <v>3509</v>
      </c>
      <c r="D1595" s="4" t="s">
        <v>5758</v>
      </c>
      <c r="E1595" s="4" t="s">
        <v>5759</v>
      </c>
      <c r="F1595" s="4"/>
      <c r="G1595" s="4" t="s">
        <v>3190</v>
      </c>
      <c r="H1595" s="22">
        <v>0</v>
      </c>
      <c r="I1595" s="18">
        <v>710000000</v>
      </c>
      <c r="J1595" s="4" t="s">
        <v>1931</v>
      </c>
      <c r="K1595" s="4" t="s">
        <v>756</v>
      </c>
      <c r="L1595" s="4" t="s">
        <v>1889</v>
      </c>
      <c r="M1595" s="8" t="s">
        <v>3195</v>
      </c>
      <c r="N1595" s="4" t="s">
        <v>1890</v>
      </c>
      <c r="O1595" s="8" t="s">
        <v>1935</v>
      </c>
      <c r="P1595" s="4">
        <v>715</v>
      </c>
      <c r="Q1595" s="4" t="s">
        <v>5618</v>
      </c>
      <c r="R1595" s="10">
        <v>100</v>
      </c>
      <c r="S1595" s="10">
        <v>41.964280000000002</v>
      </c>
      <c r="T1595" s="10">
        <f t="shared" ref="T1595" si="851">S1595*R1595</f>
        <v>4196.4279999999999</v>
      </c>
      <c r="U1595" s="10">
        <f t="shared" ref="U1595" si="852">T1595*1.12</f>
        <v>4699.9993600000007</v>
      </c>
      <c r="V1595" s="1"/>
      <c r="W1595" s="1">
        <v>2015</v>
      </c>
      <c r="X1595" s="4"/>
    </row>
    <row r="1596" spans="1:24" s="23" customFormat="1" ht="76.5" customHeight="1" outlineLevel="1" x14ac:dyDescent="0.2">
      <c r="A1596" s="1" t="s">
        <v>2445</v>
      </c>
      <c r="B1596" s="16" t="s">
        <v>5277</v>
      </c>
      <c r="C1596" s="4" t="s">
        <v>1633</v>
      </c>
      <c r="D1596" s="4" t="s">
        <v>1634</v>
      </c>
      <c r="E1596" s="4" t="s">
        <v>1635</v>
      </c>
      <c r="F1596" s="4"/>
      <c r="G1596" s="4" t="s">
        <v>3190</v>
      </c>
      <c r="H1596" s="22">
        <v>0</v>
      </c>
      <c r="I1596" s="18">
        <v>710000000</v>
      </c>
      <c r="J1596" s="4" t="s">
        <v>1931</v>
      </c>
      <c r="K1596" s="4" t="s">
        <v>5706</v>
      </c>
      <c r="L1596" s="4" t="s">
        <v>1889</v>
      </c>
      <c r="M1596" s="8" t="s">
        <v>3195</v>
      </c>
      <c r="N1596" s="4" t="s">
        <v>1890</v>
      </c>
      <c r="O1596" s="8" t="s">
        <v>1935</v>
      </c>
      <c r="P1596" s="8">
        <v>796</v>
      </c>
      <c r="Q1596" s="8" t="s">
        <v>3196</v>
      </c>
      <c r="R1596" s="10">
        <v>10</v>
      </c>
      <c r="S1596" s="10">
        <v>27.2</v>
      </c>
      <c r="T1596" s="10">
        <v>0</v>
      </c>
      <c r="U1596" s="10">
        <f t="shared" si="820"/>
        <v>0</v>
      </c>
      <c r="V1596" s="1"/>
      <c r="W1596" s="1">
        <v>2015</v>
      </c>
      <c r="X1596" s="4" t="s">
        <v>7597</v>
      </c>
    </row>
    <row r="1597" spans="1:24" s="23" customFormat="1" ht="76.5" customHeight="1" outlineLevel="1" x14ac:dyDescent="0.2">
      <c r="A1597" s="1" t="s">
        <v>8289</v>
      </c>
      <c r="B1597" s="16" t="s">
        <v>5277</v>
      </c>
      <c r="C1597" s="4" t="s">
        <v>1633</v>
      </c>
      <c r="D1597" s="4" t="s">
        <v>1634</v>
      </c>
      <c r="E1597" s="4" t="s">
        <v>1635</v>
      </c>
      <c r="F1597" s="4"/>
      <c r="G1597" s="4" t="s">
        <v>3190</v>
      </c>
      <c r="H1597" s="22">
        <v>0</v>
      </c>
      <c r="I1597" s="18">
        <v>710000000</v>
      </c>
      <c r="J1597" s="4" t="s">
        <v>1931</v>
      </c>
      <c r="K1597" s="4" t="s">
        <v>756</v>
      </c>
      <c r="L1597" s="4" t="s">
        <v>1889</v>
      </c>
      <c r="M1597" s="8" t="s">
        <v>3195</v>
      </c>
      <c r="N1597" s="4" t="s">
        <v>1890</v>
      </c>
      <c r="O1597" s="8" t="s">
        <v>1935</v>
      </c>
      <c r="P1597" s="8">
        <v>796</v>
      </c>
      <c r="Q1597" s="8" t="s">
        <v>3196</v>
      </c>
      <c r="R1597" s="10">
        <v>10</v>
      </c>
      <c r="S1597" s="10">
        <v>28.571400000000001</v>
      </c>
      <c r="T1597" s="10">
        <f t="shared" ref="T1597" si="853">S1597*R1597</f>
        <v>285.714</v>
      </c>
      <c r="U1597" s="10">
        <f t="shared" ref="U1597" si="854">T1597*1.12</f>
        <v>319.99968000000001</v>
      </c>
      <c r="V1597" s="1"/>
      <c r="W1597" s="1">
        <v>2015</v>
      </c>
      <c r="X1597" s="4"/>
    </row>
    <row r="1598" spans="1:24" s="23" customFormat="1" ht="76.5" customHeight="1" outlineLevel="1" x14ac:dyDescent="0.2">
      <c r="A1598" s="1" t="s">
        <v>2446</v>
      </c>
      <c r="B1598" s="16" t="s">
        <v>5277</v>
      </c>
      <c r="C1598" s="4" t="s">
        <v>1636</v>
      </c>
      <c r="D1598" s="4" t="s">
        <v>1637</v>
      </c>
      <c r="E1598" s="4" t="s">
        <v>1638</v>
      </c>
      <c r="F1598" s="4"/>
      <c r="G1598" s="4" t="s">
        <v>3190</v>
      </c>
      <c r="H1598" s="22">
        <v>0</v>
      </c>
      <c r="I1598" s="18">
        <v>710000000</v>
      </c>
      <c r="J1598" s="4" t="s">
        <v>1931</v>
      </c>
      <c r="K1598" s="4" t="s">
        <v>5706</v>
      </c>
      <c r="L1598" s="4" t="s">
        <v>1889</v>
      </c>
      <c r="M1598" s="8" t="s">
        <v>3195</v>
      </c>
      <c r="N1598" s="4" t="s">
        <v>1890</v>
      </c>
      <c r="O1598" s="8" t="s">
        <v>1935</v>
      </c>
      <c r="P1598" s="8">
        <v>796</v>
      </c>
      <c r="Q1598" s="8" t="s">
        <v>3196</v>
      </c>
      <c r="R1598" s="10">
        <v>50</v>
      </c>
      <c r="S1598" s="10">
        <v>6.7</v>
      </c>
      <c r="T1598" s="10">
        <v>0</v>
      </c>
      <c r="U1598" s="10">
        <f t="shared" si="820"/>
        <v>0</v>
      </c>
      <c r="V1598" s="1"/>
      <c r="W1598" s="1">
        <v>2015</v>
      </c>
      <c r="X1598" s="4" t="s">
        <v>7597</v>
      </c>
    </row>
    <row r="1599" spans="1:24" s="23" customFormat="1" ht="76.5" customHeight="1" outlineLevel="1" x14ac:dyDescent="0.2">
      <c r="A1599" s="1" t="s">
        <v>8290</v>
      </c>
      <c r="B1599" s="16" t="s">
        <v>5277</v>
      </c>
      <c r="C1599" s="4" t="s">
        <v>1636</v>
      </c>
      <c r="D1599" s="4" t="s">
        <v>1637</v>
      </c>
      <c r="E1599" s="4" t="s">
        <v>1638</v>
      </c>
      <c r="F1599" s="4"/>
      <c r="G1599" s="4" t="s">
        <v>3190</v>
      </c>
      <c r="H1599" s="22">
        <v>0</v>
      </c>
      <c r="I1599" s="18">
        <v>710000000</v>
      </c>
      <c r="J1599" s="4" t="s">
        <v>1931</v>
      </c>
      <c r="K1599" s="4" t="s">
        <v>756</v>
      </c>
      <c r="L1599" s="4" t="s">
        <v>1889</v>
      </c>
      <c r="M1599" s="8" t="s">
        <v>3195</v>
      </c>
      <c r="N1599" s="4" t="s">
        <v>1890</v>
      </c>
      <c r="O1599" s="8" t="s">
        <v>1935</v>
      </c>
      <c r="P1599" s="8">
        <v>796</v>
      </c>
      <c r="Q1599" s="8" t="s">
        <v>3196</v>
      </c>
      <c r="R1599" s="10">
        <v>50</v>
      </c>
      <c r="S1599" s="10">
        <v>7.1428000000000003</v>
      </c>
      <c r="T1599" s="10">
        <f t="shared" ref="T1599" si="855">S1599*R1599</f>
        <v>357.14</v>
      </c>
      <c r="U1599" s="10">
        <f t="shared" ref="U1599" si="856">T1599*1.12</f>
        <v>399.99680000000001</v>
      </c>
      <c r="V1599" s="1"/>
      <c r="W1599" s="1">
        <v>2015</v>
      </c>
      <c r="X1599" s="4"/>
    </row>
    <row r="1600" spans="1:24" s="23" customFormat="1" ht="76.5" customHeight="1" outlineLevel="1" x14ac:dyDescent="0.2">
      <c r="A1600" s="1" t="s">
        <v>2447</v>
      </c>
      <c r="B1600" s="16" t="s">
        <v>5277</v>
      </c>
      <c r="C1600" s="4" t="s">
        <v>1639</v>
      </c>
      <c r="D1600" s="4" t="s">
        <v>1637</v>
      </c>
      <c r="E1600" s="4" t="s">
        <v>1640</v>
      </c>
      <c r="F1600" s="4"/>
      <c r="G1600" s="4" t="s">
        <v>3190</v>
      </c>
      <c r="H1600" s="22">
        <v>0</v>
      </c>
      <c r="I1600" s="18">
        <v>710000000</v>
      </c>
      <c r="J1600" s="4" t="s">
        <v>1931</v>
      </c>
      <c r="K1600" s="4" t="s">
        <v>5706</v>
      </c>
      <c r="L1600" s="4" t="s">
        <v>1889</v>
      </c>
      <c r="M1600" s="8" t="s">
        <v>3195</v>
      </c>
      <c r="N1600" s="4" t="s">
        <v>1890</v>
      </c>
      <c r="O1600" s="8" t="s">
        <v>1935</v>
      </c>
      <c r="P1600" s="8">
        <v>796</v>
      </c>
      <c r="Q1600" s="8" t="s">
        <v>3196</v>
      </c>
      <c r="R1600" s="10">
        <v>50</v>
      </c>
      <c r="S1600" s="10">
        <v>8.0399999999999991</v>
      </c>
      <c r="T1600" s="10">
        <v>0</v>
      </c>
      <c r="U1600" s="10">
        <f t="shared" si="820"/>
        <v>0</v>
      </c>
      <c r="V1600" s="1"/>
      <c r="W1600" s="1">
        <v>2015</v>
      </c>
      <c r="X1600" s="4" t="s">
        <v>7597</v>
      </c>
    </row>
    <row r="1601" spans="1:24" s="23" customFormat="1" ht="76.5" customHeight="1" outlineLevel="1" x14ac:dyDescent="0.2">
      <c r="A1601" s="1" t="s">
        <v>8291</v>
      </c>
      <c r="B1601" s="16" t="s">
        <v>5277</v>
      </c>
      <c r="C1601" s="4" t="s">
        <v>1639</v>
      </c>
      <c r="D1601" s="4" t="s">
        <v>1637</v>
      </c>
      <c r="E1601" s="4" t="s">
        <v>1640</v>
      </c>
      <c r="F1601" s="4"/>
      <c r="G1601" s="4" t="s">
        <v>3190</v>
      </c>
      <c r="H1601" s="22">
        <v>0</v>
      </c>
      <c r="I1601" s="18">
        <v>710000000</v>
      </c>
      <c r="J1601" s="4" t="s">
        <v>1931</v>
      </c>
      <c r="K1601" s="4" t="s">
        <v>756</v>
      </c>
      <c r="L1601" s="4" t="s">
        <v>1889</v>
      </c>
      <c r="M1601" s="8" t="s">
        <v>3195</v>
      </c>
      <c r="N1601" s="4" t="s">
        <v>1890</v>
      </c>
      <c r="O1601" s="8" t="s">
        <v>1935</v>
      </c>
      <c r="P1601" s="8">
        <v>796</v>
      </c>
      <c r="Q1601" s="8" t="s">
        <v>3196</v>
      </c>
      <c r="R1601" s="10">
        <v>50</v>
      </c>
      <c r="S1601" s="10">
        <v>7.1428000000000003</v>
      </c>
      <c r="T1601" s="10">
        <f t="shared" ref="T1601" si="857">S1601*R1601</f>
        <v>357.14</v>
      </c>
      <c r="U1601" s="10">
        <f t="shared" ref="U1601" si="858">T1601*1.12</f>
        <v>399.99680000000001</v>
      </c>
      <c r="V1601" s="1"/>
      <c r="W1601" s="1">
        <v>2015</v>
      </c>
      <c r="X1601" s="4"/>
    </row>
    <row r="1602" spans="1:24" s="23" customFormat="1" ht="76.5" customHeight="1" outlineLevel="1" x14ac:dyDescent="0.2">
      <c r="A1602" s="1" t="s">
        <v>2448</v>
      </c>
      <c r="B1602" s="16" t="s">
        <v>5277</v>
      </c>
      <c r="C1602" s="4" t="s">
        <v>1641</v>
      </c>
      <c r="D1602" s="4" t="s">
        <v>1637</v>
      </c>
      <c r="E1602" s="4" t="s">
        <v>1642</v>
      </c>
      <c r="F1602" s="4"/>
      <c r="G1602" s="4" t="s">
        <v>3190</v>
      </c>
      <c r="H1602" s="22">
        <v>0</v>
      </c>
      <c r="I1602" s="18">
        <v>710000000</v>
      </c>
      <c r="J1602" s="4" t="s">
        <v>1931</v>
      </c>
      <c r="K1602" s="4" t="s">
        <v>5706</v>
      </c>
      <c r="L1602" s="4" t="s">
        <v>1889</v>
      </c>
      <c r="M1602" s="8" t="s">
        <v>3195</v>
      </c>
      <c r="N1602" s="4" t="s">
        <v>1890</v>
      </c>
      <c r="O1602" s="8" t="s">
        <v>1935</v>
      </c>
      <c r="P1602" s="8">
        <v>796</v>
      </c>
      <c r="Q1602" s="8" t="s">
        <v>3196</v>
      </c>
      <c r="R1602" s="10">
        <v>50</v>
      </c>
      <c r="S1602" s="10">
        <v>12.06</v>
      </c>
      <c r="T1602" s="10">
        <v>0</v>
      </c>
      <c r="U1602" s="10">
        <f t="shared" si="820"/>
        <v>0</v>
      </c>
      <c r="V1602" s="1"/>
      <c r="W1602" s="1">
        <v>2015</v>
      </c>
      <c r="X1602" s="4" t="s">
        <v>7597</v>
      </c>
    </row>
    <row r="1603" spans="1:24" s="23" customFormat="1" ht="76.5" customHeight="1" outlineLevel="1" x14ac:dyDescent="0.2">
      <c r="A1603" s="1" t="s">
        <v>8292</v>
      </c>
      <c r="B1603" s="16" t="s">
        <v>5277</v>
      </c>
      <c r="C1603" s="4" t="s">
        <v>1641</v>
      </c>
      <c r="D1603" s="4" t="s">
        <v>1637</v>
      </c>
      <c r="E1603" s="4" t="s">
        <v>1642</v>
      </c>
      <c r="F1603" s="4"/>
      <c r="G1603" s="4" t="s">
        <v>3190</v>
      </c>
      <c r="H1603" s="22">
        <v>0</v>
      </c>
      <c r="I1603" s="18">
        <v>710000000</v>
      </c>
      <c r="J1603" s="4" t="s">
        <v>1931</v>
      </c>
      <c r="K1603" s="4" t="s">
        <v>756</v>
      </c>
      <c r="L1603" s="4" t="s">
        <v>1889</v>
      </c>
      <c r="M1603" s="8" t="s">
        <v>3195</v>
      </c>
      <c r="N1603" s="4" t="s">
        <v>1890</v>
      </c>
      <c r="O1603" s="8" t="s">
        <v>1935</v>
      </c>
      <c r="P1603" s="8">
        <v>796</v>
      </c>
      <c r="Q1603" s="8" t="s">
        <v>3196</v>
      </c>
      <c r="R1603" s="10">
        <v>50</v>
      </c>
      <c r="S1603" s="10">
        <v>13.392799999999999</v>
      </c>
      <c r="T1603" s="10">
        <f t="shared" ref="T1603" si="859">S1603*R1603</f>
        <v>669.64</v>
      </c>
      <c r="U1603" s="10">
        <f t="shared" ref="U1603" si="860">T1603*1.12</f>
        <v>749.99680000000001</v>
      </c>
      <c r="V1603" s="1"/>
      <c r="W1603" s="1">
        <v>2015</v>
      </c>
      <c r="X1603" s="4"/>
    </row>
    <row r="1604" spans="1:24" s="23" customFormat="1" ht="102" customHeight="1" outlineLevel="1" x14ac:dyDescent="0.2">
      <c r="A1604" s="1" t="s">
        <v>2449</v>
      </c>
      <c r="B1604" s="16" t="s">
        <v>5277</v>
      </c>
      <c r="C1604" s="4" t="s">
        <v>3507</v>
      </c>
      <c r="D1604" s="4" t="s">
        <v>1643</v>
      </c>
      <c r="E1604" s="4" t="s">
        <v>5760</v>
      </c>
      <c r="F1604" s="4"/>
      <c r="G1604" s="4" t="s">
        <v>3190</v>
      </c>
      <c r="H1604" s="22">
        <v>0</v>
      </c>
      <c r="I1604" s="18">
        <v>710000000</v>
      </c>
      <c r="J1604" s="4" t="s">
        <v>1931</v>
      </c>
      <c r="K1604" s="4" t="s">
        <v>5706</v>
      </c>
      <c r="L1604" s="4" t="s">
        <v>1889</v>
      </c>
      <c r="M1604" s="8" t="s">
        <v>3195</v>
      </c>
      <c r="N1604" s="4" t="s">
        <v>1890</v>
      </c>
      <c r="O1604" s="8" t="s">
        <v>1935</v>
      </c>
      <c r="P1604" s="8">
        <v>796</v>
      </c>
      <c r="Q1604" s="8" t="s">
        <v>3196</v>
      </c>
      <c r="R1604" s="10">
        <v>2</v>
      </c>
      <c r="S1604" s="10">
        <v>4439.5</v>
      </c>
      <c r="T1604" s="10">
        <v>0</v>
      </c>
      <c r="U1604" s="10">
        <f t="shared" si="820"/>
        <v>0</v>
      </c>
      <c r="V1604" s="1"/>
      <c r="W1604" s="1">
        <v>2015</v>
      </c>
      <c r="X1604" s="4" t="s">
        <v>7597</v>
      </c>
    </row>
    <row r="1605" spans="1:24" s="23" customFormat="1" ht="102" customHeight="1" outlineLevel="1" x14ac:dyDescent="0.2">
      <c r="A1605" s="1" t="s">
        <v>8293</v>
      </c>
      <c r="B1605" s="16" t="s">
        <v>5277</v>
      </c>
      <c r="C1605" s="4" t="s">
        <v>3507</v>
      </c>
      <c r="D1605" s="4" t="s">
        <v>1643</v>
      </c>
      <c r="E1605" s="4" t="s">
        <v>5760</v>
      </c>
      <c r="F1605" s="4"/>
      <c r="G1605" s="4" t="s">
        <v>3190</v>
      </c>
      <c r="H1605" s="22">
        <v>0</v>
      </c>
      <c r="I1605" s="18">
        <v>710000000</v>
      </c>
      <c r="J1605" s="4" t="s">
        <v>1931</v>
      </c>
      <c r="K1605" s="4" t="s">
        <v>756</v>
      </c>
      <c r="L1605" s="4" t="s">
        <v>1889</v>
      </c>
      <c r="M1605" s="8" t="s">
        <v>3195</v>
      </c>
      <c r="N1605" s="4" t="s">
        <v>1890</v>
      </c>
      <c r="O1605" s="8" t="s">
        <v>1935</v>
      </c>
      <c r="P1605" s="8">
        <v>796</v>
      </c>
      <c r="Q1605" s="8" t="s">
        <v>3196</v>
      </c>
      <c r="R1605" s="10">
        <v>2</v>
      </c>
      <c r="S1605" s="10">
        <v>3108.9285</v>
      </c>
      <c r="T1605" s="10">
        <f t="shared" ref="T1605" si="861">S1605*R1605</f>
        <v>6217.857</v>
      </c>
      <c r="U1605" s="10">
        <f t="shared" ref="U1605" si="862">T1605*1.12</f>
        <v>6963.9998400000004</v>
      </c>
      <c r="V1605" s="1"/>
      <c r="W1605" s="1">
        <v>2015</v>
      </c>
      <c r="X1605" s="4"/>
    </row>
    <row r="1606" spans="1:24" s="23" customFormat="1" ht="76.5" customHeight="1" outlineLevel="1" x14ac:dyDescent="0.2">
      <c r="A1606" s="1" t="s">
        <v>2450</v>
      </c>
      <c r="B1606" s="16" t="s">
        <v>5277</v>
      </c>
      <c r="C1606" s="4" t="s">
        <v>3508</v>
      </c>
      <c r="D1606" s="4" t="s">
        <v>1644</v>
      </c>
      <c r="E1606" s="4" t="s">
        <v>5761</v>
      </c>
      <c r="F1606" s="4"/>
      <c r="G1606" s="4" t="s">
        <v>3190</v>
      </c>
      <c r="H1606" s="22">
        <v>0</v>
      </c>
      <c r="I1606" s="18">
        <v>710000000</v>
      </c>
      <c r="J1606" s="4" t="s">
        <v>1931</v>
      </c>
      <c r="K1606" s="4" t="s">
        <v>5706</v>
      </c>
      <c r="L1606" s="4" t="s">
        <v>1889</v>
      </c>
      <c r="M1606" s="8" t="s">
        <v>3195</v>
      </c>
      <c r="N1606" s="4" t="s">
        <v>1890</v>
      </c>
      <c r="O1606" s="8" t="s">
        <v>1935</v>
      </c>
      <c r="P1606" s="8">
        <v>796</v>
      </c>
      <c r="Q1606" s="8" t="s">
        <v>3196</v>
      </c>
      <c r="R1606" s="10">
        <v>50</v>
      </c>
      <c r="S1606" s="10">
        <v>82.14</v>
      </c>
      <c r="T1606" s="10">
        <v>0</v>
      </c>
      <c r="U1606" s="10">
        <f t="shared" si="820"/>
        <v>0</v>
      </c>
      <c r="V1606" s="1"/>
      <c r="W1606" s="1">
        <v>2015</v>
      </c>
      <c r="X1606" s="4" t="s">
        <v>7597</v>
      </c>
    </row>
    <row r="1607" spans="1:24" s="23" customFormat="1" ht="76.5" customHeight="1" outlineLevel="1" x14ac:dyDescent="0.2">
      <c r="A1607" s="1" t="s">
        <v>8294</v>
      </c>
      <c r="B1607" s="16" t="s">
        <v>5277</v>
      </c>
      <c r="C1607" s="4" t="s">
        <v>3508</v>
      </c>
      <c r="D1607" s="4" t="s">
        <v>1644</v>
      </c>
      <c r="E1607" s="4" t="s">
        <v>5761</v>
      </c>
      <c r="F1607" s="4"/>
      <c r="G1607" s="4" t="s">
        <v>3190</v>
      </c>
      <c r="H1607" s="22">
        <v>0</v>
      </c>
      <c r="I1607" s="18">
        <v>710000000</v>
      </c>
      <c r="J1607" s="4" t="s">
        <v>1931</v>
      </c>
      <c r="K1607" s="4" t="s">
        <v>756</v>
      </c>
      <c r="L1607" s="4" t="s">
        <v>1889</v>
      </c>
      <c r="M1607" s="8" t="s">
        <v>3195</v>
      </c>
      <c r="N1607" s="4" t="s">
        <v>1890</v>
      </c>
      <c r="O1607" s="8" t="s">
        <v>1935</v>
      </c>
      <c r="P1607" s="8">
        <v>796</v>
      </c>
      <c r="Q1607" s="8" t="s">
        <v>3196</v>
      </c>
      <c r="R1607" s="10">
        <v>50</v>
      </c>
      <c r="S1607" s="10">
        <v>108.03570000000001</v>
      </c>
      <c r="T1607" s="10">
        <f t="shared" ref="T1607" si="863">S1607*R1607</f>
        <v>5401.7849999999999</v>
      </c>
      <c r="U1607" s="10">
        <f t="shared" ref="U1607" si="864">T1607*1.12</f>
        <v>6049.9992000000002</v>
      </c>
      <c r="V1607" s="1"/>
      <c r="W1607" s="1">
        <v>2015</v>
      </c>
      <c r="X1607" s="4"/>
    </row>
    <row r="1608" spans="1:24" s="133" customFormat="1" ht="76.5" customHeight="1" outlineLevel="1" x14ac:dyDescent="0.2">
      <c r="A1608" s="1" t="s">
        <v>2451</v>
      </c>
      <c r="B1608" s="24" t="s">
        <v>5277</v>
      </c>
      <c r="C1608" s="4" t="s">
        <v>1848</v>
      </c>
      <c r="D1608" s="4" t="s">
        <v>6121</v>
      </c>
      <c r="E1608" s="4" t="s">
        <v>7606</v>
      </c>
      <c r="F1608" s="4"/>
      <c r="G1608" s="4" t="s">
        <v>1888</v>
      </c>
      <c r="H1608" s="22">
        <v>0</v>
      </c>
      <c r="I1608" s="4">
        <v>710000000</v>
      </c>
      <c r="J1608" s="4" t="s">
        <v>1931</v>
      </c>
      <c r="K1608" s="4" t="s">
        <v>5297</v>
      </c>
      <c r="L1608" s="7" t="s">
        <v>1940</v>
      </c>
      <c r="M1608" s="8" t="s">
        <v>3195</v>
      </c>
      <c r="N1608" s="4" t="s">
        <v>1890</v>
      </c>
      <c r="O1608" s="8" t="s">
        <v>1935</v>
      </c>
      <c r="P1608" s="8">
        <v>796</v>
      </c>
      <c r="Q1608" s="8" t="s">
        <v>3196</v>
      </c>
      <c r="R1608" s="10">
        <v>3048</v>
      </c>
      <c r="S1608" s="10">
        <v>57.14</v>
      </c>
      <c r="T1608" s="10">
        <f t="shared" ref="T1608:T1649" si="865">S1608*R1608</f>
        <v>174162.72</v>
      </c>
      <c r="U1608" s="10">
        <f t="shared" si="820"/>
        <v>195062.24640000003</v>
      </c>
      <c r="V1608" s="1"/>
      <c r="W1608" s="1">
        <v>2015</v>
      </c>
      <c r="X1608" s="20"/>
    </row>
    <row r="1609" spans="1:24" s="133" customFormat="1" ht="76.5" customHeight="1" outlineLevel="1" x14ac:dyDescent="0.2">
      <c r="A1609" s="1" t="s">
        <v>2452</v>
      </c>
      <c r="B1609" s="24" t="s">
        <v>5277</v>
      </c>
      <c r="C1609" s="4" t="s">
        <v>1868</v>
      </c>
      <c r="D1609" s="4" t="s">
        <v>6136</v>
      </c>
      <c r="E1609" s="4" t="s">
        <v>6137</v>
      </c>
      <c r="F1609" s="4" t="s">
        <v>829</v>
      </c>
      <c r="G1609" s="4" t="s">
        <v>1888</v>
      </c>
      <c r="H1609" s="22">
        <v>0</v>
      </c>
      <c r="I1609" s="4">
        <v>710000000</v>
      </c>
      <c r="J1609" s="4" t="s">
        <v>1931</v>
      </c>
      <c r="K1609" s="4" t="s">
        <v>5297</v>
      </c>
      <c r="L1609" s="7" t="s">
        <v>1940</v>
      </c>
      <c r="M1609" s="8" t="s">
        <v>3195</v>
      </c>
      <c r="N1609" s="4" t="s">
        <v>1890</v>
      </c>
      <c r="O1609" s="8" t="s">
        <v>1935</v>
      </c>
      <c r="P1609" s="8">
        <v>796</v>
      </c>
      <c r="Q1609" s="8" t="s">
        <v>3196</v>
      </c>
      <c r="R1609" s="10">
        <v>26</v>
      </c>
      <c r="S1609" s="10">
        <v>587</v>
      </c>
      <c r="T1609" s="10">
        <v>0</v>
      </c>
      <c r="U1609" s="10">
        <f t="shared" si="820"/>
        <v>0</v>
      </c>
      <c r="V1609" s="1"/>
      <c r="W1609" s="1">
        <v>2015</v>
      </c>
      <c r="X1609" s="20" t="s">
        <v>6562</v>
      </c>
    </row>
    <row r="1610" spans="1:24" s="133" customFormat="1" ht="76.5" customHeight="1" outlineLevel="1" x14ac:dyDescent="0.2">
      <c r="A1610" s="1" t="s">
        <v>6625</v>
      </c>
      <c r="B1610" s="24" t="s">
        <v>5277</v>
      </c>
      <c r="C1610" s="4" t="s">
        <v>1868</v>
      </c>
      <c r="D1610" s="4" t="s">
        <v>6136</v>
      </c>
      <c r="E1610" s="4" t="s">
        <v>6137</v>
      </c>
      <c r="F1610" s="4" t="s">
        <v>829</v>
      </c>
      <c r="G1610" s="4" t="s">
        <v>1888</v>
      </c>
      <c r="H1610" s="22">
        <v>0</v>
      </c>
      <c r="I1610" s="4">
        <v>710000000</v>
      </c>
      <c r="J1610" s="4" t="s">
        <v>1931</v>
      </c>
      <c r="K1610" s="4" t="s">
        <v>5297</v>
      </c>
      <c r="L1610" s="7" t="s">
        <v>1940</v>
      </c>
      <c r="M1610" s="8" t="s">
        <v>3195</v>
      </c>
      <c r="N1610" s="4" t="s">
        <v>1890</v>
      </c>
      <c r="O1610" s="8" t="s">
        <v>1935</v>
      </c>
      <c r="P1610" s="8">
        <v>796</v>
      </c>
      <c r="Q1610" s="8" t="s">
        <v>3196</v>
      </c>
      <c r="R1610" s="10">
        <f>26-6</f>
        <v>20</v>
      </c>
      <c r="S1610" s="10">
        <v>587</v>
      </c>
      <c r="T1610" s="10">
        <f t="shared" ref="T1610" si="866">S1610*R1610</f>
        <v>11740</v>
      </c>
      <c r="U1610" s="10">
        <f t="shared" si="820"/>
        <v>13148.800000000001</v>
      </c>
      <c r="V1610" s="1"/>
      <c r="W1610" s="1">
        <v>2015</v>
      </c>
      <c r="X1610" s="20"/>
    </row>
    <row r="1611" spans="1:24" s="133" customFormat="1" ht="76.5" customHeight="1" outlineLevel="1" x14ac:dyDescent="0.2">
      <c r="A1611" s="1" t="s">
        <v>2453</v>
      </c>
      <c r="B1611" s="24" t="s">
        <v>5277</v>
      </c>
      <c r="C1611" s="4" t="s">
        <v>1847</v>
      </c>
      <c r="D1611" s="4" t="s">
        <v>830</v>
      </c>
      <c r="E1611" s="4" t="s">
        <v>6120</v>
      </c>
      <c r="F1611" s="4"/>
      <c r="G1611" s="4" t="s">
        <v>1888</v>
      </c>
      <c r="H1611" s="22">
        <v>0</v>
      </c>
      <c r="I1611" s="4">
        <v>710000000</v>
      </c>
      <c r="J1611" s="4" t="s">
        <v>1931</v>
      </c>
      <c r="K1611" s="4" t="s">
        <v>5297</v>
      </c>
      <c r="L1611" s="7" t="s">
        <v>1940</v>
      </c>
      <c r="M1611" s="8" t="s">
        <v>3195</v>
      </c>
      <c r="N1611" s="4" t="s">
        <v>1890</v>
      </c>
      <c r="O1611" s="8" t="s">
        <v>1935</v>
      </c>
      <c r="P1611" s="8">
        <v>796</v>
      </c>
      <c r="Q1611" s="8" t="s">
        <v>3196</v>
      </c>
      <c r="R1611" s="10">
        <v>38</v>
      </c>
      <c r="S1611" s="10">
        <v>3317.86</v>
      </c>
      <c r="T1611" s="10">
        <f t="shared" si="865"/>
        <v>126078.68000000001</v>
      </c>
      <c r="U1611" s="10">
        <f t="shared" si="820"/>
        <v>141208.12160000001</v>
      </c>
      <c r="V1611" s="1"/>
      <c r="W1611" s="1">
        <v>2015</v>
      </c>
      <c r="X1611" s="20"/>
    </row>
    <row r="1612" spans="1:24" s="133" customFormat="1" ht="76.5" customHeight="1" outlineLevel="1" x14ac:dyDescent="0.2">
      <c r="A1612" s="1" t="s">
        <v>2454</v>
      </c>
      <c r="B1612" s="24" t="s">
        <v>5277</v>
      </c>
      <c r="C1612" s="4" t="s">
        <v>3547</v>
      </c>
      <c r="D1612" s="4" t="s">
        <v>6136</v>
      </c>
      <c r="E1612" s="4" t="s">
        <v>6155</v>
      </c>
      <c r="F1612" s="4"/>
      <c r="G1612" s="4" t="s">
        <v>1888</v>
      </c>
      <c r="H1612" s="22">
        <v>0</v>
      </c>
      <c r="I1612" s="4">
        <v>710000000</v>
      </c>
      <c r="J1612" s="4" t="s">
        <v>1931</v>
      </c>
      <c r="K1612" s="4" t="s">
        <v>5297</v>
      </c>
      <c r="L1612" s="7" t="s">
        <v>1940</v>
      </c>
      <c r="M1612" s="8" t="s">
        <v>3195</v>
      </c>
      <c r="N1612" s="4" t="s">
        <v>1890</v>
      </c>
      <c r="O1612" s="8" t="s">
        <v>1935</v>
      </c>
      <c r="P1612" s="8">
        <v>796</v>
      </c>
      <c r="Q1612" s="8" t="s">
        <v>3196</v>
      </c>
      <c r="R1612" s="10">
        <v>13</v>
      </c>
      <c r="S1612" s="10">
        <v>556.25</v>
      </c>
      <c r="T1612" s="10">
        <f t="shared" si="865"/>
        <v>7231.25</v>
      </c>
      <c r="U1612" s="10">
        <f t="shared" si="820"/>
        <v>8099.0000000000009</v>
      </c>
      <c r="V1612" s="1"/>
      <c r="W1612" s="1">
        <v>2015</v>
      </c>
      <c r="X1612" s="20"/>
    </row>
    <row r="1613" spans="1:24" s="133" customFormat="1" ht="76.5" customHeight="1" outlineLevel="1" x14ac:dyDescent="0.2">
      <c r="A1613" s="1" t="s">
        <v>2455</v>
      </c>
      <c r="B1613" s="24" t="s">
        <v>5277</v>
      </c>
      <c r="C1613" s="4" t="s">
        <v>1857</v>
      </c>
      <c r="D1613" s="4" t="s">
        <v>831</v>
      </c>
      <c r="E1613" s="4" t="s">
        <v>6129</v>
      </c>
      <c r="F1613" s="4"/>
      <c r="G1613" s="4" t="s">
        <v>1888</v>
      </c>
      <c r="H1613" s="22">
        <v>0</v>
      </c>
      <c r="I1613" s="4">
        <v>710000000</v>
      </c>
      <c r="J1613" s="4" t="s">
        <v>1931</v>
      </c>
      <c r="K1613" s="4" t="s">
        <v>5297</v>
      </c>
      <c r="L1613" s="7" t="s">
        <v>1940</v>
      </c>
      <c r="M1613" s="8" t="s">
        <v>3195</v>
      </c>
      <c r="N1613" s="4" t="s">
        <v>1890</v>
      </c>
      <c r="O1613" s="8" t="s">
        <v>1935</v>
      </c>
      <c r="P1613" s="8">
        <v>796</v>
      </c>
      <c r="Q1613" s="8" t="s">
        <v>3196</v>
      </c>
      <c r="R1613" s="10">
        <v>212</v>
      </c>
      <c r="S1613" s="10">
        <v>440.18</v>
      </c>
      <c r="T1613" s="10">
        <f t="shared" si="865"/>
        <v>93318.16</v>
      </c>
      <c r="U1613" s="10">
        <f t="shared" si="820"/>
        <v>104516.33920000002</v>
      </c>
      <c r="V1613" s="1"/>
      <c r="W1613" s="1">
        <v>2015</v>
      </c>
      <c r="X1613" s="20"/>
    </row>
    <row r="1614" spans="1:24" s="133" customFormat="1" ht="76.5" customHeight="1" outlineLevel="1" x14ac:dyDescent="0.2">
      <c r="A1614" s="1" t="s">
        <v>2456</v>
      </c>
      <c r="B1614" s="24" t="s">
        <v>5277</v>
      </c>
      <c r="C1614" s="4" t="s">
        <v>1854</v>
      </c>
      <c r="D1614" s="4" t="s">
        <v>831</v>
      </c>
      <c r="E1614" s="4" t="s">
        <v>6127</v>
      </c>
      <c r="F1614" s="4"/>
      <c r="G1614" s="4" t="s">
        <v>1888</v>
      </c>
      <c r="H1614" s="22">
        <v>0</v>
      </c>
      <c r="I1614" s="4">
        <v>710000000</v>
      </c>
      <c r="J1614" s="4" t="s">
        <v>1931</v>
      </c>
      <c r="K1614" s="4" t="s">
        <v>5297</v>
      </c>
      <c r="L1614" s="7" t="s">
        <v>1940</v>
      </c>
      <c r="M1614" s="8" t="s">
        <v>3195</v>
      </c>
      <c r="N1614" s="4" t="s">
        <v>1890</v>
      </c>
      <c r="O1614" s="8" t="s">
        <v>1935</v>
      </c>
      <c r="P1614" s="8">
        <v>796</v>
      </c>
      <c r="Q1614" s="8" t="s">
        <v>3196</v>
      </c>
      <c r="R1614" s="10">
        <v>120</v>
      </c>
      <c r="S1614" s="10">
        <v>339.29</v>
      </c>
      <c r="T1614" s="10">
        <f t="shared" si="865"/>
        <v>40714.800000000003</v>
      </c>
      <c r="U1614" s="10">
        <f t="shared" si="820"/>
        <v>45600.576000000008</v>
      </c>
      <c r="V1614" s="1"/>
      <c r="W1614" s="1">
        <v>2015</v>
      </c>
      <c r="X1614" s="20"/>
    </row>
    <row r="1615" spans="1:24" s="133" customFormat="1" ht="76.5" customHeight="1" outlineLevel="1" x14ac:dyDescent="0.2">
      <c r="A1615" s="1" t="s">
        <v>2457</v>
      </c>
      <c r="B1615" s="24" t="s">
        <v>5277</v>
      </c>
      <c r="C1615" s="4" t="s">
        <v>1845</v>
      </c>
      <c r="D1615" s="4" t="s">
        <v>6117</v>
      </c>
      <c r="E1615" s="4" t="s">
        <v>6118</v>
      </c>
      <c r="F1615" s="4"/>
      <c r="G1615" s="4" t="s">
        <v>1888</v>
      </c>
      <c r="H1615" s="22">
        <v>0</v>
      </c>
      <c r="I1615" s="4">
        <v>710000000</v>
      </c>
      <c r="J1615" s="4" t="s">
        <v>1931</v>
      </c>
      <c r="K1615" s="4" t="s">
        <v>5297</v>
      </c>
      <c r="L1615" s="7" t="s">
        <v>1940</v>
      </c>
      <c r="M1615" s="8" t="s">
        <v>3195</v>
      </c>
      <c r="N1615" s="4" t="s">
        <v>1890</v>
      </c>
      <c r="O1615" s="8" t="s">
        <v>1935</v>
      </c>
      <c r="P1615" s="8">
        <v>796</v>
      </c>
      <c r="Q1615" s="8" t="s">
        <v>3196</v>
      </c>
      <c r="R1615" s="10">
        <v>4</v>
      </c>
      <c r="S1615" s="10">
        <f>2454/1.12</f>
        <v>2191.0714285714284</v>
      </c>
      <c r="T1615" s="10">
        <f t="shared" si="865"/>
        <v>8764.2857142857138</v>
      </c>
      <c r="U1615" s="10">
        <f t="shared" si="820"/>
        <v>9816</v>
      </c>
      <c r="V1615" s="1"/>
      <c r="W1615" s="1">
        <v>2015</v>
      </c>
      <c r="X1615" s="20"/>
    </row>
    <row r="1616" spans="1:24" s="133" customFormat="1" ht="76.5" customHeight="1" outlineLevel="1" x14ac:dyDescent="0.2">
      <c r="A1616" s="1" t="s">
        <v>2458</v>
      </c>
      <c r="B1616" s="24" t="s">
        <v>5277</v>
      </c>
      <c r="C1616" s="4" t="s">
        <v>1846</v>
      </c>
      <c r="D1616" s="4" t="s">
        <v>831</v>
      </c>
      <c r="E1616" s="4" t="s">
        <v>6119</v>
      </c>
      <c r="F1616" s="4"/>
      <c r="G1616" s="4" t="s">
        <v>1888</v>
      </c>
      <c r="H1616" s="22">
        <v>0</v>
      </c>
      <c r="I1616" s="4">
        <v>710000000</v>
      </c>
      <c r="J1616" s="4" t="s">
        <v>1931</v>
      </c>
      <c r="K1616" s="4" t="s">
        <v>5297</v>
      </c>
      <c r="L1616" s="7" t="s">
        <v>1940</v>
      </c>
      <c r="M1616" s="8" t="s">
        <v>3195</v>
      </c>
      <c r="N1616" s="4" t="s">
        <v>1890</v>
      </c>
      <c r="O1616" s="8" t="s">
        <v>1935</v>
      </c>
      <c r="P1616" s="8">
        <v>796</v>
      </c>
      <c r="Q1616" s="8" t="s">
        <v>3196</v>
      </c>
      <c r="R1616" s="10">
        <v>6941</v>
      </c>
      <c r="S1616" s="10">
        <f>346/1.12</f>
        <v>308.92857142857139</v>
      </c>
      <c r="T1616" s="10">
        <f t="shared" si="865"/>
        <v>2144273.2142857141</v>
      </c>
      <c r="U1616" s="10">
        <f t="shared" si="820"/>
        <v>2401586</v>
      </c>
      <c r="V1616" s="1"/>
      <c r="W1616" s="1">
        <v>2015</v>
      </c>
      <c r="X1616" s="20"/>
    </row>
    <row r="1617" spans="1:24" s="133" customFormat="1" ht="76.5" customHeight="1" outlineLevel="1" x14ac:dyDescent="0.2">
      <c r="A1617" s="1" t="s">
        <v>2459</v>
      </c>
      <c r="B1617" s="24" t="s">
        <v>5277</v>
      </c>
      <c r="C1617" s="4" t="s">
        <v>1849</v>
      </c>
      <c r="D1617" s="4" t="s">
        <v>3250</v>
      </c>
      <c r="E1617" s="4" t="s">
        <v>6122</v>
      </c>
      <c r="F1617" s="4" t="s">
        <v>832</v>
      </c>
      <c r="G1617" s="4" t="s">
        <v>1888</v>
      </c>
      <c r="H1617" s="22">
        <v>0</v>
      </c>
      <c r="I1617" s="4">
        <v>710000000</v>
      </c>
      <c r="J1617" s="4" t="s">
        <v>1931</v>
      </c>
      <c r="K1617" s="4" t="s">
        <v>5297</v>
      </c>
      <c r="L1617" s="7" t="s">
        <v>1940</v>
      </c>
      <c r="M1617" s="8" t="s">
        <v>3195</v>
      </c>
      <c r="N1617" s="4" t="s">
        <v>1890</v>
      </c>
      <c r="O1617" s="8" t="s">
        <v>1935</v>
      </c>
      <c r="P1617" s="8">
        <v>796</v>
      </c>
      <c r="Q1617" s="8" t="s">
        <v>3196</v>
      </c>
      <c r="R1617" s="10">
        <f>10679+6060</f>
        <v>16739</v>
      </c>
      <c r="S1617" s="10">
        <f>66/1.12</f>
        <v>58.928571428571423</v>
      </c>
      <c r="T1617" s="10">
        <v>0</v>
      </c>
      <c r="U1617" s="10">
        <f t="shared" si="820"/>
        <v>0</v>
      </c>
      <c r="V1617" s="1"/>
      <c r="W1617" s="1">
        <v>2015</v>
      </c>
      <c r="X1617" s="1" t="s">
        <v>6562</v>
      </c>
    </row>
    <row r="1618" spans="1:24" s="133" customFormat="1" ht="76.5" customHeight="1" outlineLevel="1" x14ac:dyDescent="0.2">
      <c r="A1618" s="1" t="s">
        <v>6626</v>
      </c>
      <c r="B1618" s="24" t="s">
        <v>5277</v>
      </c>
      <c r="C1618" s="4" t="s">
        <v>1849</v>
      </c>
      <c r="D1618" s="4" t="s">
        <v>3250</v>
      </c>
      <c r="E1618" s="4" t="s">
        <v>6122</v>
      </c>
      <c r="F1618" s="4" t="s">
        <v>832</v>
      </c>
      <c r="G1618" s="4" t="s">
        <v>1888</v>
      </c>
      <c r="H1618" s="22">
        <v>0</v>
      </c>
      <c r="I1618" s="4">
        <v>710000000</v>
      </c>
      <c r="J1618" s="4" t="s">
        <v>1931</v>
      </c>
      <c r="K1618" s="4" t="s">
        <v>5297</v>
      </c>
      <c r="L1618" s="7" t="s">
        <v>1940</v>
      </c>
      <c r="M1618" s="8" t="s">
        <v>3195</v>
      </c>
      <c r="N1618" s="4" t="s">
        <v>1890</v>
      </c>
      <c r="O1618" s="8" t="s">
        <v>1935</v>
      </c>
      <c r="P1618" s="8">
        <v>796</v>
      </c>
      <c r="Q1618" s="8" t="s">
        <v>3196</v>
      </c>
      <c r="R1618" s="10">
        <f>16739-1000</f>
        <v>15739</v>
      </c>
      <c r="S1618" s="10">
        <f>66/1.12</f>
        <v>58.928571428571423</v>
      </c>
      <c r="T1618" s="10">
        <f t="shared" ref="T1618" si="867">S1618*R1618</f>
        <v>927476.78571428568</v>
      </c>
      <c r="U1618" s="10">
        <f t="shared" si="820"/>
        <v>1038774.0000000001</v>
      </c>
      <c r="V1618" s="1"/>
      <c r="W1618" s="1">
        <v>2015</v>
      </c>
      <c r="X1618" s="1"/>
    </row>
    <row r="1619" spans="1:24" s="133" customFormat="1" ht="76.5" customHeight="1" outlineLevel="1" x14ac:dyDescent="0.2">
      <c r="A1619" s="1" t="s">
        <v>2460</v>
      </c>
      <c r="B1619" s="24" t="s">
        <v>5277</v>
      </c>
      <c r="C1619" s="4" t="s">
        <v>1850</v>
      </c>
      <c r="D1619" s="4" t="s">
        <v>3250</v>
      </c>
      <c r="E1619" s="4" t="s">
        <v>6123</v>
      </c>
      <c r="F1619" s="4" t="s">
        <v>833</v>
      </c>
      <c r="G1619" s="4" t="s">
        <v>1888</v>
      </c>
      <c r="H1619" s="22">
        <v>0</v>
      </c>
      <c r="I1619" s="4">
        <v>710000000</v>
      </c>
      <c r="J1619" s="4" t="s">
        <v>1931</v>
      </c>
      <c r="K1619" s="4" t="s">
        <v>5297</v>
      </c>
      <c r="L1619" s="7" t="s">
        <v>1940</v>
      </c>
      <c r="M1619" s="8" t="s">
        <v>3195</v>
      </c>
      <c r="N1619" s="4" t="s">
        <v>1890</v>
      </c>
      <c r="O1619" s="8" t="s">
        <v>1935</v>
      </c>
      <c r="P1619" s="8">
        <v>796</v>
      </c>
      <c r="Q1619" s="8" t="s">
        <v>3196</v>
      </c>
      <c r="R1619" s="10">
        <f>769+754</f>
        <v>1523</v>
      </c>
      <c r="S1619" s="10">
        <f>70/1.12</f>
        <v>62.499999999999993</v>
      </c>
      <c r="T1619" s="10">
        <v>0</v>
      </c>
      <c r="U1619" s="10">
        <f t="shared" si="820"/>
        <v>0</v>
      </c>
      <c r="V1619" s="1"/>
      <c r="W1619" s="1">
        <v>2015</v>
      </c>
      <c r="X1619" s="1" t="s">
        <v>6562</v>
      </c>
    </row>
    <row r="1620" spans="1:24" s="133" customFormat="1" ht="76.5" customHeight="1" outlineLevel="1" x14ac:dyDescent="0.2">
      <c r="A1620" s="1" t="s">
        <v>6627</v>
      </c>
      <c r="B1620" s="24" t="s">
        <v>5277</v>
      </c>
      <c r="C1620" s="4" t="s">
        <v>1850</v>
      </c>
      <c r="D1620" s="4" t="s">
        <v>3250</v>
      </c>
      <c r="E1620" s="4" t="s">
        <v>6123</v>
      </c>
      <c r="F1620" s="4" t="s">
        <v>833</v>
      </c>
      <c r="G1620" s="4" t="s">
        <v>1888</v>
      </c>
      <c r="H1620" s="22">
        <v>0</v>
      </c>
      <c r="I1620" s="4">
        <v>710000000</v>
      </c>
      <c r="J1620" s="4" t="s">
        <v>1931</v>
      </c>
      <c r="K1620" s="4" t="s">
        <v>5297</v>
      </c>
      <c r="L1620" s="7" t="s">
        <v>1940</v>
      </c>
      <c r="M1620" s="8" t="s">
        <v>3195</v>
      </c>
      <c r="N1620" s="4" t="s">
        <v>1890</v>
      </c>
      <c r="O1620" s="8" t="s">
        <v>1935</v>
      </c>
      <c r="P1620" s="8">
        <v>796</v>
      </c>
      <c r="Q1620" s="8" t="s">
        <v>3196</v>
      </c>
      <c r="R1620" s="10">
        <f>1523-209</f>
        <v>1314</v>
      </c>
      <c r="S1620" s="10">
        <f>70/1.12</f>
        <v>62.499999999999993</v>
      </c>
      <c r="T1620" s="10">
        <f t="shared" ref="T1620" si="868">S1620*R1620</f>
        <v>82124.999999999985</v>
      </c>
      <c r="U1620" s="10">
        <f t="shared" si="820"/>
        <v>91979.999999999985</v>
      </c>
      <c r="V1620" s="1"/>
      <c r="W1620" s="1">
        <v>2015</v>
      </c>
      <c r="X1620" s="20"/>
    </row>
    <row r="1621" spans="1:24" s="133" customFormat="1" ht="76.5" customHeight="1" outlineLevel="1" x14ac:dyDescent="0.2">
      <c r="A1621" s="1" t="s">
        <v>2461</v>
      </c>
      <c r="B1621" s="24" t="s">
        <v>5277</v>
      </c>
      <c r="C1621" s="4" t="s">
        <v>1851</v>
      </c>
      <c r="D1621" s="4" t="s">
        <v>831</v>
      </c>
      <c r="E1621" s="4" t="s">
        <v>6124</v>
      </c>
      <c r="F1621" s="4"/>
      <c r="G1621" s="4" t="s">
        <v>1888</v>
      </c>
      <c r="H1621" s="22">
        <v>0</v>
      </c>
      <c r="I1621" s="4">
        <v>710000000</v>
      </c>
      <c r="J1621" s="4" t="s">
        <v>1931</v>
      </c>
      <c r="K1621" s="4" t="s">
        <v>5297</v>
      </c>
      <c r="L1621" s="7" t="s">
        <v>1940</v>
      </c>
      <c r="M1621" s="8" t="s">
        <v>3195</v>
      </c>
      <c r="N1621" s="4" t="s">
        <v>1890</v>
      </c>
      <c r="O1621" s="8" t="s">
        <v>1935</v>
      </c>
      <c r="P1621" s="8">
        <v>796</v>
      </c>
      <c r="Q1621" s="8" t="s">
        <v>3196</v>
      </c>
      <c r="R1621" s="10">
        <v>431</v>
      </c>
      <c r="S1621" s="10">
        <f>275/1.12</f>
        <v>245.53571428571425</v>
      </c>
      <c r="T1621" s="10">
        <f t="shared" si="865"/>
        <v>105825.89285714284</v>
      </c>
      <c r="U1621" s="10">
        <f t="shared" si="820"/>
        <v>118524.99999999999</v>
      </c>
      <c r="V1621" s="1"/>
      <c r="W1621" s="1">
        <v>2015</v>
      </c>
      <c r="X1621" s="20"/>
    </row>
    <row r="1622" spans="1:24" s="133" customFormat="1" ht="76.5" customHeight="1" outlineLevel="1" x14ac:dyDescent="0.2">
      <c r="A1622" s="1" t="s">
        <v>2462</v>
      </c>
      <c r="B1622" s="24" t="s">
        <v>5277</v>
      </c>
      <c r="C1622" s="4" t="s">
        <v>1858</v>
      </c>
      <c r="D1622" s="4" t="s">
        <v>831</v>
      </c>
      <c r="E1622" s="4" t="s">
        <v>6130</v>
      </c>
      <c r="F1622" s="4" t="s">
        <v>834</v>
      </c>
      <c r="G1622" s="4" t="s">
        <v>1888</v>
      </c>
      <c r="H1622" s="22">
        <v>0</v>
      </c>
      <c r="I1622" s="4">
        <v>710000000</v>
      </c>
      <c r="J1622" s="4" t="s">
        <v>1931</v>
      </c>
      <c r="K1622" s="4" t="s">
        <v>5297</v>
      </c>
      <c r="L1622" s="7" t="s">
        <v>1940</v>
      </c>
      <c r="M1622" s="8" t="s">
        <v>3195</v>
      </c>
      <c r="N1622" s="4" t="s">
        <v>1890</v>
      </c>
      <c r="O1622" s="8" t="s">
        <v>1935</v>
      </c>
      <c r="P1622" s="8">
        <v>796</v>
      </c>
      <c r="Q1622" s="8" t="s">
        <v>3196</v>
      </c>
      <c r="R1622" s="10">
        <v>508</v>
      </c>
      <c r="S1622" s="10">
        <f>458/1.12</f>
        <v>408.92857142857139</v>
      </c>
      <c r="T1622" s="10">
        <f t="shared" si="865"/>
        <v>207735.71428571426</v>
      </c>
      <c r="U1622" s="10">
        <f t="shared" si="820"/>
        <v>232664</v>
      </c>
      <c r="V1622" s="1"/>
      <c r="W1622" s="1">
        <v>2015</v>
      </c>
      <c r="X1622" s="20"/>
    </row>
    <row r="1623" spans="1:24" s="133" customFormat="1" ht="76.5" customHeight="1" outlineLevel="1" x14ac:dyDescent="0.2">
      <c r="A1623" s="1" t="s">
        <v>2463</v>
      </c>
      <c r="B1623" s="24" t="s">
        <v>5277</v>
      </c>
      <c r="C1623" s="4" t="s">
        <v>1859</v>
      </c>
      <c r="D1623" s="4" t="s">
        <v>831</v>
      </c>
      <c r="E1623" s="4" t="s">
        <v>6131</v>
      </c>
      <c r="F1623" s="4" t="s">
        <v>835</v>
      </c>
      <c r="G1623" s="4" t="s">
        <v>1888</v>
      </c>
      <c r="H1623" s="22">
        <v>0</v>
      </c>
      <c r="I1623" s="4">
        <v>710000000</v>
      </c>
      <c r="J1623" s="4" t="s">
        <v>1931</v>
      </c>
      <c r="K1623" s="4" t="s">
        <v>5297</v>
      </c>
      <c r="L1623" s="7" t="s">
        <v>1940</v>
      </c>
      <c r="M1623" s="8" t="s">
        <v>3195</v>
      </c>
      <c r="N1623" s="4" t="s">
        <v>1890</v>
      </c>
      <c r="O1623" s="8" t="s">
        <v>1935</v>
      </c>
      <c r="P1623" s="8">
        <v>796</v>
      </c>
      <c r="Q1623" s="8" t="s">
        <v>3196</v>
      </c>
      <c r="R1623" s="10">
        <v>488</v>
      </c>
      <c r="S1623" s="10">
        <f>690/1.12</f>
        <v>616.07142857142856</v>
      </c>
      <c r="T1623" s="10">
        <f t="shared" si="865"/>
        <v>300642.85714285716</v>
      </c>
      <c r="U1623" s="10">
        <f t="shared" si="820"/>
        <v>336720.00000000006</v>
      </c>
      <c r="V1623" s="1"/>
      <c r="W1623" s="1">
        <v>2015</v>
      </c>
      <c r="X1623" s="20"/>
    </row>
    <row r="1624" spans="1:24" s="133" customFormat="1" ht="76.5" customHeight="1" outlineLevel="1" x14ac:dyDescent="0.2">
      <c r="A1624" s="1" t="s">
        <v>2464</v>
      </c>
      <c r="B1624" s="24" t="s">
        <v>5277</v>
      </c>
      <c r="C1624" s="4" t="s">
        <v>1873</v>
      </c>
      <c r="D1624" s="4" t="s">
        <v>830</v>
      </c>
      <c r="E1624" s="4" t="s">
        <v>6141</v>
      </c>
      <c r="F1624" s="4"/>
      <c r="G1624" s="4" t="s">
        <v>1888</v>
      </c>
      <c r="H1624" s="22">
        <v>0</v>
      </c>
      <c r="I1624" s="4">
        <v>710000000</v>
      </c>
      <c r="J1624" s="4" t="s">
        <v>1931</v>
      </c>
      <c r="K1624" s="4" t="s">
        <v>5297</v>
      </c>
      <c r="L1624" s="7" t="s">
        <v>1940</v>
      </c>
      <c r="M1624" s="8" t="s">
        <v>3195</v>
      </c>
      <c r="N1624" s="4" t="s">
        <v>1890</v>
      </c>
      <c r="O1624" s="8" t="s">
        <v>1935</v>
      </c>
      <c r="P1624" s="8">
        <v>796</v>
      </c>
      <c r="Q1624" s="8" t="s">
        <v>3196</v>
      </c>
      <c r="R1624" s="10">
        <v>1015</v>
      </c>
      <c r="S1624" s="10">
        <f>171/1.12</f>
        <v>152.67857142857142</v>
      </c>
      <c r="T1624" s="10">
        <f t="shared" si="865"/>
        <v>154968.75</v>
      </c>
      <c r="U1624" s="10">
        <f t="shared" si="820"/>
        <v>173565.00000000003</v>
      </c>
      <c r="V1624" s="1"/>
      <c r="W1624" s="1">
        <v>2015</v>
      </c>
      <c r="X1624" s="20"/>
    </row>
    <row r="1625" spans="1:24" s="133" customFormat="1" ht="76.5" customHeight="1" outlineLevel="1" x14ac:dyDescent="0.2">
      <c r="A1625" s="1" t="s">
        <v>2465</v>
      </c>
      <c r="B1625" s="24" t="s">
        <v>5277</v>
      </c>
      <c r="C1625" s="4" t="s">
        <v>836</v>
      </c>
      <c r="D1625" s="4" t="s">
        <v>837</v>
      </c>
      <c r="E1625" s="4" t="s">
        <v>838</v>
      </c>
      <c r="F1625" s="4"/>
      <c r="G1625" s="4" t="s">
        <v>1888</v>
      </c>
      <c r="H1625" s="22">
        <v>0</v>
      </c>
      <c r="I1625" s="4">
        <v>710000000</v>
      </c>
      <c r="J1625" s="4" t="s">
        <v>1931</v>
      </c>
      <c r="K1625" s="4" t="s">
        <v>5297</v>
      </c>
      <c r="L1625" s="7" t="s">
        <v>1940</v>
      </c>
      <c r="M1625" s="8" t="s">
        <v>3195</v>
      </c>
      <c r="N1625" s="4" t="s">
        <v>1890</v>
      </c>
      <c r="O1625" s="8" t="s">
        <v>1935</v>
      </c>
      <c r="P1625" s="8">
        <v>796</v>
      </c>
      <c r="Q1625" s="8" t="s">
        <v>3196</v>
      </c>
      <c r="R1625" s="10">
        <v>421</v>
      </c>
      <c r="S1625" s="10">
        <f>733/1.12</f>
        <v>654.46428571428567</v>
      </c>
      <c r="T1625" s="10">
        <f t="shared" si="865"/>
        <v>275529.46428571426</v>
      </c>
      <c r="U1625" s="10">
        <f t="shared" si="820"/>
        <v>308593</v>
      </c>
      <c r="V1625" s="1"/>
      <c r="W1625" s="1">
        <v>2015</v>
      </c>
      <c r="X1625" s="20"/>
    </row>
    <row r="1626" spans="1:24" s="133" customFormat="1" ht="76.5" customHeight="1" outlineLevel="1" x14ac:dyDescent="0.2">
      <c r="A1626" s="1" t="s">
        <v>2466</v>
      </c>
      <c r="B1626" s="24" t="s">
        <v>5277</v>
      </c>
      <c r="C1626" s="4" t="s">
        <v>839</v>
      </c>
      <c r="D1626" s="4" t="s">
        <v>837</v>
      </c>
      <c r="E1626" s="4" t="s">
        <v>840</v>
      </c>
      <c r="F1626" s="4" t="s">
        <v>841</v>
      </c>
      <c r="G1626" s="4" t="s">
        <v>1888</v>
      </c>
      <c r="H1626" s="22">
        <v>0</v>
      </c>
      <c r="I1626" s="4">
        <v>710000000</v>
      </c>
      <c r="J1626" s="4" t="s">
        <v>1931</v>
      </c>
      <c r="K1626" s="4" t="s">
        <v>5297</v>
      </c>
      <c r="L1626" s="7" t="s">
        <v>1940</v>
      </c>
      <c r="M1626" s="8" t="s">
        <v>3195</v>
      </c>
      <c r="N1626" s="4" t="s">
        <v>1890</v>
      </c>
      <c r="O1626" s="8" t="s">
        <v>1935</v>
      </c>
      <c r="P1626" s="8">
        <v>796</v>
      </c>
      <c r="Q1626" s="8" t="s">
        <v>3196</v>
      </c>
      <c r="R1626" s="10">
        <v>286</v>
      </c>
      <c r="S1626" s="10">
        <f>164/1.12</f>
        <v>146.42857142857142</v>
      </c>
      <c r="T1626" s="10">
        <f t="shared" si="865"/>
        <v>41878.571428571428</v>
      </c>
      <c r="U1626" s="10">
        <f t="shared" si="820"/>
        <v>46904</v>
      </c>
      <c r="V1626" s="1"/>
      <c r="W1626" s="1">
        <v>2015</v>
      </c>
      <c r="X1626" s="20"/>
    </row>
    <row r="1627" spans="1:24" s="133" customFormat="1" ht="76.5" customHeight="1" outlineLevel="1" x14ac:dyDescent="0.2">
      <c r="A1627" s="1" t="s">
        <v>2467</v>
      </c>
      <c r="B1627" s="24" t="s">
        <v>5277</v>
      </c>
      <c r="C1627" s="4" t="s">
        <v>842</v>
      </c>
      <c r="D1627" s="4" t="s">
        <v>837</v>
      </c>
      <c r="E1627" s="4" t="s">
        <v>843</v>
      </c>
      <c r="F1627" s="4"/>
      <c r="G1627" s="4" t="s">
        <v>1888</v>
      </c>
      <c r="H1627" s="22">
        <v>0</v>
      </c>
      <c r="I1627" s="4">
        <v>710000000</v>
      </c>
      <c r="J1627" s="4" t="s">
        <v>1931</v>
      </c>
      <c r="K1627" s="4" t="s">
        <v>5297</v>
      </c>
      <c r="L1627" s="7" t="s">
        <v>1940</v>
      </c>
      <c r="M1627" s="8" t="s">
        <v>3195</v>
      </c>
      <c r="N1627" s="4" t="s">
        <v>1890</v>
      </c>
      <c r="O1627" s="8" t="s">
        <v>1935</v>
      </c>
      <c r="P1627" s="8">
        <v>796</v>
      </c>
      <c r="Q1627" s="8" t="s">
        <v>3196</v>
      </c>
      <c r="R1627" s="10">
        <v>263</v>
      </c>
      <c r="S1627" s="10">
        <f>610/1.12</f>
        <v>544.64285714285711</v>
      </c>
      <c r="T1627" s="10">
        <f t="shared" si="865"/>
        <v>143241.07142857142</v>
      </c>
      <c r="U1627" s="10">
        <f t="shared" si="820"/>
        <v>160430</v>
      </c>
      <c r="V1627" s="1"/>
      <c r="W1627" s="1">
        <v>2015</v>
      </c>
      <c r="X1627" s="20"/>
    </row>
    <row r="1628" spans="1:24" s="133" customFormat="1" ht="76.5" customHeight="1" outlineLevel="1" x14ac:dyDescent="0.2">
      <c r="A1628" s="1" t="s">
        <v>2468</v>
      </c>
      <c r="B1628" s="24" t="s">
        <v>5277</v>
      </c>
      <c r="C1628" s="4" t="s">
        <v>844</v>
      </c>
      <c r="D1628" s="4" t="s">
        <v>837</v>
      </c>
      <c r="E1628" s="4" t="s">
        <v>845</v>
      </c>
      <c r="F1628" s="4"/>
      <c r="G1628" s="4" t="s">
        <v>1888</v>
      </c>
      <c r="H1628" s="22">
        <v>0</v>
      </c>
      <c r="I1628" s="4">
        <v>710000000</v>
      </c>
      <c r="J1628" s="4" t="s">
        <v>1931</v>
      </c>
      <c r="K1628" s="4" t="s">
        <v>5297</v>
      </c>
      <c r="L1628" s="7" t="s">
        <v>1940</v>
      </c>
      <c r="M1628" s="8" t="s">
        <v>3195</v>
      </c>
      <c r="N1628" s="4" t="s">
        <v>1890</v>
      </c>
      <c r="O1628" s="8" t="s">
        <v>1935</v>
      </c>
      <c r="P1628" s="8">
        <v>796</v>
      </c>
      <c r="Q1628" s="8" t="s">
        <v>3196</v>
      </c>
      <c r="R1628" s="10">
        <v>96</v>
      </c>
      <c r="S1628" s="10">
        <f>519/1.12</f>
        <v>463.39285714285711</v>
      </c>
      <c r="T1628" s="10">
        <f t="shared" si="865"/>
        <v>44485.714285714283</v>
      </c>
      <c r="U1628" s="10">
        <f t="shared" si="820"/>
        <v>49824</v>
      </c>
      <c r="V1628" s="1"/>
      <c r="W1628" s="1">
        <v>2015</v>
      </c>
      <c r="X1628" s="20"/>
    </row>
    <row r="1629" spans="1:24" s="133" customFormat="1" ht="76.5" customHeight="1" outlineLevel="1" x14ac:dyDescent="0.2">
      <c r="A1629" s="1" t="s">
        <v>2469</v>
      </c>
      <c r="B1629" s="24" t="s">
        <v>5277</v>
      </c>
      <c r="C1629" s="4" t="s">
        <v>1866</v>
      </c>
      <c r="D1629" s="4" t="s">
        <v>1867</v>
      </c>
      <c r="E1629" s="4" t="s">
        <v>6135</v>
      </c>
      <c r="F1629" s="4" t="s">
        <v>846</v>
      </c>
      <c r="G1629" s="4" t="s">
        <v>1888</v>
      </c>
      <c r="H1629" s="22">
        <v>0</v>
      </c>
      <c r="I1629" s="4">
        <v>710000000</v>
      </c>
      <c r="J1629" s="4" t="s">
        <v>1931</v>
      </c>
      <c r="K1629" s="4" t="s">
        <v>5297</v>
      </c>
      <c r="L1629" s="7" t="s">
        <v>1940</v>
      </c>
      <c r="M1629" s="8" t="s">
        <v>3195</v>
      </c>
      <c r="N1629" s="4" t="s">
        <v>1890</v>
      </c>
      <c r="O1629" s="8" t="s">
        <v>1935</v>
      </c>
      <c r="P1629" s="8">
        <v>796</v>
      </c>
      <c r="Q1629" s="8" t="s">
        <v>3196</v>
      </c>
      <c r="R1629" s="10">
        <v>214</v>
      </c>
      <c r="S1629" s="10">
        <v>936</v>
      </c>
      <c r="T1629" s="10">
        <f t="shared" si="865"/>
        <v>200304</v>
      </c>
      <c r="U1629" s="10">
        <f t="shared" si="820"/>
        <v>224340.48000000001</v>
      </c>
      <c r="V1629" s="1"/>
      <c r="W1629" s="1">
        <v>2015</v>
      </c>
      <c r="X1629" s="20"/>
    </row>
    <row r="1630" spans="1:24" s="133" customFormat="1" ht="76.5" customHeight="1" outlineLevel="1" x14ac:dyDescent="0.2">
      <c r="A1630" s="1" t="s">
        <v>2470</v>
      </c>
      <c r="B1630" s="24" t="s">
        <v>5277</v>
      </c>
      <c r="C1630" s="4" t="s">
        <v>1866</v>
      </c>
      <c r="D1630" s="4" t="s">
        <v>1867</v>
      </c>
      <c r="E1630" s="4" t="s">
        <v>6135</v>
      </c>
      <c r="F1630" s="4" t="s">
        <v>847</v>
      </c>
      <c r="G1630" s="4" t="s">
        <v>1888</v>
      </c>
      <c r="H1630" s="22">
        <v>0</v>
      </c>
      <c r="I1630" s="4">
        <v>710000000</v>
      </c>
      <c r="J1630" s="4" t="s">
        <v>1931</v>
      </c>
      <c r="K1630" s="4" t="s">
        <v>5297</v>
      </c>
      <c r="L1630" s="7" t="s">
        <v>1940</v>
      </c>
      <c r="M1630" s="8" t="s">
        <v>3195</v>
      </c>
      <c r="N1630" s="4" t="s">
        <v>1890</v>
      </c>
      <c r="O1630" s="8" t="s">
        <v>1935</v>
      </c>
      <c r="P1630" s="8">
        <v>796</v>
      </c>
      <c r="Q1630" s="8" t="s">
        <v>3196</v>
      </c>
      <c r="R1630" s="10">
        <v>15</v>
      </c>
      <c r="S1630" s="10">
        <f>910/1.12</f>
        <v>812.49999999999989</v>
      </c>
      <c r="T1630" s="10">
        <f t="shared" si="865"/>
        <v>12187.499999999998</v>
      </c>
      <c r="U1630" s="10">
        <f t="shared" si="820"/>
        <v>13650</v>
      </c>
      <c r="V1630" s="1"/>
      <c r="W1630" s="1">
        <v>2015</v>
      </c>
      <c r="X1630" s="20"/>
    </row>
    <row r="1631" spans="1:24" s="133" customFormat="1" ht="76.5" customHeight="1" outlineLevel="1" x14ac:dyDescent="0.2">
      <c r="A1631" s="1" t="s">
        <v>2471</v>
      </c>
      <c r="B1631" s="24" t="s">
        <v>5277</v>
      </c>
      <c r="C1631" s="4" t="s">
        <v>848</v>
      </c>
      <c r="D1631" s="4" t="s">
        <v>6132</v>
      </c>
      <c r="E1631" s="4" t="s">
        <v>849</v>
      </c>
      <c r="F1631" s="4" t="s">
        <v>850</v>
      </c>
      <c r="G1631" s="4" t="s">
        <v>1888</v>
      </c>
      <c r="H1631" s="22">
        <v>0</v>
      </c>
      <c r="I1631" s="4">
        <v>710000000</v>
      </c>
      <c r="J1631" s="4" t="s">
        <v>1931</v>
      </c>
      <c r="K1631" s="4" t="s">
        <v>5297</v>
      </c>
      <c r="L1631" s="7" t="s">
        <v>1940</v>
      </c>
      <c r="M1631" s="8" t="s">
        <v>3195</v>
      </c>
      <c r="N1631" s="4" t="s">
        <v>1890</v>
      </c>
      <c r="O1631" s="8" t="s">
        <v>1935</v>
      </c>
      <c r="P1631" s="8">
        <v>796</v>
      </c>
      <c r="Q1631" s="8" t="s">
        <v>3196</v>
      </c>
      <c r="R1631" s="10">
        <v>70</v>
      </c>
      <c r="S1631" s="10">
        <f>7800/1.12</f>
        <v>6964.2857142857138</v>
      </c>
      <c r="T1631" s="10">
        <f t="shared" si="865"/>
        <v>487499.99999999994</v>
      </c>
      <c r="U1631" s="10">
        <f t="shared" si="820"/>
        <v>546000</v>
      </c>
      <c r="V1631" s="1"/>
      <c r="W1631" s="1">
        <v>2015</v>
      </c>
      <c r="X1631" s="20"/>
    </row>
    <row r="1632" spans="1:24" s="133" customFormat="1" ht="76.5" customHeight="1" outlineLevel="1" x14ac:dyDescent="0.2">
      <c r="A1632" s="1" t="s">
        <v>2472</v>
      </c>
      <c r="B1632" s="24" t="s">
        <v>5277</v>
      </c>
      <c r="C1632" s="4" t="s">
        <v>851</v>
      </c>
      <c r="D1632" s="4" t="s">
        <v>852</v>
      </c>
      <c r="E1632" s="4" t="s">
        <v>853</v>
      </c>
      <c r="F1632" s="4"/>
      <c r="G1632" s="4" t="s">
        <v>1888</v>
      </c>
      <c r="H1632" s="22">
        <v>0</v>
      </c>
      <c r="I1632" s="4">
        <v>710000000</v>
      </c>
      <c r="J1632" s="4" t="s">
        <v>1931</v>
      </c>
      <c r="K1632" s="4" t="s">
        <v>5297</v>
      </c>
      <c r="L1632" s="7" t="s">
        <v>1940</v>
      </c>
      <c r="M1632" s="8" t="s">
        <v>3195</v>
      </c>
      <c r="N1632" s="4" t="s">
        <v>1890</v>
      </c>
      <c r="O1632" s="8" t="s">
        <v>1935</v>
      </c>
      <c r="P1632" s="8">
        <v>796</v>
      </c>
      <c r="Q1632" s="8" t="s">
        <v>3196</v>
      </c>
      <c r="R1632" s="10">
        <v>900</v>
      </c>
      <c r="S1632" s="10">
        <f>1056/1.12</f>
        <v>942.85714285714278</v>
      </c>
      <c r="T1632" s="10">
        <f t="shared" si="865"/>
        <v>848571.42857142852</v>
      </c>
      <c r="U1632" s="10">
        <f t="shared" si="820"/>
        <v>950400</v>
      </c>
      <c r="V1632" s="1"/>
      <c r="W1632" s="1">
        <v>2015</v>
      </c>
      <c r="X1632" s="20"/>
    </row>
    <row r="1633" spans="1:24" s="133" customFormat="1" ht="76.5" customHeight="1" outlineLevel="1" x14ac:dyDescent="0.2">
      <c r="A1633" s="1" t="s">
        <v>2473</v>
      </c>
      <c r="B1633" s="24" t="s">
        <v>5277</v>
      </c>
      <c r="C1633" s="4" t="s">
        <v>3247</v>
      </c>
      <c r="D1633" s="4" t="s">
        <v>6132</v>
      </c>
      <c r="E1633" s="4" t="s">
        <v>6152</v>
      </c>
      <c r="F1633" s="4" t="s">
        <v>4217</v>
      </c>
      <c r="G1633" s="4" t="s">
        <v>1888</v>
      </c>
      <c r="H1633" s="22">
        <v>0</v>
      </c>
      <c r="I1633" s="4">
        <v>710000000</v>
      </c>
      <c r="J1633" s="4" t="s">
        <v>1931</v>
      </c>
      <c r="K1633" s="4" t="s">
        <v>5297</v>
      </c>
      <c r="L1633" s="7" t="s">
        <v>1940</v>
      </c>
      <c r="M1633" s="8" t="s">
        <v>3195</v>
      </c>
      <c r="N1633" s="4" t="s">
        <v>1890</v>
      </c>
      <c r="O1633" s="8" t="s">
        <v>1935</v>
      </c>
      <c r="P1633" s="8">
        <v>796</v>
      </c>
      <c r="Q1633" s="8" t="s">
        <v>3196</v>
      </c>
      <c r="R1633" s="10">
        <f>21+84</f>
        <v>105</v>
      </c>
      <c r="S1633" s="10">
        <f>7383/1.12</f>
        <v>6591.9642857142853</v>
      </c>
      <c r="T1633" s="10">
        <f t="shared" si="865"/>
        <v>692156.25</v>
      </c>
      <c r="U1633" s="10">
        <f t="shared" si="820"/>
        <v>775215.00000000012</v>
      </c>
      <c r="V1633" s="1"/>
      <c r="W1633" s="1">
        <v>2015</v>
      </c>
      <c r="X1633" s="20"/>
    </row>
    <row r="1634" spans="1:24" s="133" customFormat="1" ht="76.5" customHeight="1" outlineLevel="1" x14ac:dyDescent="0.2">
      <c r="A1634" s="1" t="s">
        <v>2474</v>
      </c>
      <c r="B1634" s="24" t="s">
        <v>5277</v>
      </c>
      <c r="C1634" s="4" t="s">
        <v>3247</v>
      </c>
      <c r="D1634" s="4" t="s">
        <v>6132</v>
      </c>
      <c r="E1634" s="4" t="s">
        <v>6152</v>
      </c>
      <c r="F1634" s="4" t="s">
        <v>4218</v>
      </c>
      <c r="G1634" s="4" t="s">
        <v>1888</v>
      </c>
      <c r="H1634" s="22">
        <v>0</v>
      </c>
      <c r="I1634" s="4">
        <v>710000000</v>
      </c>
      <c r="J1634" s="4" t="s">
        <v>1931</v>
      </c>
      <c r="K1634" s="4" t="s">
        <v>5297</v>
      </c>
      <c r="L1634" s="7" t="s">
        <v>1940</v>
      </c>
      <c r="M1634" s="8" t="s">
        <v>3195</v>
      </c>
      <c r="N1634" s="4" t="s">
        <v>1890</v>
      </c>
      <c r="O1634" s="8" t="s">
        <v>1935</v>
      </c>
      <c r="P1634" s="8">
        <v>796</v>
      </c>
      <c r="Q1634" s="8" t="s">
        <v>3196</v>
      </c>
      <c r="R1634" s="10">
        <f>14+40</f>
        <v>54</v>
      </c>
      <c r="S1634" s="10">
        <f>6666/1.12</f>
        <v>5951.7857142857138</v>
      </c>
      <c r="T1634" s="10">
        <f t="shared" si="865"/>
        <v>321396.42857142852</v>
      </c>
      <c r="U1634" s="10">
        <f t="shared" si="820"/>
        <v>359964</v>
      </c>
      <c r="V1634" s="1"/>
      <c r="W1634" s="1">
        <v>2015</v>
      </c>
      <c r="X1634" s="20"/>
    </row>
    <row r="1635" spans="1:24" s="133" customFormat="1" ht="76.5" customHeight="1" outlineLevel="1" x14ac:dyDescent="0.2">
      <c r="A1635" s="1" t="s">
        <v>2475</v>
      </c>
      <c r="B1635" s="24" t="s">
        <v>5277</v>
      </c>
      <c r="C1635" s="4" t="s">
        <v>4219</v>
      </c>
      <c r="D1635" s="4" t="s">
        <v>6154</v>
      </c>
      <c r="E1635" s="4" t="s">
        <v>854</v>
      </c>
      <c r="F1635" s="4" t="s">
        <v>855</v>
      </c>
      <c r="G1635" s="4" t="s">
        <v>1888</v>
      </c>
      <c r="H1635" s="22">
        <v>0</v>
      </c>
      <c r="I1635" s="4">
        <v>710000000</v>
      </c>
      <c r="J1635" s="4" t="s">
        <v>1931</v>
      </c>
      <c r="K1635" s="4" t="s">
        <v>5297</v>
      </c>
      <c r="L1635" s="7" t="s">
        <v>1940</v>
      </c>
      <c r="M1635" s="8" t="s">
        <v>3195</v>
      </c>
      <c r="N1635" s="4" t="s">
        <v>1890</v>
      </c>
      <c r="O1635" s="8" t="s">
        <v>1935</v>
      </c>
      <c r="P1635" s="8">
        <v>796</v>
      </c>
      <c r="Q1635" s="8" t="s">
        <v>3196</v>
      </c>
      <c r="R1635" s="10">
        <v>31</v>
      </c>
      <c r="S1635" s="10">
        <f>2675/1.12</f>
        <v>2388.3928571428569</v>
      </c>
      <c r="T1635" s="10">
        <f t="shared" si="865"/>
        <v>74040.178571428565</v>
      </c>
      <c r="U1635" s="10">
        <f t="shared" si="820"/>
        <v>82925</v>
      </c>
      <c r="V1635" s="1"/>
      <c r="W1635" s="1">
        <v>2015</v>
      </c>
      <c r="X1635" s="20"/>
    </row>
    <row r="1636" spans="1:24" s="133" customFormat="1" ht="76.5" customHeight="1" outlineLevel="1" x14ac:dyDescent="0.2">
      <c r="A1636" s="1" t="s">
        <v>2476</v>
      </c>
      <c r="B1636" s="24" t="s">
        <v>5277</v>
      </c>
      <c r="C1636" s="4" t="s">
        <v>1876</v>
      </c>
      <c r="D1636" s="4" t="s">
        <v>6132</v>
      </c>
      <c r="E1636" s="4" t="s">
        <v>856</v>
      </c>
      <c r="F1636" s="4" t="s">
        <v>857</v>
      </c>
      <c r="G1636" s="4" t="s">
        <v>1888</v>
      </c>
      <c r="H1636" s="22">
        <v>0</v>
      </c>
      <c r="I1636" s="4">
        <v>710000000</v>
      </c>
      <c r="J1636" s="4" t="s">
        <v>1931</v>
      </c>
      <c r="K1636" s="4" t="s">
        <v>5297</v>
      </c>
      <c r="L1636" s="7" t="s">
        <v>1940</v>
      </c>
      <c r="M1636" s="8" t="s">
        <v>3195</v>
      </c>
      <c r="N1636" s="4" t="s">
        <v>1890</v>
      </c>
      <c r="O1636" s="8" t="s">
        <v>1935</v>
      </c>
      <c r="P1636" s="8">
        <v>796</v>
      </c>
      <c r="Q1636" s="8" t="s">
        <v>3196</v>
      </c>
      <c r="R1636" s="10">
        <v>11</v>
      </c>
      <c r="S1636" s="10">
        <f>747/1.12</f>
        <v>666.96428571428567</v>
      </c>
      <c r="T1636" s="10">
        <f t="shared" si="865"/>
        <v>7336.6071428571422</v>
      </c>
      <c r="U1636" s="10">
        <f t="shared" si="820"/>
        <v>8217</v>
      </c>
      <c r="V1636" s="1"/>
      <c r="W1636" s="1">
        <v>2015</v>
      </c>
      <c r="X1636" s="20"/>
    </row>
    <row r="1637" spans="1:24" s="133" customFormat="1" ht="76.5" customHeight="1" outlineLevel="1" x14ac:dyDescent="0.2">
      <c r="A1637" s="1" t="s">
        <v>2477</v>
      </c>
      <c r="B1637" s="24" t="s">
        <v>5277</v>
      </c>
      <c r="C1637" s="4" t="s">
        <v>1875</v>
      </c>
      <c r="D1637" s="4" t="s">
        <v>6132</v>
      </c>
      <c r="E1637" s="4" t="s">
        <v>6143</v>
      </c>
      <c r="F1637" s="4" t="s">
        <v>858</v>
      </c>
      <c r="G1637" s="4" t="s">
        <v>1888</v>
      </c>
      <c r="H1637" s="22">
        <v>0</v>
      </c>
      <c r="I1637" s="4">
        <v>710000000</v>
      </c>
      <c r="J1637" s="4" t="s">
        <v>1931</v>
      </c>
      <c r="K1637" s="4" t="s">
        <v>5297</v>
      </c>
      <c r="L1637" s="7" t="s">
        <v>1940</v>
      </c>
      <c r="M1637" s="8" t="s">
        <v>3195</v>
      </c>
      <c r="N1637" s="4" t="s">
        <v>1890</v>
      </c>
      <c r="O1637" s="8" t="s">
        <v>1935</v>
      </c>
      <c r="P1637" s="8">
        <v>796</v>
      </c>
      <c r="Q1637" s="8" t="s">
        <v>3196</v>
      </c>
      <c r="R1637" s="10">
        <v>10</v>
      </c>
      <c r="S1637" s="10">
        <f>1305/1.12</f>
        <v>1165.1785714285713</v>
      </c>
      <c r="T1637" s="10">
        <f t="shared" si="865"/>
        <v>11651.785714285714</v>
      </c>
      <c r="U1637" s="10">
        <f t="shared" si="820"/>
        <v>13050</v>
      </c>
      <c r="V1637" s="1"/>
      <c r="W1637" s="1">
        <v>2015</v>
      </c>
      <c r="X1637" s="20"/>
    </row>
    <row r="1638" spans="1:24" s="133" customFormat="1" ht="76.5" customHeight="1" outlineLevel="1" x14ac:dyDescent="0.2">
      <c r="A1638" s="1" t="s">
        <v>2478</v>
      </c>
      <c r="B1638" s="24" t="s">
        <v>5277</v>
      </c>
      <c r="C1638" s="4" t="s">
        <v>1875</v>
      </c>
      <c r="D1638" s="4" t="s">
        <v>6132</v>
      </c>
      <c r="E1638" s="4" t="s">
        <v>6143</v>
      </c>
      <c r="F1638" s="4" t="s">
        <v>859</v>
      </c>
      <c r="G1638" s="4" t="s">
        <v>1888</v>
      </c>
      <c r="H1638" s="22">
        <v>0</v>
      </c>
      <c r="I1638" s="4">
        <v>710000000</v>
      </c>
      <c r="J1638" s="4" t="s">
        <v>1931</v>
      </c>
      <c r="K1638" s="4" t="s">
        <v>5297</v>
      </c>
      <c r="L1638" s="7" t="s">
        <v>1940</v>
      </c>
      <c r="M1638" s="8" t="s">
        <v>3195</v>
      </c>
      <c r="N1638" s="4" t="s">
        <v>1890</v>
      </c>
      <c r="O1638" s="8" t="s">
        <v>1935</v>
      </c>
      <c r="P1638" s="8">
        <v>796</v>
      </c>
      <c r="Q1638" s="8" t="s">
        <v>3196</v>
      </c>
      <c r="R1638" s="10">
        <v>10</v>
      </c>
      <c r="S1638" s="10">
        <f>760/1.12</f>
        <v>678.57142857142856</v>
      </c>
      <c r="T1638" s="10">
        <f t="shared" si="865"/>
        <v>6785.7142857142853</v>
      </c>
      <c r="U1638" s="10">
        <f t="shared" si="820"/>
        <v>7600</v>
      </c>
      <c r="V1638" s="1"/>
      <c r="W1638" s="1">
        <v>2015</v>
      </c>
      <c r="X1638" s="20"/>
    </row>
    <row r="1639" spans="1:24" s="133" customFormat="1" ht="76.5" customHeight="1" outlineLevel="1" x14ac:dyDescent="0.2">
      <c r="A1639" s="1" t="s">
        <v>2479</v>
      </c>
      <c r="B1639" s="24" t="s">
        <v>5277</v>
      </c>
      <c r="C1639" s="4" t="s">
        <v>1878</v>
      </c>
      <c r="D1639" s="4" t="s">
        <v>6145</v>
      </c>
      <c r="E1639" s="4" t="s">
        <v>6146</v>
      </c>
      <c r="F1639" s="4"/>
      <c r="G1639" s="4" t="s">
        <v>1888</v>
      </c>
      <c r="H1639" s="22">
        <v>0</v>
      </c>
      <c r="I1639" s="4">
        <v>710000000</v>
      </c>
      <c r="J1639" s="4" t="s">
        <v>1931</v>
      </c>
      <c r="K1639" s="4" t="s">
        <v>5297</v>
      </c>
      <c r="L1639" s="7" t="s">
        <v>1940</v>
      </c>
      <c r="M1639" s="8" t="s">
        <v>3195</v>
      </c>
      <c r="N1639" s="4" t="s">
        <v>1890</v>
      </c>
      <c r="O1639" s="8" t="s">
        <v>1935</v>
      </c>
      <c r="P1639" s="8">
        <v>796</v>
      </c>
      <c r="Q1639" s="8" t="s">
        <v>3196</v>
      </c>
      <c r="R1639" s="10">
        <v>213</v>
      </c>
      <c r="S1639" s="10">
        <f>289/1.12</f>
        <v>258.03571428571428</v>
      </c>
      <c r="T1639" s="10">
        <f t="shared" si="865"/>
        <v>54961.607142857138</v>
      </c>
      <c r="U1639" s="10">
        <f t="shared" si="820"/>
        <v>61557</v>
      </c>
      <c r="V1639" s="1"/>
      <c r="W1639" s="1">
        <v>2015</v>
      </c>
      <c r="X1639" s="20"/>
    </row>
    <row r="1640" spans="1:24" s="133" customFormat="1" ht="76.5" customHeight="1" outlineLevel="1" x14ac:dyDescent="0.2">
      <c r="A1640" s="1" t="s">
        <v>2480</v>
      </c>
      <c r="B1640" s="24" t="s">
        <v>5277</v>
      </c>
      <c r="C1640" s="4" t="s">
        <v>1862</v>
      </c>
      <c r="D1640" s="4" t="s">
        <v>6133</v>
      </c>
      <c r="E1640" s="4" t="s">
        <v>860</v>
      </c>
      <c r="F1640" s="4"/>
      <c r="G1640" s="4" t="s">
        <v>1888</v>
      </c>
      <c r="H1640" s="22">
        <v>0</v>
      </c>
      <c r="I1640" s="4">
        <v>710000000</v>
      </c>
      <c r="J1640" s="4" t="s">
        <v>1931</v>
      </c>
      <c r="K1640" s="4" t="s">
        <v>5297</v>
      </c>
      <c r="L1640" s="7" t="s">
        <v>1940</v>
      </c>
      <c r="M1640" s="8" t="s">
        <v>3195</v>
      </c>
      <c r="N1640" s="4" t="s">
        <v>1890</v>
      </c>
      <c r="O1640" s="8" t="s">
        <v>1935</v>
      </c>
      <c r="P1640" s="8">
        <v>796</v>
      </c>
      <c r="Q1640" s="8" t="s">
        <v>3196</v>
      </c>
      <c r="R1640" s="10">
        <v>148</v>
      </c>
      <c r="S1640" s="10">
        <f>410/1.12</f>
        <v>366.07142857142856</v>
      </c>
      <c r="T1640" s="10">
        <f t="shared" si="865"/>
        <v>54178.571428571428</v>
      </c>
      <c r="U1640" s="10">
        <f t="shared" si="820"/>
        <v>60680.000000000007</v>
      </c>
      <c r="V1640" s="1"/>
      <c r="W1640" s="1">
        <v>2015</v>
      </c>
      <c r="X1640" s="20"/>
    </row>
    <row r="1641" spans="1:24" s="133" customFormat="1" ht="76.5" customHeight="1" outlineLevel="1" x14ac:dyDescent="0.2">
      <c r="A1641" s="1" t="s">
        <v>2481</v>
      </c>
      <c r="B1641" s="24" t="s">
        <v>5277</v>
      </c>
      <c r="C1641" s="4" t="s">
        <v>3548</v>
      </c>
      <c r="D1641" s="4" t="s">
        <v>2996</v>
      </c>
      <c r="E1641" s="4" t="s">
        <v>3549</v>
      </c>
      <c r="F1641" s="4"/>
      <c r="G1641" s="4" t="s">
        <v>1888</v>
      </c>
      <c r="H1641" s="22">
        <v>0</v>
      </c>
      <c r="I1641" s="4">
        <v>710000000</v>
      </c>
      <c r="J1641" s="4" t="s">
        <v>1931</v>
      </c>
      <c r="K1641" s="4" t="s">
        <v>5297</v>
      </c>
      <c r="L1641" s="7" t="s">
        <v>1940</v>
      </c>
      <c r="M1641" s="8" t="s">
        <v>3195</v>
      </c>
      <c r="N1641" s="4" t="s">
        <v>1890</v>
      </c>
      <c r="O1641" s="8" t="s">
        <v>1935</v>
      </c>
      <c r="P1641" s="40" t="s">
        <v>3443</v>
      </c>
      <c r="Q1641" s="4" t="s">
        <v>5676</v>
      </c>
      <c r="R1641" s="10">
        <v>132</v>
      </c>
      <c r="S1641" s="10">
        <f>278/1.12</f>
        <v>248.21428571428569</v>
      </c>
      <c r="T1641" s="10">
        <f t="shared" si="865"/>
        <v>32764.28571428571</v>
      </c>
      <c r="U1641" s="10">
        <f t="shared" si="820"/>
        <v>36696</v>
      </c>
      <c r="V1641" s="1"/>
      <c r="W1641" s="1">
        <v>2015</v>
      </c>
      <c r="X1641" s="20"/>
    </row>
    <row r="1642" spans="1:24" s="133" customFormat="1" ht="76.5" customHeight="1" outlineLevel="1" x14ac:dyDescent="0.2">
      <c r="A1642" s="1" t="s">
        <v>2482</v>
      </c>
      <c r="B1642" s="24" t="s">
        <v>5277</v>
      </c>
      <c r="C1642" s="4" t="s">
        <v>861</v>
      </c>
      <c r="D1642" s="4" t="s">
        <v>2996</v>
      </c>
      <c r="E1642" s="4" t="s">
        <v>3550</v>
      </c>
      <c r="F1642" s="4"/>
      <c r="G1642" s="4" t="s">
        <v>1888</v>
      </c>
      <c r="H1642" s="22">
        <v>0</v>
      </c>
      <c r="I1642" s="4">
        <v>710000000</v>
      </c>
      <c r="J1642" s="4" t="s">
        <v>1931</v>
      </c>
      <c r="K1642" s="4" t="s">
        <v>5297</v>
      </c>
      <c r="L1642" s="7" t="s">
        <v>1940</v>
      </c>
      <c r="M1642" s="8" t="s">
        <v>3195</v>
      </c>
      <c r="N1642" s="4" t="s">
        <v>1890</v>
      </c>
      <c r="O1642" s="8" t="s">
        <v>1935</v>
      </c>
      <c r="P1642" s="40" t="s">
        <v>3443</v>
      </c>
      <c r="Q1642" s="4" t="s">
        <v>5676</v>
      </c>
      <c r="R1642" s="10">
        <v>575</v>
      </c>
      <c r="S1642" s="10">
        <f>177/1.12</f>
        <v>158.03571428571428</v>
      </c>
      <c r="T1642" s="10">
        <f t="shared" si="865"/>
        <v>90870.53571428571</v>
      </c>
      <c r="U1642" s="10">
        <f t="shared" si="820"/>
        <v>101775</v>
      </c>
      <c r="V1642" s="1"/>
      <c r="W1642" s="1">
        <v>2015</v>
      </c>
      <c r="X1642" s="20"/>
    </row>
    <row r="1643" spans="1:24" s="133" customFormat="1" ht="76.5" customHeight="1" outlineLevel="1" x14ac:dyDescent="0.2">
      <c r="A1643" s="1" t="s">
        <v>2483</v>
      </c>
      <c r="B1643" s="24" t="s">
        <v>5277</v>
      </c>
      <c r="C1643" s="4" t="s">
        <v>1879</v>
      </c>
      <c r="D1643" s="4" t="s">
        <v>2996</v>
      </c>
      <c r="E1643" s="4" t="s">
        <v>1880</v>
      </c>
      <c r="F1643" s="4"/>
      <c r="G1643" s="4" t="s">
        <v>1888</v>
      </c>
      <c r="H1643" s="22">
        <v>0</v>
      </c>
      <c r="I1643" s="4">
        <v>710000000</v>
      </c>
      <c r="J1643" s="4" t="s">
        <v>1931</v>
      </c>
      <c r="K1643" s="4" t="s">
        <v>5297</v>
      </c>
      <c r="L1643" s="7" t="s">
        <v>1940</v>
      </c>
      <c r="M1643" s="8" t="s">
        <v>3195</v>
      </c>
      <c r="N1643" s="4" t="s">
        <v>1890</v>
      </c>
      <c r="O1643" s="8" t="s">
        <v>1935</v>
      </c>
      <c r="P1643" s="40" t="s">
        <v>3443</v>
      </c>
      <c r="Q1643" s="4" t="s">
        <v>5676</v>
      </c>
      <c r="R1643" s="10">
        <f>672+1331</f>
        <v>2003</v>
      </c>
      <c r="S1643" s="10">
        <f>168/1.12</f>
        <v>149.99999999999997</v>
      </c>
      <c r="T1643" s="10">
        <f t="shared" si="865"/>
        <v>300449.99999999994</v>
      </c>
      <c r="U1643" s="10">
        <f t="shared" si="820"/>
        <v>336503.99999999994</v>
      </c>
      <c r="V1643" s="1"/>
      <c r="W1643" s="1">
        <v>2015</v>
      </c>
      <c r="X1643" s="20"/>
    </row>
    <row r="1644" spans="1:24" s="133" customFormat="1" ht="76.5" customHeight="1" outlineLevel="1" x14ac:dyDescent="0.2">
      <c r="A1644" s="1" t="s">
        <v>2484</v>
      </c>
      <c r="B1644" s="24" t="s">
        <v>5277</v>
      </c>
      <c r="C1644" s="4" t="s">
        <v>1864</v>
      </c>
      <c r="D1644" s="4" t="s">
        <v>2996</v>
      </c>
      <c r="E1644" s="4" t="s">
        <v>1865</v>
      </c>
      <c r="F1644" s="4" t="s">
        <v>862</v>
      </c>
      <c r="G1644" s="4" t="s">
        <v>1888</v>
      </c>
      <c r="H1644" s="22">
        <v>0</v>
      </c>
      <c r="I1644" s="4">
        <v>710000000</v>
      </c>
      <c r="J1644" s="4" t="s">
        <v>1931</v>
      </c>
      <c r="K1644" s="4" t="s">
        <v>5297</v>
      </c>
      <c r="L1644" s="7" t="s">
        <v>1940</v>
      </c>
      <c r="M1644" s="8" t="s">
        <v>3195</v>
      </c>
      <c r="N1644" s="4" t="s">
        <v>1890</v>
      </c>
      <c r="O1644" s="8" t="s">
        <v>1935</v>
      </c>
      <c r="P1644" s="40" t="s">
        <v>3443</v>
      </c>
      <c r="Q1644" s="4" t="s">
        <v>5676</v>
      </c>
      <c r="R1644" s="10">
        <v>2118</v>
      </c>
      <c r="S1644" s="10">
        <f>108/1.12</f>
        <v>96.428571428571416</v>
      </c>
      <c r="T1644" s="10">
        <f t="shared" si="865"/>
        <v>204235.71428571426</v>
      </c>
      <c r="U1644" s="10">
        <f t="shared" si="820"/>
        <v>228744</v>
      </c>
      <c r="V1644" s="1"/>
      <c r="W1644" s="1">
        <v>2015</v>
      </c>
      <c r="X1644" s="20"/>
    </row>
    <row r="1645" spans="1:24" s="133" customFormat="1" ht="76.5" customHeight="1" outlineLevel="1" x14ac:dyDescent="0.2">
      <c r="A1645" s="1" t="s">
        <v>2485</v>
      </c>
      <c r="B1645" s="24" t="s">
        <v>5277</v>
      </c>
      <c r="C1645" s="4" t="s">
        <v>3551</v>
      </c>
      <c r="D1645" s="4" t="s">
        <v>2996</v>
      </c>
      <c r="E1645" s="4" t="s">
        <v>6487</v>
      </c>
      <c r="F1645" s="4"/>
      <c r="G1645" s="4" t="s">
        <v>1888</v>
      </c>
      <c r="H1645" s="22">
        <v>0</v>
      </c>
      <c r="I1645" s="4">
        <v>710000000</v>
      </c>
      <c r="J1645" s="4" t="s">
        <v>1931</v>
      </c>
      <c r="K1645" s="4" t="s">
        <v>5297</v>
      </c>
      <c r="L1645" s="7" t="s">
        <v>1940</v>
      </c>
      <c r="M1645" s="8" t="s">
        <v>3195</v>
      </c>
      <c r="N1645" s="4" t="s">
        <v>1890</v>
      </c>
      <c r="O1645" s="8" t="s">
        <v>1935</v>
      </c>
      <c r="P1645" s="40" t="s">
        <v>3443</v>
      </c>
      <c r="Q1645" s="4" t="s">
        <v>5676</v>
      </c>
      <c r="R1645" s="10">
        <v>50</v>
      </c>
      <c r="S1645" s="10">
        <f>1798/1.12</f>
        <v>1605.3571428571427</v>
      </c>
      <c r="T1645" s="10">
        <f t="shared" si="865"/>
        <v>80267.85714285713</v>
      </c>
      <c r="U1645" s="10">
        <f t="shared" si="820"/>
        <v>89900</v>
      </c>
      <c r="V1645" s="1"/>
      <c r="W1645" s="1">
        <v>2015</v>
      </c>
      <c r="X1645" s="20"/>
    </row>
    <row r="1646" spans="1:24" s="133" customFormat="1" ht="76.5" customHeight="1" outlineLevel="1" x14ac:dyDescent="0.2">
      <c r="A1646" s="1" t="s">
        <v>2486</v>
      </c>
      <c r="B1646" s="24" t="s">
        <v>5277</v>
      </c>
      <c r="C1646" s="4" t="s">
        <v>863</v>
      </c>
      <c r="D1646" s="4" t="s">
        <v>2996</v>
      </c>
      <c r="E1646" s="4" t="s">
        <v>864</v>
      </c>
      <c r="F1646" s="4"/>
      <c r="G1646" s="4" t="s">
        <v>1888</v>
      </c>
      <c r="H1646" s="22">
        <v>0</v>
      </c>
      <c r="I1646" s="4">
        <v>710000000</v>
      </c>
      <c r="J1646" s="4" t="s">
        <v>1931</v>
      </c>
      <c r="K1646" s="4" t="s">
        <v>5297</v>
      </c>
      <c r="L1646" s="7" t="s">
        <v>1940</v>
      </c>
      <c r="M1646" s="8" t="s">
        <v>3195</v>
      </c>
      <c r="N1646" s="4" t="s">
        <v>1890</v>
      </c>
      <c r="O1646" s="8" t="s">
        <v>1935</v>
      </c>
      <c r="P1646" s="40" t="s">
        <v>3443</v>
      </c>
      <c r="Q1646" s="4" t="s">
        <v>5676</v>
      </c>
      <c r="R1646" s="10">
        <v>24</v>
      </c>
      <c r="S1646" s="10">
        <f>101/1.12</f>
        <v>90.178571428571416</v>
      </c>
      <c r="T1646" s="10">
        <f t="shared" si="865"/>
        <v>2164.2857142857138</v>
      </c>
      <c r="U1646" s="10">
        <f t="shared" si="820"/>
        <v>2423.9999999999995</v>
      </c>
      <c r="V1646" s="1"/>
      <c r="W1646" s="1">
        <v>2015</v>
      </c>
      <c r="X1646" s="20"/>
    </row>
    <row r="1647" spans="1:24" s="133" customFormat="1" ht="76.5" customHeight="1" outlineLevel="1" x14ac:dyDescent="0.2">
      <c r="A1647" s="1" t="s">
        <v>2487</v>
      </c>
      <c r="B1647" s="24" t="s">
        <v>5277</v>
      </c>
      <c r="C1647" s="4" t="s">
        <v>3552</v>
      </c>
      <c r="D1647" s="4" t="s">
        <v>2996</v>
      </c>
      <c r="E1647" s="4" t="s">
        <v>3553</v>
      </c>
      <c r="F1647" s="4"/>
      <c r="G1647" s="4" t="s">
        <v>1888</v>
      </c>
      <c r="H1647" s="22">
        <v>0</v>
      </c>
      <c r="I1647" s="4">
        <v>710000000</v>
      </c>
      <c r="J1647" s="4" t="s">
        <v>1931</v>
      </c>
      <c r="K1647" s="4" t="s">
        <v>5297</v>
      </c>
      <c r="L1647" s="7" t="s">
        <v>1940</v>
      </c>
      <c r="M1647" s="8" t="s">
        <v>3195</v>
      </c>
      <c r="N1647" s="4" t="s">
        <v>1890</v>
      </c>
      <c r="O1647" s="8" t="s">
        <v>1935</v>
      </c>
      <c r="P1647" s="40" t="s">
        <v>3443</v>
      </c>
      <c r="Q1647" s="4" t="s">
        <v>5676</v>
      </c>
      <c r="R1647" s="10">
        <v>31</v>
      </c>
      <c r="S1647" s="10">
        <f>1165/1.12</f>
        <v>1040.1785714285713</v>
      </c>
      <c r="T1647" s="10">
        <f t="shared" si="865"/>
        <v>32245.53571428571</v>
      </c>
      <c r="U1647" s="10">
        <f t="shared" si="820"/>
        <v>36115</v>
      </c>
      <c r="V1647" s="1"/>
      <c r="W1647" s="1">
        <v>2015</v>
      </c>
      <c r="X1647" s="20"/>
    </row>
    <row r="1648" spans="1:24" s="133" customFormat="1" ht="76.5" customHeight="1" outlineLevel="1" x14ac:dyDescent="0.2">
      <c r="A1648" s="1" t="s">
        <v>2488</v>
      </c>
      <c r="B1648" s="24" t="s">
        <v>5277</v>
      </c>
      <c r="C1648" s="4" t="s">
        <v>3554</v>
      </c>
      <c r="D1648" s="4" t="s">
        <v>2996</v>
      </c>
      <c r="E1648" s="4" t="s">
        <v>3555</v>
      </c>
      <c r="F1648" s="4"/>
      <c r="G1648" s="4" t="s">
        <v>1888</v>
      </c>
      <c r="H1648" s="22">
        <v>0</v>
      </c>
      <c r="I1648" s="4">
        <v>710000000</v>
      </c>
      <c r="J1648" s="4" t="s">
        <v>1931</v>
      </c>
      <c r="K1648" s="4" t="s">
        <v>5297</v>
      </c>
      <c r="L1648" s="7" t="s">
        <v>1940</v>
      </c>
      <c r="M1648" s="8" t="s">
        <v>3195</v>
      </c>
      <c r="N1648" s="4" t="s">
        <v>1890</v>
      </c>
      <c r="O1648" s="8" t="s">
        <v>1935</v>
      </c>
      <c r="P1648" s="40" t="s">
        <v>3443</v>
      </c>
      <c r="Q1648" s="4" t="s">
        <v>5676</v>
      </c>
      <c r="R1648" s="10">
        <v>69</v>
      </c>
      <c r="S1648" s="10">
        <f>988/1.12</f>
        <v>882.14285714285711</v>
      </c>
      <c r="T1648" s="10">
        <f t="shared" si="865"/>
        <v>60867.857142857138</v>
      </c>
      <c r="U1648" s="10">
        <f t="shared" si="820"/>
        <v>68172</v>
      </c>
      <c r="V1648" s="1"/>
      <c r="W1648" s="1">
        <v>2015</v>
      </c>
      <c r="X1648" s="20"/>
    </row>
    <row r="1649" spans="1:24" s="133" customFormat="1" ht="76.5" customHeight="1" outlineLevel="1" x14ac:dyDescent="0.2">
      <c r="A1649" s="1" t="s">
        <v>2489</v>
      </c>
      <c r="B1649" s="24" t="s">
        <v>5277</v>
      </c>
      <c r="C1649" s="4" t="s">
        <v>865</v>
      </c>
      <c r="D1649" s="4" t="s">
        <v>866</v>
      </c>
      <c r="E1649" s="4" t="s">
        <v>867</v>
      </c>
      <c r="F1649" s="215" t="s">
        <v>6419</v>
      </c>
      <c r="G1649" s="4" t="s">
        <v>1888</v>
      </c>
      <c r="H1649" s="22">
        <v>0</v>
      </c>
      <c r="I1649" s="4">
        <v>710000000</v>
      </c>
      <c r="J1649" s="4" t="s">
        <v>1931</v>
      </c>
      <c r="K1649" s="4" t="s">
        <v>5297</v>
      </c>
      <c r="L1649" s="7" t="s">
        <v>1940</v>
      </c>
      <c r="M1649" s="8" t="s">
        <v>3195</v>
      </c>
      <c r="N1649" s="4" t="s">
        <v>1890</v>
      </c>
      <c r="O1649" s="8" t="s">
        <v>1935</v>
      </c>
      <c r="P1649" s="8">
        <v>796</v>
      </c>
      <c r="Q1649" s="8" t="s">
        <v>3196</v>
      </c>
      <c r="R1649" s="10">
        <v>2</v>
      </c>
      <c r="S1649" s="10">
        <f>67945/1.12</f>
        <v>60665.178571428565</v>
      </c>
      <c r="T1649" s="10">
        <f t="shared" si="865"/>
        <v>121330.35714285713</v>
      </c>
      <c r="U1649" s="10">
        <f t="shared" si="820"/>
        <v>135890</v>
      </c>
      <c r="V1649" s="1"/>
      <c r="W1649" s="1">
        <v>2015</v>
      </c>
      <c r="X1649" s="20"/>
    </row>
    <row r="1650" spans="1:24" s="133" customFormat="1" ht="76.5" customHeight="1" outlineLevel="1" x14ac:dyDescent="0.2">
      <c r="A1650" s="1" t="s">
        <v>2490</v>
      </c>
      <c r="B1650" s="24" t="s">
        <v>5277</v>
      </c>
      <c r="C1650" s="4" t="s">
        <v>865</v>
      </c>
      <c r="D1650" s="4" t="s">
        <v>866</v>
      </c>
      <c r="E1650" s="4" t="s">
        <v>867</v>
      </c>
      <c r="F1650" s="4" t="s">
        <v>6418</v>
      </c>
      <c r="G1650" s="4" t="s">
        <v>1888</v>
      </c>
      <c r="H1650" s="22">
        <v>0</v>
      </c>
      <c r="I1650" s="4">
        <v>710000000</v>
      </c>
      <c r="J1650" s="4" t="s">
        <v>1931</v>
      </c>
      <c r="K1650" s="4" t="s">
        <v>5297</v>
      </c>
      <c r="L1650" s="7" t="s">
        <v>1940</v>
      </c>
      <c r="M1650" s="8" t="s">
        <v>3195</v>
      </c>
      <c r="N1650" s="4" t="s">
        <v>1890</v>
      </c>
      <c r="O1650" s="8" t="s">
        <v>1935</v>
      </c>
      <c r="P1650" s="8">
        <v>796</v>
      </c>
      <c r="Q1650" s="8" t="s">
        <v>3196</v>
      </c>
      <c r="R1650" s="10">
        <v>1</v>
      </c>
      <c r="S1650" s="10">
        <f>229940/1.12</f>
        <v>205303.57142857142</v>
      </c>
      <c r="T1650" s="10">
        <f t="shared" ref="T1650:T1723" si="869">S1650*R1650</f>
        <v>205303.57142857142</v>
      </c>
      <c r="U1650" s="10">
        <f t="shared" si="820"/>
        <v>229940</v>
      </c>
      <c r="V1650" s="1"/>
      <c r="W1650" s="1">
        <v>2015</v>
      </c>
      <c r="X1650" s="20"/>
    </row>
    <row r="1651" spans="1:24" s="133" customFormat="1" ht="76.5" customHeight="1" outlineLevel="1" x14ac:dyDescent="0.2">
      <c r="A1651" s="1" t="s">
        <v>2491</v>
      </c>
      <c r="B1651" s="24" t="s">
        <v>5277</v>
      </c>
      <c r="C1651" s="4" t="s">
        <v>865</v>
      </c>
      <c r="D1651" s="4" t="s">
        <v>866</v>
      </c>
      <c r="E1651" s="4" t="s">
        <v>867</v>
      </c>
      <c r="F1651" s="4" t="s">
        <v>6488</v>
      </c>
      <c r="G1651" s="4" t="s">
        <v>1888</v>
      </c>
      <c r="H1651" s="22">
        <v>0</v>
      </c>
      <c r="I1651" s="4">
        <v>710000000</v>
      </c>
      <c r="J1651" s="4" t="s">
        <v>1931</v>
      </c>
      <c r="K1651" s="4" t="s">
        <v>5297</v>
      </c>
      <c r="L1651" s="7" t="s">
        <v>1940</v>
      </c>
      <c r="M1651" s="8" t="s">
        <v>3195</v>
      </c>
      <c r="N1651" s="4" t="s">
        <v>1890</v>
      </c>
      <c r="O1651" s="8" t="s">
        <v>1935</v>
      </c>
      <c r="P1651" s="8">
        <v>796</v>
      </c>
      <c r="Q1651" s="8" t="s">
        <v>3196</v>
      </c>
      <c r="R1651" s="10">
        <v>86</v>
      </c>
      <c r="S1651" s="10">
        <f>209/1.12</f>
        <v>186.60714285714283</v>
      </c>
      <c r="T1651" s="10">
        <f t="shared" si="869"/>
        <v>16048.214285714284</v>
      </c>
      <c r="U1651" s="10">
        <f t="shared" si="820"/>
        <v>17974</v>
      </c>
      <c r="V1651" s="1"/>
      <c r="W1651" s="1">
        <v>2015</v>
      </c>
      <c r="X1651" s="20"/>
    </row>
    <row r="1652" spans="1:24" s="133" customFormat="1" ht="76.5" customHeight="1" outlineLevel="1" x14ac:dyDescent="0.2">
      <c r="A1652" s="1" t="s">
        <v>2492</v>
      </c>
      <c r="B1652" s="24" t="s">
        <v>5277</v>
      </c>
      <c r="C1652" s="4" t="s">
        <v>865</v>
      </c>
      <c r="D1652" s="4" t="s">
        <v>866</v>
      </c>
      <c r="E1652" s="4" t="s">
        <v>867</v>
      </c>
      <c r="F1652" s="4" t="s">
        <v>6489</v>
      </c>
      <c r="G1652" s="4" t="s">
        <v>1888</v>
      </c>
      <c r="H1652" s="22">
        <v>0</v>
      </c>
      <c r="I1652" s="4">
        <v>710000000</v>
      </c>
      <c r="J1652" s="4" t="s">
        <v>1931</v>
      </c>
      <c r="K1652" s="4" t="s">
        <v>5297</v>
      </c>
      <c r="L1652" s="7" t="s">
        <v>1940</v>
      </c>
      <c r="M1652" s="8" t="s">
        <v>3195</v>
      </c>
      <c r="N1652" s="4" t="s">
        <v>1890</v>
      </c>
      <c r="O1652" s="8" t="s">
        <v>1935</v>
      </c>
      <c r="P1652" s="8">
        <v>796</v>
      </c>
      <c r="Q1652" s="8" t="s">
        <v>3196</v>
      </c>
      <c r="R1652" s="10">
        <v>94</v>
      </c>
      <c r="S1652" s="10">
        <f>223/1.12</f>
        <v>199.10714285714283</v>
      </c>
      <c r="T1652" s="10">
        <f t="shared" si="869"/>
        <v>18716.071428571428</v>
      </c>
      <c r="U1652" s="10">
        <f t="shared" si="820"/>
        <v>20962</v>
      </c>
      <c r="V1652" s="1"/>
      <c r="W1652" s="1">
        <v>2015</v>
      </c>
      <c r="X1652" s="20"/>
    </row>
    <row r="1653" spans="1:24" s="133" customFormat="1" ht="76.5" customHeight="1" outlineLevel="1" x14ac:dyDescent="0.2">
      <c r="A1653" s="1" t="s">
        <v>2493</v>
      </c>
      <c r="B1653" s="24" t="s">
        <v>5277</v>
      </c>
      <c r="C1653" s="4" t="s">
        <v>868</v>
      </c>
      <c r="D1653" s="4" t="s">
        <v>866</v>
      </c>
      <c r="E1653" s="4" t="s">
        <v>6506</v>
      </c>
      <c r="F1653" s="4" t="s">
        <v>6490</v>
      </c>
      <c r="G1653" s="4" t="s">
        <v>1888</v>
      </c>
      <c r="H1653" s="22">
        <v>0</v>
      </c>
      <c r="I1653" s="4">
        <v>710000000</v>
      </c>
      <c r="J1653" s="4" t="s">
        <v>1931</v>
      </c>
      <c r="K1653" s="4" t="s">
        <v>5297</v>
      </c>
      <c r="L1653" s="7" t="s">
        <v>1940</v>
      </c>
      <c r="M1653" s="8" t="s">
        <v>3195</v>
      </c>
      <c r="N1653" s="4" t="s">
        <v>1890</v>
      </c>
      <c r="O1653" s="8" t="s">
        <v>1935</v>
      </c>
      <c r="P1653" s="8">
        <v>796</v>
      </c>
      <c r="Q1653" s="8" t="s">
        <v>3196</v>
      </c>
      <c r="R1653" s="10">
        <v>98</v>
      </c>
      <c r="S1653" s="10">
        <f>223/1.12</f>
        <v>199.10714285714283</v>
      </c>
      <c r="T1653" s="10">
        <f t="shared" si="869"/>
        <v>19512.499999999996</v>
      </c>
      <c r="U1653" s="10">
        <f t="shared" si="820"/>
        <v>21853.999999999996</v>
      </c>
      <c r="V1653" s="1"/>
      <c r="W1653" s="1">
        <v>2015</v>
      </c>
      <c r="X1653" s="20"/>
    </row>
    <row r="1654" spans="1:24" s="133" customFormat="1" ht="76.5" customHeight="1" outlineLevel="1" x14ac:dyDescent="0.2">
      <c r="A1654" s="1" t="s">
        <v>2494</v>
      </c>
      <c r="B1654" s="24" t="s">
        <v>5277</v>
      </c>
      <c r="C1654" s="4" t="s">
        <v>868</v>
      </c>
      <c r="D1654" s="4" t="s">
        <v>866</v>
      </c>
      <c r="E1654" s="4" t="s">
        <v>6506</v>
      </c>
      <c r="F1654" s="4" t="s">
        <v>6491</v>
      </c>
      <c r="G1654" s="4" t="s">
        <v>1888</v>
      </c>
      <c r="H1654" s="22">
        <v>0</v>
      </c>
      <c r="I1654" s="4">
        <v>710000000</v>
      </c>
      <c r="J1654" s="4" t="s">
        <v>1931</v>
      </c>
      <c r="K1654" s="4" t="s">
        <v>5297</v>
      </c>
      <c r="L1654" s="7" t="s">
        <v>1940</v>
      </c>
      <c r="M1654" s="8" t="s">
        <v>3195</v>
      </c>
      <c r="N1654" s="4" t="s">
        <v>1890</v>
      </c>
      <c r="O1654" s="8" t="s">
        <v>1935</v>
      </c>
      <c r="P1654" s="8">
        <v>796</v>
      </c>
      <c r="Q1654" s="8" t="s">
        <v>3196</v>
      </c>
      <c r="R1654" s="10">
        <v>99</v>
      </c>
      <c r="S1654" s="10">
        <f>233/1.12</f>
        <v>208.03571428571428</v>
      </c>
      <c r="T1654" s="10">
        <f t="shared" si="869"/>
        <v>20595.535714285714</v>
      </c>
      <c r="U1654" s="10">
        <f t="shared" si="820"/>
        <v>23067</v>
      </c>
      <c r="V1654" s="1"/>
      <c r="W1654" s="1">
        <v>2015</v>
      </c>
      <c r="X1654" s="20"/>
    </row>
    <row r="1655" spans="1:24" s="133" customFormat="1" ht="76.5" customHeight="1" outlineLevel="1" x14ac:dyDescent="0.2">
      <c r="A1655" s="1" t="s">
        <v>2495</v>
      </c>
      <c r="B1655" s="24" t="s">
        <v>5277</v>
      </c>
      <c r="C1655" s="4" t="s">
        <v>868</v>
      </c>
      <c r="D1655" s="4" t="s">
        <v>866</v>
      </c>
      <c r="E1655" s="4" t="s">
        <v>6506</v>
      </c>
      <c r="F1655" s="4" t="s">
        <v>6492</v>
      </c>
      <c r="G1655" s="4" t="s">
        <v>1888</v>
      </c>
      <c r="H1655" s="22">
        <v>0</v>
      </c>
      <c r="I1655" s="4">
        <v>710000000</v>
      </c>
      <c r="J1655" s="4" t="s">
        <v>1931</v>
      </c>
      <c r="K1655" s="4" t="s">
        <v>5297</v>
      </c>
      <c r="L1655" s="7" t="s">
        <v>1940</v>
      </c>
      <c r="M1655" s="8" t="s">
        <v>3195</v>
      </c>
      <c r="N1655" s="4" t="s">
        <v>1890</v>
      </c>
      <c r="O1655" s="8" t="s">
        <v>1935</v>
      </c>
      <c r="P1655" s="8">
        <v>796</v>
      </c>
      <c r="Q1655" s="8" t="s">
        <v>3196</v>
      </c>
      <c r="R1655" s="10">
        <v>90</v>
      </c>
      <c r="S1655" s="10">
        <f>301/1.12</f>
        <v>268.75</v>
      </c>
      <c r="T1655" s="10">
        <f t="shared" si="869"/>
        <v>24187.5</v>
      </c>
      <c r="U1655" s="10">
        <f t="shared" ref="U1655:U1728" si="870">T1655*1.12</f>
        <v>27090.000000000004</v>
      </c>
      <c r="V1655" s="1"/>
      <c r="W1655" s="1">
        <v>2015</v>
      </c>
      <c r="X1655" s="20"/>
    </row>
    <row r="1656" spans="1:24" s="133" customFormat="1" ht="76.5" customHeight="1" outlineLevel="1" x14ac:dyDescent="0.2">
      <c r="A1656" s="1" t="s">
        <v>2496</v>
      </c>
      <c r="B1656" s="24" t="s">
        <v>5277</v>
      </c>
      <c r="C1656" s="4" t="s">
        <v>3307</v>
      </c>
      <c r="D1656" s="4" t="s">
        <v>6493</v>
      </c>
      <c r="E1656" s="4" t="s">
        <v>6494</v>
      </c>
      <c r="F1656" s="4"/>
      <c r="G1656" s="4" t="s">
        <v>1888</v>
      </c>
      <c r="H1656" s="22">
        <v>0</v>
      </c>
      <c r="I1656" s="4">
        <v>710000000</v>
      </c>
      <c r="J1656" s="4" t="s">
        <v>1931</v>
      </c>
      <c r="K1656" s="4" t="s">
        <v>5297</v>
      </c>
      <c r="L1656" s="7" t="s">
        <v>1940</v>
      </c>
      <c r="M1656" s="8" t="s">
        <v>3195</v>
      </c>
      <c r="N1656" s="4" t="s">
        <v>1890</v>
      </c>
      <c r="O1656" s="8" t="s">
        <v>1935</v>
      </c>
      <c r="P1656" s="8">
        <v>796</v>
      </c>
      <c r="Q1656" s="8" t="s">
        <v>3196</v>
      </c>
      <c r="R1656" s="10">
        <v>3</v>
      </c>
      <c r="S1656" s="10">
        <f>16050/1.12</f>
        <v>14330.357142857141</v>
      </c>
      <c r="T1656" s="10">
        <f t="shared" si="869"/>
        <v>42991.07142857142</v>
      </c>
      <c r="U1656" s="10">
        <f t="shared" si="870"/>
        <v>48149.999999999993</v>
      </c>
      <c r="V1656" s="1"/>
      <c r="W1656" s="1">
        <v>2015</v>
      </c>
      <c r="X1656" s="20"/>
    </row>
    <row r="1657" spans="1:24" s="133" customFormat="1" ht="76.5" customHeight="1" outlineLevel="1" x14ac:dyDescent="0.2">
      <c r="A1657" s="1" t="s">
        <v>2497</v>
      </c>
      <c r="B1657" s="24" t="s">
        <v>5277</v>
      </c>
      <c r="C1657" s="4" t="s">
        <v>6534</v>
      </c>
      <c r="D1657" s="4" t="s">
        <v>6535</v>
      </c>
      <c r="E1657" s="4" t="s">
        <v>6536</v>
      </c>
      <c r="F1657" s="4" t="s">
        <v>869</v>
      </c>
      <c r="G1657" s="4" t="s">
        <v>1888</v>
      </c>
      <c r="H1657" s="22">
        <v>0</v>
      </c>
      <c r="I1657" s="4">
        <v>710000000</v>
      </c>
      <c r="J1657" s="4" t="s">
        <v>1931</v>
      </c>
      <c r="K1657" s="4" t="s">
        <v>5297</v>
      </c>
      <c r="L1657" s="7" t="s">
        <v>1940</v>
      </c>
      <c r="M1657" s="8" t="s">
        <v>3195</v>
      </c>
      <c r="N1657" s="4" t="s">
        <v>1890</v>
      </c>
      <c r="O1657" s="8" t="s">
        <v>1935</v>
      </c>
      <c r="P1657" s="8">
        <v>796</v>
      </c>
      <c r="Q1657" s="8" t="s">
        <v>3196</v>
      </c>
      <c r="R1657" s="10">
        <v>5</v>
      </c>
      <c r="S1657" s="10">
        <f>8967/1.12</f>
        <v>8006.2499999999991</v>
      </c>
      <c r="T1657" s="10">
        <f t="shared" si="869"/>
        <v>40031.249999999993</v>
      </c>
      <c r="U1657" s="10">
        <f t="shared" si="870"/>
        <v>44834.999999999993</v>
      </c>
      <c r="V1657" s="1"/>
      <c r="W1657" s="1">
        <v>2015</v>
      </c>
      <c r="X1657" s="20"/>
    </row>
    <row r="1658" spans="1:24" s="133" customFormat="1" ht="76.5" customHeight="1" outlineLevel="1" x14ac:dyDescent="0.2">
      <c r="A1658" s="1" t="s">
        <v>2498</v>
      </c>
      <c r="B1658" s="24" t="s">
        <v>5277</v>
      </c>
      <c r="C1658" s="4" t="s">
        <v>6534</v>
      </c>
      <c r="D1658" s="4" t="s">
        <v>6535</v>
      </c>
      <c r="E1658" s="4" t="s">
        <v>6536</v>
      </c>
      <c r="F1658" s="4" t="s">
        <v>870</v>
      </c>
      <c r="G1658" s="4" t="s">
        <v>1888</v>
      </c>
      <c r="H1658" s="22">
        <v>0</v>
      </c>
      <c r="I1658" s="4">
        <v>710000000</v>
      </c>
      <c r="J1658" s="4" t="s">
        <v>1931</v>
      </c>
      <c r="K1658" s="4" t="s">
        <v>5297</v>
      </c>
      <c r="L1658" s="7" t="s">
        <v>1940</v>
      </c>
      <c r="M1658" s="8" t="s">
        <v>3195</v>
      </c>
      <c r="N1658" s="4" t="s">
        <v>1890</v>
      </c>
      <c r="O1658" s="8" t="s">
        <v>1935</v>
      </c>
      <c r="P1658" s="8">
        <v>796</v>
      </c>
      <c r="Q1658" s="8" t="s">
        <v>3196</v>
      </c>
      <c r="R1658" s="10">
        <v>3</v>
      </c>
      <c r="S1658" s="10">
        <f>8967/1.12</f>
        <v>8006.2499999999991</v>
      </c>
      <c r="T1658" s="10">
        <f t="shared" si="869"/>
        <v>24018.749999999996</v>
      </c>
      <c r="U1658" s="10">
        <f t="shared" si="870"/>
        <v>26901</v>
      </c>
      <c r="V1658" s="1"/>
      <c r="W1658" s="1">
        <v>2015</v>
      </c>
      <c r="X1658" s="20"/>
    </row>
    <row r="1659" spans="1:24" s="133" customFormat="1" ht="76.5" customHeight="1" outlineLevel="1" x14ac:dyDescent="0.2">
      <c r="A1659" s="1" t="s">
        <v>2499</v>
      </c>
      <c r="B1659" s="24" t="s">
        <v>5277</v>
      </c>
      <c r="C1659" s="4" t="s">
        <v>3810</v>
      </c>
      <c r="D1659" s="4" t="s">
        <v>5509</v>
      </c>
      <c r="E1659" s="4" t="s">
        <v>5985</v>
      </c>
      <c r="F1659" s="4" t="s">
        <v>871</v>
      </c>
      <c r="G1659" s="4" t="s">
        <v>1888</v>
      </c>
      <c r="H1659" s="22">
        <v>0</v>
      </c>
      <c r="I1659" s="4">
        <v>710000000</v>
      </c>
      <c r="J1659" s="4" t="s">
        <v>1931</v>
      </c>
      <c r="K1659" s="4" t="s">
        <v>5297</v>
      </c>
      <c r="L1659" s="7" t="s">
        <v>1940</v>
      </c>
      <c r="M1659" s="8" t="s">
        <v>3195</v>
      </c>
      <c r="N1659" s="4" t="s">
        <v>1890</v>
      </c>
      <c r="O1659" s="8" t="s">
        <v>1935</v>
      </c>
      <c r="P1659" s="8">
        <v>796</v>
      </c>
      <c r="Q1659" s="8" t="s">
        <v>3196</v>
      </c>
      <c r="R1659" s="10">
        <v>2</v>
      </c>
      <c r="S1659" s="10">
        <f>111681/1.12</f>
        <v>99715.178571428565</v>
      </c>
      <c r="T1659" s="10">
        <f t="shared" si="869"/>
        <v>199430.35714285713</v>
      </c>
      <c r="U1659" s="10">
        <f t="shared" si="870"/>
        <v>223362</v>
      </c>
      <c r="V1659" s="1"/>
      <c r="W1659" s="1">
        <v>2015</v>
      </c>
      <c r="X1659" s="20"/>
    </row>
    <row r="1660" spans="1:24" s="133" customFormat="1" ht="76.5" customHeight="1" outlineLevel="1" x14ac:dyDescent="0.2">
      <c r="A1660" s="1" t="s">
        <v>2500</v>
      </c>
      <c r="B1660" s="24" t="s">
        <v>5277</v>
      </c>
      <c r="C1660" s="4" t="s">
        <v>3810</v>
      </c>
      <c r="D1660" s="4" t="s">
        <v>5509</v>
      </c>
      <c r="E1660" s="4" t="s">
        <v>5985</v>
      </c>
      <c r="F1660" s="4"/>
      <c r="G1660" s="4" t="s">
        <v>1888</v>
      </c>
      <c r="H1660" s="22">
        <v>0</v>
      </c>
      <c r="I1660" s="4">
        <v>710000000</v>
      </c>
      <c r="J1660" s="4" t="s">
        <v>1931</v>
      </c>
      <c r="K1660" s="4" t="s">
        <v>5297</v>
      </c>
      <c r="L1660" s="7" t="s">
        <v>1940</v>
      </c>
      <c r="M1660" s="8" t="s">
        <v>3195</v>
      </c>
      <c r="N1660" s="4" t="s">
        <v>1890</v>
      </c>
      <c r="O1660" s="8" t="s">
        <v>1935</v>
      </c>
      <c r="P1660" s="8">
        <v>796</v>
      </c>
      <c r="Q1660" s="8" t="s">
        <v>3196</v>
      </c>
      <c r="R1660" s="10">
        <v>2</v>
      </c>
      <c r="S1660" s="10">
        <f>107475/1.12</f>
        <v>95959.82142857142</v>
      </c>
      <c r="T1660" s="10">
        <f t="shared" si="869"/>
        <v>191919.64285714284</v>
      </c>
      <c r="U1660" s="10">
        <f t="shared" si="870"/>
        <v>214950</v>
      </c>
      <c r="V1660" s="1"/>
      <c r="W1660" s="1">
        <v>2015</v>
      </c>
      <c r="X1660" s="20"/>
    </row>
    <row r="1661" spans="1:24" s="133" customFormat="1" ht="76.5" customHeight="1" outlineLevel="1" x14ac:dyDescent="0.2">
      <c r="A1661" s="1" t="s">
        <v>2501</v>
      </c>
      <c r="B1661" s="24" t="s">
        <v>5277</v>
      </c>
      <c r="C1661" s="4" t="s">
        <v>6495</v>
      </c>
      <c r="D1661" s="4" t="s">
        <v>194</v>
      </c>
      <c r="E1661" s="4" t="s">
        <v>6496</v>
      </c>
      <c r="F1661" s="4" t="s">
        <v>872</v>
      </c>
      <c r="G1661" s="4" t="s">
        <v>1888</v>
      </c>
      <c r="H1661" s="22">
        <v>0</v>
      </c>
      <c r="I1661" s="4">
        <v>710000000</v>
      </c>
      <c r="J1661" s="4" t="s">
        <v>1931</v>
      </c>
      <c r="K1661" s="4" t="s">
        <v>5297</v>
      </c>
      <c r="L1661" s="7" t="s">
        <v>1940</v>
      </c>
      <c r="M1661" s="8" t="s">
        <v>3195</v>
      </c>
      <c r="N1661" s="4" t="s">
        <v>1890</v>
      </c>
      <c r="O1661" s="8" t="s">
        <v>1935</v>
      </c>
      <c r="P1661" s="8">
        <v>796</v>
      </c>
      <c r="Q1661" s="8" t="s">
        <v>3196</v>
      </c>
      <c r="R1661" s="10">
        <v>10</v>
      </c>
      <c r="S1661" s="10">
        <f>1013/1.12</f>
        <v>904.46428571428567</v>
      </c>
      <c r="T1661" s="10">
        <f t="shared" si="869"/>
        <v>9044.6428571428569</v>
      </c>
      <c r="U1661" s="10">
        <f t="shared" si="870"/>
        <v>10130</v>
      </c>
      <c r="V1661" s="1"/>
      <c r="W1661" s="1">
        <v>2015</v>
      </c>
      <c r="X1661" s="20"/>
    </row>
    <row r="1662" spans="1:24" s="133" customFormat="1" ht="76.5" customHeight="1" outlineLevel="1" x14ac:dyDescent="0.2">
      <c r="A1662" s="1" t="s">
        <v>2502</v>
      </c>
      <c r="B1662" s="24" t="s">
        <v>5277</v>
      </c>
      <c r="C1662" s="4" t="s">
        <v>6495</v>
      </c>
      <c r="D1662" s="4" t="s">
        <v>194</v>
      </c>
      <c r="E1662" s="4" t="s">
        <v>6496</v>
      </c>
      <c r="F1662" s="4" t="s">
        <v>873</v>
      </c>
      <c r="G1662" s="4" t="s">
        <v>1888</v>
      </c>
      <c r="H1662" s="22">
        <v>0</v>
      </c>
      <c r="I1662" s="4">
        <v>710000000</v>
      </c>
      <c r="J1662" s="4" t="s">
        <v>1931</v>
      </c>
      <c r="K1662" s="4" t="s">
        <v>5297</v>
      </c>
      <c r="L1662" s="7" t="s">
        <v>1940</v>
      </c>
      <c r="M1662" s="8" t="s">
        <v>3195</v>
      </c>
      <c r="N1662" s="4" t="s">
        <v>1890</v>
      </c>
      <c r="O1662" s="8" t="s">
        <v>1935</v>
      </c>
      <c r="P1662" s="8">
        <v>796</v>
      </c>
      <c r="Q1662" s="8" t="s">
        <v>3196</v>
      </c>
      <c r="R1662" s="10">
        <v>10</v>
      </c>
      <c r="S1662" s="10">
        <f>417/1.12</f>
        <v>372.32142857142856</v>
      </c>
      <c r="T1662" s="10">
        <f t="shared" si="869"/>
        <v>3723.2142857142853</v>
      </c>
      <c r="U1662" s="10">
        <f t="shared" si="870"/>
        <v>4170</v>
      </c>
      <c r="V1662" s="1"/>
      <c r="W1662" s="1">
        <v>2015</v>
      </c>
      <c r="X1662" s="20"/>
    </row>
    <row r="1663" spans="1:24" s="133" customFormat="1" ht="76.5" customHeight="1" outlineLevel="1" x14ac:dyDescent="0.2">
      <c r="A1663" s="1" t="s">
        <v>2503</v>
      </c>
      <c r="B1663" s="24" t="s">
        <v>5277</v>
      </c>
      <c r="C1663" s="4" t="s">
        <v>6495</v>
      </c>
      <c r="D1663" s="4" t="s">
        <v>194</v>
      </c>
      <c r="E1663" s="4" t="s">
        <v>6496</v>
      </c>
      <c r="F1663" s="4" t="s">
        <v>874</v>
      </c>
      <c r="G1663" s="4" t="s">
        <v>1888</v>
      </c>
      <c r="H1663" s="22">
        <v>0</v>
      </c>
      <c r="I1663" s="4">
        <v>710000000</v>
      </c>
      <c r="J1663" s="4" t="s">
        <v>1931</v>
      </c>
      <c r="K1663" s="4" t="s">
        <v>5297</v>
      </c>
      <c r="L1663" s="7" t="s">
        <v>1940</v>
      </c>
      <c r="M1663" s="8" t="s">
        <v>3195</v>
      </c>
      <c r="N1663" s="4" t="s">
        <v>1890</v>
      </c>
      <c r="O1663" s="8" t="s">
        <v>1935</v>
      </c>
      <c r="P1663" s="8">
        <v>796</v>
      </c>
      <c r="Q1663" s="8" t="s">
        <v>3196</v>
      </c>
      <c r="R1663" s="10">
        <v>10</v>
      </c>
      <c r="S1663" s="10">
        <f>856/1.12</f>
        <v>764.28571428571422</v>
      </c>
      <c r="T1663" s="10">
        <f t="shared" si="869"/>
        <v>7642.8571428571422</v>
      </c>
      <c r="U1663" s="10">
        <f t="shared" si="870"/>
        <v>8560</v>
      </c>
      <c r="V1663" s="1"/>
      <c r="W1663" s="1">
        <v>2015</v>
      </c>
      <c r="X1663" s="20"/>
    </row>
    <row r="1664" spans="1:24" s="133" customFormat="1" ht="76.5" customHeight="1" outlineLevel="1" x14ac:dyDescent="0.2">
      <c r="A1664" s="1" t="s">
        <v>2504</v>
      </c>
      <c r="B1664" s="24" t="s">
        <v>5277</v>
      </c>
      <c r="C1664" s="4" t="s">
        <v>875</v>
      </c>
      <c r="D1664" s="4" t="s">
        <v>6498</v>
      </c>
      <c r="E1664" s="4" t="s">
        <v>6499</v>
      </c>
      <c r="F1664" s="4" t="s">
        <v>6497</v>
      </c>
      <c r="G1664" s="4" t="s">
        <v>1888</v>
      </c>
      <c r="H1664" s="22">
        <v>0</v>
      </c>
      <c r="I1664" s="4">
        <v>710000000</v>
      </c>
      <c r="J1664" s="4" t="s">
        <v>1931</v>
      </c>
      <c r="K1664" s="4" t="s">
        <v>5297</v>
      </c>
      <c r="L1664" s="7" t="s">
        <v>1940</v>
      </c>
      <c r="M1664" s="8" t="s">
        <v>3195</v>
      </c>
      <c r="N1664" s="4" t="s">
        <v>1890</v>
      </c>
      <c r="O1664" s="8" t="s">
        <v>1935</v>
      </c>
      <c r="P1664" s="8">
        <v>796</v>
      </c>
      <c r="Q1664" s="8" t="s">
        <v>3196</v>
      </c>
      <c r="R1664" s="10">
        <v>5</v>
      </c>
      <c r="S1664" s="10">
        <f>2450/1.12</f>
        <v>2187.5</v>
      </c>
      <c r="T1664" s="10">
        <f t="shared" si="869"/>
        <v>10937.5</v>
      </c>
      <c r="U1664" s="10">
        <f t="shared" si="870"/>
        <v>12250.000000000002</v>
      </c>
      <c r="V1664" s="1"/>
      <c r="W1664" s="1">
        <v>2015</v>
      </c>
      <c r="X1664" s="20"/>
    </row>
    <row r="1665" spans="1:24" s="133" customFormat="1" ht="76.5" customHeight="1" outlineLevel="1" x14ac:dyDescent="0.2">
      <c r="A1665" s="1" t="s">
        <v>2505</v>
      </c>
      <c r="B1665" s="24" t="s">
        <v>5277</v>
      </c>
      <c r="C1665" s="4" t="s">
        <v>6436</v>
      </c>
      <c r="D1665" s="4" t="s">
        <v>6437</v>
      </c>
      <c r="E1665" s="4" t="s">
        <v>6438</v>
      </c>
      <c r="F1665" s="4" t="s">
        <v>6435</v>
      </c>
      <c r="G1665" s="4" t="s">
        <v>1888</v>
      </c>
      <c r="H1665" s="22">
        <v>0</v>
      </c>
      <c r="I1665" s="4">
        <v>710000000</v>
      </c>
      <c r="J1665" s="4" t="s">
        <v>1931</v>
      </c>
      <c r="K1665" s="4" t="s">
        <v>5297</v>
      </c>
      <c r="L1665" s="7" t="s">
        <v>1940</v>
      </c>
      <c r="M1665" s="8" t="s">
        <v>3195</v>
      </c>
      <c r="N1665" s="4" t="s">
        <v>1890</v>
      </c>
      <c r="O1665" s="8" t="s">
        <v>1935</v>
      </c>
      <c r="P1665" s="8">
        <v>796</v>
      </c>
      <c r="Q1665" s="8" t="s">
        <v>3196</v>
      </c>
      <c r="R1665" s="10">
        <v>17</v>
      </c>
      <c r="S1665" s="10">
        <f>21320/1.12</f>
        <v>19035.714285714283</v>
      </c>
      <c r="T1665" s="10">
        <f t="shared" si="869"/>
        <v>323607.14285714278</v>
      </c>
      <c r="U1665" s="10">
        <f t="shared" si="870"/>
        <v>362439.99999999994</v>
      </c>
      <c r="V1665" s="1"/>
      <c r="W1665" s="1">
        <v>2015</v>
      </c>
      <c r="X1665" s="20"/>
    </row>
    <row r="1666" spans="1:24" s="133" customFormat="1" ht="76.5" customHeight="1" outlineLevel="1" x14ac:dyDescent="0.2">
      <c r="A1666" s="1" t="s">
        <v>2506</v>
      </c>
      <c r="B1666" s="24" t="s">
        <v>5277</v>
      </c>
      <c r="C1666" s="4" t="s">
        <v>876</v>
      </c>
      <c r="D1666" s="4" t="s">
        <v>877</v>
      </c>
      <c r="E1666" s="4" t="s">
        <v>878</v>
      </c>
      <c r="F1666" s="4" t="s">
        <v>879</v>
      </c>
      <c r="G1666" s="4" t="s">
        <v>1888</v>
      </c>
      <c r="H1666" s="22">
        <v>0</v>
      </c>
      <c r="I1666" s="4">
        <v>710000000</v>
      </c>
      <c r="J1666" s="4" t="s">
        <v>1931</v>
      </c>
      <c r="K1666" s="4" t="s">
        <v>5297</v>
      </c>
      <c r="L1666" s="7" t="s">
        <v>1940</v>
      </c>
      <c r="M1666" s="8" t="s">
        <v>3195</v>
      </c>
      <c r="N1666" s="4" t="s">
        <v>1890</v>
      </c>
      <c r="O1666" s="8" t="s">
        <v>1935</v>
      </c>
      <c r="P1666" s="8">
        <v>796</v>
      </c>
      <c r="Q1666" s="8" t="s">
        <v>3196</v>
      </c>
      <c r="R1666" s="10">
        <v>24</v>
      </c>
      <c r="S1666" s="10">
        <f>76168/1.12</f>
        <v>68007.142857142855</v>
      </c>
      <c r="T1666" s="10">
        <f t="shared" si="869"/>
        <v>1632171.4285714286</v>
      </c>
      <c r="U1666" s="10">
        <f t="shared" si="870"/>
        <v>1828032.0000000002</v>
      </c>
      <c r="V1666" s="1"/>
      <c r="W1666" s="1">
        <v>2015</v>
      </c>
      <c r="X1666" s="20"/>
    </row>
    <row r="1667" spans="1:24" s="133" customFormat="1" ht="76.5" customHeight="1" outlineLevel="1" x14ac:dyDescent="0.2">
      <c r="A1667" s="1" t="s">
        <v>2507</v>
      </c>
      <c r="B1667" s="24" t="s">
        <v>5277</v>
      </c>
      <c r="C1667" s="4" t="s">
        <v>6500</v>
      </c>
      <c r="D1667" s="4" t="s">
        <v>970</v>
      </c>
      <c r="E1667" s="4" t="s">
        <v>6501</v>
      </c>
      <c r="F1667" s="4" t="s">
        <v>880</v>
      </c>
      <c r="G1667" s="4" t="s">
        <v>1888</v>
      </c>
      <c r="H1667" s="22">
        <v>0</v>
      </c>
      <c r="I1667" s="4">
        <v>710000000</v>
      </c>
      <c r="J1667" s="4" t="s">
        <v>1931</v>
      </c>
      <c r="K1667" s="4" t="s">
        <v>5297</v>
      </c>
      <c r="L1667" s="7" t="s">
        <v>1940</v>
      </c>
      <c r="M1667" s="8" t="s">
        <v>3195</v>
      </c>
      <c r="N1667" s="4" t="s">
        <v>1890</v>
      </c>
      <c r="O1667" s="8" t="s">
        <v>1935</v>
      </c>
      <c r="P1667" s="8">
        <v>796</v>
      </c>
      <c r="Q1667" s="8" t="s">
        <v>3196</v>
      </c>
      <c r="R1667" s="10">
        <v>150</v>
      </c>
      <c r="S1667" s="10">
        <f>2008/1.12</f>
        <v>1792.8571428571427</v>
      </c>
      <c r="T1667" s="10">
        <f t="shared" si="869"/>
        <v>268928.57142857142</v>
      </c>
      <c r="U1667" s="10">
        <f t="shared" si="870"/>
        <v>301200</v>
      </c>
      <c r="V1667" s="1"/>
      <c r="W1667" s="1">
        <v>2015</v>
      </c>
      <c r="X1667" s="20"/>
    </row>
    <row r="1668" spans="1:24" s="133" customFormat="1" ht="76.5" customHeight="1" outlineLevel="1" x14ac:dyDescent="0.2">
      <c r="A1668" s="1" t="s">
        <v>2508</v>
      </c>
      <c r="B1668" s="24" t="s">
        <v>5277</v>
      </c>
      <c r="C1668" s="4" t="s">
        <v>6495</v>
      </c>
      <c r="D1668" s="4" t="s">
        <v>194</v>
      </c>
      <c r="E1668" s="4" t="s">
        <v>6496</v>
      </c>
      <c r="F1668" s="4" t="s">
        <v>881</v>
      </c>
      <c r="G1668" s="4" t="s">
        <v>1888</v>
      </c>
      <c r="H1668" s="22">
        <v>0</v>
      </c>
      <c r="I1668" s="4">
        <v>710000000</v>
      </c>
      <c r="J1668" s="4" t="s">
        <v>1931</v>
      </c>
      <c r="K1668" s="4" t="s">
        <v>5297</v>
      </c>
      <c r="L1668" s="7" t="s">
        <v>1940</v>
      </c>
      <c r="M1668" s="8" t="s">
        <v>3195</v>
      </c>
      <c r="N1668" s="4" t="s">
        <v>1890</v>
      </c>
      <c r="O1668" s="8" t="s">
        <v>1935</v>
      </c>
      <c r="P1668" s="8">
        <v>796</v>
      </c>
      <c r="Q1668" s="8" t="s">
        <v>3196</v>
      </c>
      <c r="R1668" s="10">
        <v>10</v>
      </c>
      <c r="S1668" s="10">
        <f>1284/1.12</f>
        <v>1146.4285714285713</v>
      </c>
      <c r="T1668" s="10">
        <f t="shared" si="869"/>
        <v>11464.285714285714</v>
      </c>
      <c r="U1668" s="10">
        <f t="shared" si="870"/>
        <v>12840</v>
      </c>
      <c r="V1668" s="1"/>
      <c r="W1668" s="1">
        <v>2015</v>
      </c>
      <c r="X1668" s="20"/>
    </row>
    <row r="1669" spans="1:24" s="133" customFormat="1" ht="76.5" customHeight="1" outlineLevel="1" x14ac:dyDescent="0.2">
      <c r="A1669" s="1" t="s">
        <v>2509</v>
      </c>
      <c r="B1669" s="24" t="s">
        <v>5277</v>
      </c>
      <c r="C1669" s="4" t="s">
        <v>6495</v>
      </c>
      <c r="D1669" s="4" t="s">
        <v>194</v>
      </c>
      <c r="E1669" s="4" t="s">
        <v>6496</v>
      </c>
      <c r="F1669" s="4" t="s">
        <v>882</v>
      </c>
      <c r="G1669" s="4" t="s">
        <v>1888</v>
      </c>
      <c r="H1669" s="22">
        <v>0</v>
      </c>
      <c r="I1669" s="4">
        <v>710000000</v>
      </c>
      <c r="J1669" s="4" t="s">
        <v>1931</v>
      </c>
      <c r="K1669" s="4" t="s">
        <v>5297</v>
      </c>
      <c r="L1669" s="7" t="s">
        <v>1940</v>
      </c>
      <c r="M1669" s="8" t="s">
        <v>3195</v>
      </c>
      <c r="N1669" s="4" t="s">
        <v>1890</v>
      </c>
      <c r="O1669" s="8" t="s">
        <v>1935</v>
      </c>
      <c r="P1669" s="8">
        <v>796</v>
      </c>
      <c r="Q1669" s="8" t="s">
        <v>3196</v>
      </c>
      <c r="R1669" s="10">
        <v>10</v>
      </c>
      <c r="S1669" s="10">
        <f>748/1.12</f>
        <v>667.85714285714278</v>
      </c>
      <c r="T1669" s="10">
        <f t="shared" si="869"/>
        <v>6678.5714285714275</v>
      </c>
      <c r="U1669" s="10">
        <f t="shared" si="870"/>
        <v>7480</v>
      </c>
      <c r="V1669" s="1"/>
      <c r="W1669" s="1">
        <v>2015</v>
      </c>
      <c r="X1669" s="20"/>
    </row>
    <row r="1670" spans="1:24" s="133" customFormat="1" ht="76.5" customHeight="1" outlineLevel="1" x14ac:dyDescent="0.2">
      <c r="A1670" s="1" t="s">
        <v>2510</v>
      </c>
      <c r="B1670" s="24" t="s">
        <v>5277</v>
      </c>
      <c r="C1670" s="4" t="s">
        <v>883</v>
      </c>
      <c r="D1670" s="4" t="s">
        <v>884</v>
      </c>
      <c r="E1670" s="4" t="s">
        <v>5343</v>
      </c>
      <c r="F1670" s="4"/>
      <c r="G1670" s="4" t="s">
        <v>1888</v>
      </c>
      <c r="H1670" s="22">
        <v>0</v>
      </c>
      <c r="I1670" s="4">
        <v>710000000</v>
      </c>
      <c r="J1670" s="4" t="s">
        <v>1931</v>
      </c>
      <c r="K1670" s="4" t="s">
        <v>5297</v>
      </c>
      <c r="L1670" s="7" t="s">
        <v>1940</v>
      </c>
      <c r="M1670" s="8" t="s">
        <v>3195</v>
      </c>
      <c r="N1670" s="4" t="s">
        <v>1890</v>
      </c>
      <c r="O1670" s="8" t="s">
        <v>1935</v>
      </c>
      <c r="P1670" s="4">
        <v>839</v>
      </c>
      <c r="Q1670" s="4" t="s">
        <v>5413</v>
      </c>
      <c r="R1670" s="10">
        <f>6+4</f>
        <v>10</v>
      </c>
      <c r="S1670" s="10">
        <f>3809/1.1</f>
        <v>3462.7272727272725</v>
      </c>
      <c r="T1670" s="10">
        <f t="shared" si="869"/>
        <v>34627.272727272728</v>
      </c>
      <c r="U1670" s="10">
        <f t="shared" si="870"/>
        <v>38782.545454545456</v>
      </c>
      <c r="V1670" s="1"/>
      <c r="W1670" s="1">
        <v>2015</v>
      </c>
      <c r="X1670" s="20"/>
    </row>
    <row r="1671" spans="1:24" s="133" customFormat="1" ht="76.5" customHeight="1" outlineLevel="1" x14ac:dyDescent="0.2">
      <c r="A1671" s="1" t="s">
        <v>2511</v>
      </c>
      <c r="B1671" s="24" t="s">
        <v>5277</v>
      </c>
      <c r="C1671" s="4" t="s">
        <v>885</v>
      </c>
      <c r="D1671" s="4" t="s">
        <v>886</v>
      </c>
      <c r="E1671" s="4" t="s">
        <v>887</v>
      </c>
      <c r="F1671" s="4"/>
      <c r="G1671" s="4" t="s">
        <v>1888</v>
      </c>
      <c r="H1671" s="22">
        <v>0</v>
      </c>
      <c r="I1671" s="4">
        <v>710000000</v>
      </c>
      <c r="J1671" s="4" t="s">
        <v>1931</v>
      </c>
      <c r="K1671" s="4" t="s">
        <v>5297</v>
      </c>
      <c r="L1671" s="7" t="s">
        <v>1940</v>
      </c>
      <c r="M1671" s="8" t="s">
        <v>3195</v>
      </c>
      <c r="N1671" s="4" t="s">
        <v>1890</v>
      </c>
      <c r="O1671" s="8" t="s">
        <v>1935</v>
      </c>
      <c r="P1671" s="4">
        <v>704</v>
      </c>
      <c r="Q1671" s="4" t="s">
        <v>5196</v>
      </c>
      <c r="R1671" s="10">
        <f>2+1</f>
        <v>3</v>
      </c>
      <c r="S1671" s="10">
        <f>1953/1.12</f>
        <v>1743.7499999999998</v>
      </c>
      <c r="T1671" s="10">
        <f t="shared" si="869"/>
        <v>5231.2499999999991</v>
      </c>
      <c r="U1671" s="10">
        <f t="shared" si="870"/>
        <v>5858.9999999999991</v>
      </c>
      <c r="V1671" s="1"/>
      <c r="W1671" s="1">
        <v>2015</v>
      </c>
      <c r="X1671" s="20"/>
    </row>
    <row r="1672" spans="1:24" s="133" customFormat="1" ht="76.5" customHeight="1" outlineLevel="1" x14ac:dyDescent="0.2">
      <c r="A1672" s="1" t="s">
        <v>2512</v>
      </c>
      <c r="B1672" s="24" t="s">
        <v>5277</v>
      </c>
      <c r="C1672" s="4" t="s">
        <v>3728</v>
      </c>
      <c r="D1672" s="4" t="s">
        <v>6163</v>
      </c>
      <c r="E1672" s="4" t="s">
        <v>6163</v>
      </c>
      <c r="F1672" s="4"/>
      <c r="G1672" s="4" t="s">
        <v>1888</v>
      </c>
      <c r="H1672" s="22">
        <v>0</v>
      </c>
      <c r="I1672" s="4">
        <v>710000000</v>
      </c>
      <c r="J1672" s="4" t="s">
        <v>1931</v>
      </c>
      <c r="K1672" s="4" t="s">
        <v>5297</v>
      </c>
      <c r="L1672" s="7" t="s">
        <v>1940</v>
      </c>
      <c r="M1672" s="8" t="s">
        <v>3195</v>
      </c>
      <c r="N1672" s="4" t="s">
        <v>1890</v>
      </c>
      <c r="O1672" s="8" t="s">
        <v>1935</v>
      </c>
      <c r="P1672" s="4">
        <v>704</v>
      </c>
      <c r="Q1672" s="4" t="s">
        <v>5196</v>
      </c>
      <c r="R1672" s="10">
        <f>2+5</f>
        <v>7</v>
      </c>
      <c r="S1672" s="10">
        <f>6955/1.12</f>
        <v>6209.8214285714275</v>
      </c>
      <c r="T1672" s="10">
        <f t="shared" si="869"/>
        <v>43468.749999999993</v>
      </c>
      <c r="U1672" s="10">
        <f t="shared" si="870"/>
        <v>48685</v>
      </c>
      <c r="V1672" s="1"/>
      <c r="W1672" s="1">
        <v>2015</v>
      </c>
      <c r="X1672" s="20"/>
    </row>
    <row r="1673" spans="1:24" s="133" customFormat="1" ht="76.5" customHeight="1" outlineLevel="1" x14ac:dyDescent="0.2">
      <c r="A1673" s="1" t="s">
        <v>2513</v>
      </c>
      <c r="B1673" s="24" t="s">
        <v>5277</v>
      </c>
      <c r="C1673" s="4" t="s">
        <v>888</v>
      </c>
      <c r="D1673" s="4" t="s">
        <v>889</v>
      </c>
      <c r="E1673" s="4" t="s">
        <v>890</v>
      </c>
      <c r="F1673" s="4"/>
      <c r="G1673" s="4" t="s">
        <v>1888</v>
      </c>
      <c r="H1673" s="22">
        <v>0</v>
      </c>
      <c r="I1673" s="4">
        <v>710000000</v>
      </c>
      <c r="J1673" s="4" t="s">
        <v>1931</v>
      </c>
      <c r="K1673" s="4" t="s">
        <v>5297</v>
      </c>
      <c r="L1673" s="7" t="s">
        <v>1940</v>
      </c>
      <c r="M1673" s="8" t="s">
        <v>3195</v>
      </c>
      <c r="N1673" s="4" t="s">
        <v>1890</v>
      </c>
      <c r="O1673" s="8" t="s">
        <v>1935</v>
      </c>
      <c r="P1673" s="8">
        <v>796</v>
      </c>
      <c r="Q1673" s="8" t="s">
        <v>3196</v>
      </c>
      <c r="R1673" s="10">
        <v>1</v>
      </c>
      <c r="S1673" s="10">
        <f>62060/1.12</f>
        <v>55410.714285714283</v>
      </c>
      <c r="T1673" s="10">
        <f t="shared" si="869"/>
        <v>55410.714285714283</v>
      </c>
      <c r="U1673" s="10">
        <f t="shared" si="870"/>
        <v>62060</v>
      </c>
      <c r="V1673" s="1"/>
      <c r="W1673" s="1">
        <v>2015</v>
      </c>
      <c r="X1673" s="20"/>
    </row>
    <row r="1674" spans="1:24" s="133" customFormat="1" ht="76.5" customHeight="1" outlineLevel="1" x14ac:dyDescent="0.2">
      <c r="A1674" s="1" t="s">
        <v>2514</v>
      </c>
      <c r="B1674" s="24" t="s">
        <v>5277</v>
      </c>
      <c r="C1674" s="4" t="s">
        <v>891</v>
      </c>
      <c r="D1674" s="4" t="s">
        <v>892</v>
      </c>
      <c r="E1674" s="4" t="s">
        <v>893</v>
      </c>
      <c r="F1674" s="4"/>
      <c r="G1674" s="4" t="s">
        <v>1888</v>
      </c>
      <c r="H1674" s="22">
        <v>0</v>
      </c>
      <c r="I1674" s="4">
        <v>710000000</v>
      </c>
      <c r="J1674" s="4" t="s">
        <v>1931</v>
      </c>
      <c r="K1674" s="4" t="s">
        <v>5297</v>
      </c>
      <c r="L1674" s="7" t="s">
        <v>1940</v>
      </c>
      <c r="M1674" s="8" t="s">
        <v>3195</v>
      </c>
      <c r="N1674" s="4" t="s">
        <v>1890</v>
      </c>
      <c r="O1674" s="8" t="s">
        <v>1935</v>
      </c>
      <c r="P1674" s="4">
        <v>704</v>
      </c>
      <c r="Q1674" s="4" t="s">
        <v>5196</v>
      </c>
      <c r="R1674" s="10">
        <f>2+2</f>
        <v>4</v>
      </c>
      <c r="S1674" s="10">
        <f>12840/1.12</f>
        <v>11464.285714285714</v>
      </c>
      <c r="T1674" s="10">
        <f t="shared" si="869"/>
        <v>45857.142857142855</v>
      </c>
      <c r="U1674" s="10">
        <f t="shared" si="870"/>
        <v>51360</v>
      </c>
      <c r="V1674" s="1"/>
      <c r="W1674" s="1">
        <v>2015</v>
      </c>
      <c r="X1674" s="20"/>
    </row>
    <row r="1675" spans="1:24" s="133" customFormat="1" ht="76.5" customHeight="1" outlineLevel="1" x14ac:dyDescent="0.2">
      <c r="A1675" s="1" t="s">
        <v>2515</v>
      </c>
      <c r="B1675" s="24" t="s">
        <v>5277</v>
      </c>
      <c r="C1675" s="4" t="s">
        <v>894</v>
      </c>
      <c r="D1675" s="4" t="s">
        <v>895</v>
      </c>
      <c r="E1675" s="4" t="s">
        <v>896</v>
      </c>
      <c r="F1675" s="4"/>
      <c r="G1675" s="4" t="s">
        <v>1888</v>
      </c>
      <c r="H1675" s="22">
        <v>0</v>
      </c>
      <c r="I1675" s="4">
        <v>710000000</v>
      </c>
      <c r="J1675" s="4" t="s">
        <v>1931</v>
      </c>
      <c r="K1675" s="4" t="s">
        <v>5297</v>
      </c>
      <c r="L1675" s="7" t="s">
        <v>1940</v>
      </c>
      <c r="M1675" s="8" t="s">
        <v>3195</v>
      </c>
      <c r="N1675" s="4" t="s">
        <v>1890</v>
      </c>
      <c r="O1675" s="8" t="s">
        <v>1935</v>
      </c>
      <c r="P1675" s="8">
        <v>796</v>
      </c>
      <c r="Q1675" s="8" t="s">
        <v>3196</v>
      </c>
      <c r="R1675" s="10">
        <v>1</v>
      </c>
      <c r="S1675" s="10">
        <f>1070/1.12</f>
        <v>955.35714285714278</v>
      </c>
      <c r="T1675" s="10">
        <f t="shared" si="869"/>
        <v>955.35714285714278</v>
      </c>
      <c r="U1675" s="10">
        <f t="shared" si="870"/>
        <v>1070</v>
      </c>
      <c r="V1675" s="1"/>
      <c r="W1675" s="1">
        <v>2015</v>
      </c>
      <c r="X1675" s="20"/>
    </row>
    <row r="1676" spans="1:24" s="133" customFormat="1" ht="76.5" customHeight="1" outlineLevel="1" x14ac:dyDescent="0.2">
      <c r="A1676" s="1" t="s">
        <v>2516</v>
      </c>
      <c r="B1676" s="24" t="s">
        <v>5277</v>
      </c>
      <c r="C1676" s="4" t="s">
        <v>897</v>
      </c>
      <c r="D1676" s="4" t="s">
        <v>898</v>
      </c>
      <c r="E1676" s="4" t="s">
        <v>899</v>
      </c>
      <c r="F1676" s="4"/>
      <c r="G1676" s="4" t="s">
        <v>1888</v>
      </c>
      <c r="H1676" s="22">
        <v>0</v>
      </c>
      <c r="I1676" s="4">
        <v>710000000</v>
      </c>
      <c r="J1676" s="4" t="s">
        <v>1931</v>
      </c>
      <c r="K1676" s="4" t="s">
        <v>5297</v>
      </c>
      <c r="L1676" s="7" t="s">
        <v>1940</v>
      </c>
      <c r="M1676" s="8" t="s">
        <v>3195</v>
      </c>
      <c r="N1676" s="4" t="s">
        <v>1890</v>
      </c>
      <c r="O1676" s="8" t="s">
        <v>1935</v>
      </c>
      <c r="P1676" s="8">
        <v>796</v>
      </c>
      <c r="Q1676" s="8" t="s">
        <v>3196</v>
      </c>
      <c r="R1676" s="10">
        <v>1</v>
      </c>
      <c r="S1676" s="10">
        <f>26750/1.12</f>
        <v>23883.928571428569</v>
      </c>
      <c r="T1676" s="10">
        <f t="shared" si="869"/>
        <v>23883.928571428569</v>
      </c>
      <c r="U1676" s="10">
        <f t="shared" si="870"/>
        <v>26750</v>
      </c>
      <c r="V1676" s="1"/>
      <c r="W1676" s="1">
        <v>2015</v>
      </c>
      <c r="X1676" s="20"/>
    </row>
    <row r="1677" spans="1:24" s="133" customFormat="1" ht="76.5" customHeight="1" outlineLevel="1" x14ac:dyDescent="0.2">
      <c r="A1677" s="1" t="s">
        <v>2517</v>
      </c>
      <c r="B1677" s="24" t="s">
        <v>5277</v>
      </c>
      <c r="C1677" s="4" t="s">
        <v>900</v>
      </c>
      <c r="D1677" s="4" t="s">
        <v>901</v>
      </c>
      <c r="E1677" s="4" t="s">
        <v>902</v>
      </c>
      <c r="F1677" s="4"/>
      <c r="G1677" s="4" t="s">
        <v>1888</v>
      </c>
      <c r="H1677" s="22">
        <v>0</v>
      </c>
      <c r="I1677" s="4">
        <v>710000000</v>
      </c>
      <c r="J1677" s="4" t="s">
        <v>1931</v>
      </c>
      <c r="K1677" s="4" t="s">
        <v>5297</v>
      </c>
      <c r="L1677" s="7" t="s">
        <v>1940</v>
      </c>
      <c r="M1677" s="8" t="s">
        <v>3195</v>
      </c>
      <c r="N1677" s="4" t="s">
        <v>1890</v>
      </c>
      <c r="O1677" s="8" t="s">
        <v>1935</v>
      </c>
      <c r="P1677" s="8">
        <v>796</v>
      </c>
      <c r="Q1677" s="8" t="s">
        <v>3196</v>
      </c>
      <c r="R1677" s="10">
        <f>1+1</f>
        <v>2</v>
      </c>
      <c r="S1677" s="10">
        <f>51360/1.12</f>
        <v>45857.142857142855</v>
      </c>
      <c r="T1677" s="10">
        <f t="shared" si="869"/>
        <v>91714.28571428571</v>
      </c>
      <c r="U1677" s="10">
        <f t="shared" si="870"/>
        <v>102720</v>
      </c>
      <c r="V1677" s="1"/>
      <c r="W1677" s="1">
        <v>2015</v>
      </c>
      <c r="X1677" s="20"/>
    </row>
    <row r="1678" spans="1:24" s="133" customFormat="1" ht="76.5" customHeight="1" outlineLevel="1" x14ac:dyDescent="0.2">
      <c r="A1678" s="1" t="s">
        <v>2518</v>
      </c>
      <c r="B1678" s="24" t="s">
        <v>5277</v>
      </c>
      <c r="C1678" s="4" t="s">
        <v>903</v>
      </c>
      <c r="D1678" s="4" t="s">
        <v>904</v>
      </c>
      <c r="E1678" s="4" t="s">
        <v>905</v>
      </c>
      <c r="F1678" s="68" t="s">
        <v>906</v>
      </c>
      <c r="G1678" s="4" t="s">
        <v>1888</v>
      </c>
      <c r="H1678" s="22">
        <v>0</v>
      </c>
      <c r="I1678" s="4">
        <v>710000000</v>
      </c>
      <c r="J1678" s="4" t="s">
        <v>1931</v>
      </c>
      <c r="K1678" s="4" t="s">
        <v>5297</v>
      </c>
      <c r="L1678" s="7" t="s">
        <v>1940</v>
      </c>
      <c r="M1678" s="8" t="s">
        <v>3195</v>
      </c>
      <c r="N1678" s="4" t="s">
        <v>1890</v>
      </c>
      <c r="O1678" s="8" t="s">
        <v>1935</v>
      </c>
      <c r="P1678" s="8">
        <v>796</v>
      </c>
      <c r="Q1678" s="8" t="s">
        <v>3196</v>
      </c>
      <c r="R1678" s="10">
        <v>2</v>
      </c>
      <c r="S1678" s="10">
        <f>4500/1.12</f>
        <v>4017.8571428571427</v>
      </c>
      <c r="T1678" s="10">
        <f t="shared" si="869"/>
        <v>8035.7142857142853</v>
      </c>
      <c r="U1678" s="10">
        <f t="shared" si="870"/>
        <v>9000</v>
      </c>
      <c r="V1678" s="1"/>
      <c r="W1678" s="1">
        <v>2015</v>
      </c>
      <c r="X1678" s="20"/>
    </row>
    <row r="1679" spans="1:24" s="133" customFormat="1" ht="76.5" customHeight="1" outlineLevel="1" x14ac:dyDescent="0.2">
      <c r="A1679" s="1" t="s">
        <v>2519</v>
      </c>
      <c r="B1679" s="24" t="s">
        <v>5277</v>
      </c>
      <c r="C1679" s="4" t="s">
        <v>907</v>
      </c>
      <c r="D1679" s="4" t="s">
        <v>908</v>
      </c>
      <c r="E1679" s="4" t="s">
        <v>909</v>
      </c>
      <c r="F1679" s="4" t="s">
        <v>910</v>
      </c>
      <c r="G1679" s="4" t="s">
        <v>1888</v>
      </c>
      <c r="H1679" s="22">
        <v>0</v>
      </c>
      <c r="I1679" s="4">
        <v>710000000</v>
      </c>
      <c r="J1679" s="4" t="s">
        <v>1931</v>
      </c>
      <c r="K1679" s="4" t="s">
        <v>5297</v>
      </c>
      <c r="L1679" s="7" t="s">
        <v>1940</v>
      </c>
      <c r="M1679" s="8" t="s">
        <v>3195</v>
      </c>
      <c r="N1679" s="4" t="s">
        <v>1890</v>
      </c>
      <c r="O1679" s="8" t="s">
        <v>1935</v>
      </c>
      <c r="P1679" s="8">
        <v>796</v>
      </c>
      <c r="Q1679" s="8" t="s">
        <v>3196</v>
      </c>
      <c r="R1679" s="10">
        <v>4</v>
      </c>
      <c r="S1679" s="10">
        <v>748</v>
      </c>
      <c r="T1679" s="10">
        <f t="shared" si="869"/>
        <v>2992</v>
      </c>
      <c r="U1679" s="10">
        <f t="shared" si="870"/>
        <v>3351.0400000000004</v>
      </c>
      <c r="V1679" s="1"/>
      <c r="W1679" s="1">
        <v>2015</v>
      </c>
      <c r="X1679" s="20"/>
    </row>
    <row r="1680" spans="1:24" s="133" customFormat="1" ht="76.5" customHeight="1" outlineLevel="1" x14ac:dyDescent="0.2">
      <c r="A1680" s="1" t="s">
        <v>2520</v>
      </c>
      <c r="B1680" s="24" t="s">
        <v>5277</v>
      </c>
      <c r="C1680" s="4" t="s">
        <v>3400</v>
      </c>
      <c r="D1680" s="4" t="s">
        <v>6072</v>
      </c>
      <c r="E1680" s="4" t="s">
        <v>6073</v>
      </c>
      <c r="F1680" s="4"/>
      <c r="G1680" s="4" t="s">
        <v>1888</v>
      </c>
      <c r="H1680" s="22">
        <v>0</v>
      </c>
      <c r="I1680" s="4">
        <v>710000000</v>
      </c>
      <c r="J1680" s="4" t="s">
        <v>1931</v>
      </c>
      <c r="K1680" s="4" t="s">
        <v>5297</v>
      </c>
      <c r="L1680" s="7" t="s">
        <v>1940</v>
      </c>
      <c r="M1680" s="8" t="s">
        <v>3195</v>
      </c>
      <c r="N1680" s="4" t="s">
        <v>1890</v>
      </c>
      <c r="O1680" s="8" t="s">
        <v>1935</v>
      </c>
      <c r="P1680" s="8">
        <v>796</v>
      </c>
      <c r="Q1680" s="8" t="s">
        <v>3196</v>
      </c>
      <c r="R1680" s="10">
        <v>4</v>
      </c>
      <c r="S1680" s="10">
        <f>2000/1.12</f>
        <v>1785.7142857142856</v>
      </c>
      <c r="T1680" s="10">
        <f t="shared" si="869"/>
        <v>7142.8571428571422</v>
      </c>
      <c r="U1680" s="10">
        <f t="shared" si="870"/>
        <v>8000</v>
      </c>
      <c r="V1680" s="1"/>
      <c r="W1680" s="1">
        <v>2015</v>
      </c>
      <c r="X1680" s="20"/>
    </row>
    <row r="1681" spans="1:24" s="133" customFormat="1" ht="76.5" customHeight="1" outlineLevel="1" x14ac:dyDescent="0.2">
      <c r="A1681" s="1" t="s">
        <v>2521</v>
      </c>
      <c r="B1681" s="24" t="s">
        <v>5277</v>
      </c>
      <c r="C1681" s="4" t="s">
        <v>1377</v>
      </c>
      <c r="D1681" s="4" t="s">
        <v>5758</v>
      </c>
      <c r="E1681" s="4" t="s">
        <v>1378</v>
      </c>
      <c r="F1681" s="4" t="s">
        <v>911</v>
      </c>
      <c r="G1681" s="4" t="s">
        <v>1888</v>
      </c>
      <c r="H1681" s="22">
        <v>0</v>
      </c>
      <c r="I1681" s="4">
        <v>710000000</v>
      </c>
      <c r="J1681" s="4" t="s">
        <v>1931</v>
      </c>
      <c r="K1681" s="4" t="s">
        <v>5297</v>
      </c>
      <c r="L1681" s="7" t="s">
        <v>1940</v>
      </c>
      <c r="M1681" s="8" t="s">
        <v>3195</v>
      </c>
      <c r="N1681" s="4" t="s">
        <v>1890</v>
      </c>
      <c r="O1681" s="8" t="s">
        <v>1935</v>
      </c>
      <c r="P1681" s="8">
        <v>796</v>
      </c>
      <c r="Q1681" s="8" t="s">
        <v>3196</v>
      </c>
      <c r="R1681" s="10">
        <v>2</v>
      </c>
      <c r="S1681" s="10">
        <v>1926</v>
      </c>
      <c r="T1681" s="10">
        <f t="shared" si="869"/>
        <v>3852</v>
      </c>
      <c r="U1681" s="10">
        <f t="shared" si="870"/>
        <v>4314.2400000000007</v>
      </c>
      <c r="V1681" s="1"/>
      <c r="W1681" s="1">
        <v>2015</v>
      </c>
      <c r="X1681" s="20"/>
    </row>
    <row r="1682" spans="1:24" s="133" customFormat="1" ht="76.5" customHeight="1" outlineLevel="1" x14ac:dyDescent="0.2">
      <c r="A1682" s="1" t="s">
        <v>2522</v>
      </c>
      <c r="B1682" s="24" t="s">
        <v>5277</v>
      </c>
      <c r="C1682" s="4" t="s">
        <v>912</v>
      </c>
      <c r="D1682" s="4" t="s">
        <v>913</v>
      </c>
      <c r="E1682" s="4" t="s">
        <v>914</v>
      </c>
      <c r="F1682" s="68" t="s">
        <v>915</v>
      </c>
      <c r="G1682" s="4" t="s">
        <v>1888</v>
      </c>
      <c r="H1682" s="22">
        <v>0</v>
      </c>
      <c r="I1682" s="4">
        <v>710000000</v>
      </c>
      <c r="J1682" s="4" t="s">
        <v>1931</v>
      </c>
      <c r="K1682" s="4" t="s">
        <v>5297</v>
      </c>
      <c r="L1682" s="7" t="s">
        <v>1940</v>
      </c>
      <c r="M1682" s="8" t="s">
        <v>3195</v>
      </c>
      <c r="N1682" s="4" t="s">
        <v>1890</v>
      </c>
      <c r="O1682" s="8" t="s">
        <v>1935</v>
      </c>
      <c r="P1682" s="8">
        <v>796</v>
      </c>
      <c r="Q1682" s="8" t="s">
        <v>3196</v>
      </c>
      <c r="R1682" s="10">
        <v>2</v>
      </c>
      <c r="S1682" s="10">
        <v>2765.76</v>
      </c>
      <c r="T1682" s="10">
        <f t="shared" si="869"/>
        <v>5531.52</v>
      </c>
      <c r="U1682" s="10">
        <f t="shared" si="870"/>
        <v>6195.3024000000014</v>
      </c>
      <c r="V1682" s="1"/>
      <c r="W1682" s="1">
        <v>2015</v>
      </c>
      <c r="X1682" s="20"/>
    </row>
    <row r="1683" spans="1:24" s="133" customFormat="1" ht="76.5" customHeight="1" outlineLevel="1" x14ac:dyDescent="0.2">
      <c r="A1683" s="1" t="s">
        <v>2523</v>
      </c>
      <c r="B1683" s="24" t="s">
        <v>5277</v>
      </c>
      <c r="C1683" s="4" t="s">
        <v>916</v>
      </c>
      <c r="D1683" s="4" t="s">
        <v>917</v>
      </c>
      <c r="E1683" s="4" t="s">
        <v>918</v>
      </c>
      <c r="F1683" s="4"/>
      <c r="G1683" s="4" t="s">
        <v>1888</v>
      </c>
      <c r="H1683" s="22">
        <v>0</v>
      </c>
      <c r="I1683" s="4">
        <v>710000000</v>
      </c>
      <c r="J1683" s="4" t="s">
        <v>1931</v>
      </c>
      <c r="K1683" s="4" t="s">
        <v>5297</v>
      </c>
      <c r="L1683" s="7" t="s">
        <v>1940</v>
      </c>
      <c r="M1683" s="8" t="s">
        <v>3195</v>
      </c>
      <c r="N1683" s="4" t="s">
        <v>1890</v>
      </c>
      <c r="O1683" s="8" t="s">
        <v>1935</v>
      </c>
      <c r="P1683" s="4">
        <v>166</v>
      </c>
      <c r="Q1683" s="4" t="s">
        <v>3324</v>
      </c>
      <c r="R1683" s="10">
        <v>10</v>
      </c>
      <c r="S1683" s="10">
        <v>2675</v>
      </c>
      <c r="T1683" s="10">
        <f t="shared" si="869"/>
        <v>26750</v>
      </c>
      <c r="U1683" s="10">
        <f t="shared" si="870"/>
        <v>29960.000000000004</v>
      </c>
      <c r="V1683" s="1"/>
      <c r="W1683" s="1">
        <v>2015</v>
      </c>
      <c r="X1683" s="20"/>
    </row>
    <row r="1684" spans="1:24" s="133" customFormat="1" ht="76.5" customHeight="1" outlineLevel="1" x14ac:dyDescent="0.2">
      <c r="A1684" s="1" t="s">
        <v>2524</v>
      </c>
      <c r="B1684" s="24" t="s">
        <v>5277</v>
      </c>
      <c r="C1684" s="4" t="s">
        <v>1868</v>
      </c>
      <c r="D1684" s="4" t="s">
        <v>6136</v>
      </c>
      <c r="E1684" s="4" t="s">
        <v>6137</v>
      </c>
      <c r="F1684" s="4"/>
      <c r="G1684" s="4" t="s">
        <v>1888</v>
      </c>
      <c r="H1684" s="22">
        <v>0</v>
      </c>
      <c r="I1684" s="4">
        <v>710000000</v>
      </c>
      <c r="J1684" s="4" t="s">
        <v>1931</v>
      </c>
      <c r="K1684" s="4" t="s">
        <v>5297</v>
      </c>
      <c r="L1684" s="7" t="s">
        <v>1940</v>
      </c>
      <c r="M1684" s="8" t="s">
        <v>3195</v>
      </c>
      <c r="N1684" s="4" t="s">
        <v>1890</v>
      </c>
      <c r="O1684" s="8" t="s">
        <v>1935</v>
      </c>
      <c r="P1684" s="8">
        <v>796</v>
      </c>
      <c r="Q1684" s="8" t="s">
        <v>3196</v>
      </c>
      <c r="R1684" s="10">
        <v>26</v>
      </c>
      <c r="S1684" s="10">
        <v>587</v>
      </c>
      <c r="T1684" s="10">
        <f t="shared" si="869"/>
        <v>15262</v>
      </c>
      <c r="U1684" s="10">
        <f t="shared" si="870"/>
        <v>17093.440000000002</v>
      </c>
      <c r="V1684" s="1"/>
      <c r="W1684" s="1">
        <v>2015</v>
      </c>
      <c r="X1684" s="20"/>
    </row>
    <row r="1685" spans="1:24" s="133" customFormat="1" ht="76.5" customHeight="1" outlineLevel="1" x14ac:dyDescent="0.2">
      <c r="A1685" s="1" t="s">
        <v>2525</v>
      </c>
      <c r="B1685" s="24" t="s">
        <v>5277</v>
      </c>
      <c r="C1685" s="4" t="s">
        <v>1869</v>
      </c>
      <c r="D1685" s="4" t="s">
        <v>6136</v>
      </c>
      <c r="E1685" s="4" t="s">
        <v>6502</v>
      </c>
      <c r="F1685" s="216"/>
      <c r="G1685" s="4" t="s">
        <v>1888</v>
      </c>
      <c r="H1685" s="22">
        <v>0</v>
      </c>
      <c r="I1685" s="4">
        <v>710000000</v>
      </c>
      <c r="J1685" s="4" t="s">
        <v>1931</v>
      </c>
      <c r="K1685" s="4" t="s">
        <v>5297</v>
      </c>
      <c r="L1685" s="7" t="s">
        <v>1940</v>
      </c>
      <c r="M1685" s="8" t="s">
        <v>3195</v>
      </c>
      <c r="N1685" s="4" t="s">
        <v>1890</v>
      </c>
      <c r="O1685" s="8" t="s">
        <v>1935</v>
      </c>
      <c r="P1685" s="8">
        <v>796</v>
      </c>
      <c r="Q1685" s="8" t="s">
        <v>3196</v>
      </c>
      <c r="R1685" s="10">
        <v>20</v>
      </c>
      <c r="S1685" s="10">
        <v>821</v>
      </c>
      <c r="T1685" s="10">
        <f t="shared" si="869"/>
        <v>16420</v>
      </c>
      <c r="U1685" s="10">
        <f t="shared" si="870"/>
        <v>18390.400000000001</v>
      </c>
      <c r="V1685" s="1"/>
      <c r="W1685" s="1">
        <v>2015</v>
      </c>
      <c r="X1685" s="20"/>
    </row>
    <row r="1686" spans="1:24" s="133" customFormat="1" ht="76.5" customHeight="1" outlineLevel="1" x14ac:dyDescent="0.2">
      <c r="A1686" s="1" t="s">
        <v>2526</v>
      </c>
      <c r="B1686" s="24" t="s">
        <v>5277</v>
      </c>
      <c r="C1686" s="4" t="s">
        <v>1870</v>
      </c>
      <c r="D1686" s="4" t="s">
        <v>830</v>
      </c>
      <c r="E1686" s="4" t="s">
        <v>6138</v>
      </c>
      <c r="F1686" s="4" t="s">
        <v>919</v>
      </c>
      <c r="G1686" s="4" t="s">
        <v>1888</v>
      </c>
      <c r="H1686" s="22">
        <v>0</v>
      </c>
      <c r="I1686" s="4">
        <v>710000000</v>
      </c>
      <c r="J1686" s="4" t="s">
        <v>1931</v>
      </c>
      <c r="K1686" s="4" t="s">
        <v>5297</v>
      </c>
      <c r="L1686" s="7" t="s">
        <v>1940</v>
      </c>
      <c r="M1686" s="8" t="s">
        <v>3195</v>
      </c>
      <c r="N1686" s="4" t="s">
        <v>1890</v>
      </c>
      <c r="O1686" s="8" t="s">
        <v>1935</v>
      </c>
      <c r="P1686" s="8">
        <v>796</v>
      </c>
      <c r="Q1686" s="8" t="s">
        <v>3196</v>
      </c>
      <c r="R1686" s="10">
        <v>378</v>
      </c>
      <c r="S1686" s="10">
        <v>122</v>
      </c>
      <c r="T1686" s="10">
        <f t="shared" si="869"/>
        <v>46116</v>
      </c>
      <c r="U1686" s="10">
        <f t="shared" si="870"/>
        <v>51649.920000000006</v>
      </c>
      <c r="V1686" s="1"/>
      <c r="W1686" s="1">
        <v>2015</v>
      </c>
      <c r="X1686" s="20"/>
    </row>
    <row r="1687" spans="1:24" s="133" customFormat="1" ht="76.5" customHeight="1" outlineLevel="1" x14ac:dyDescent="0.2">
      <c r="A1687" s="1" t="s">
        <v>2527</v>
      </c>
      <c r="B1687" s="24" t="s">
        <v>5277</v>
      </c>
      <c r="C1687" s="4" t="s">
        <v>1871</v>
      </c>
      <c r="D1687" s="4" t="s">
        <v>830</v>
      </c>
      <c r="E1687" s="4" t="s">
        <v>6139</v>
      </c>
      <c r="F1687" s="4" t="s">
        <v>920</v>
      </c>
      <c r="G1687" s="4" t="s">
        <v>1888</v>
      </c>
      <c r="H1687" s="22">
        <v>0</v>
      </c>
      <c r="I1687" s="4">
        <v>710000000</v>
      </c>
      <c r="J1687" s="4" t="s">
        <v>1931</v>
      </c>
      <c r="K1687" s="4" t="s">
        <v>5297</v>
      </c>
      <c r="L1687" s="7" t="s">
        <v>1940</v>
      </c>
      <c r="M1687" s="8" t="s">
        <v>3195</v>
      </c>
      <c r="N1687" s="4" t="s">
        <v>1890</v>
      </c>
      <c r="O1687" s="8" t="s">
        <v>1935</v>
      </c>
      <c r="P1687" s="8">
        <v>796</v>
      </c>
      <c r="Q1687" s="8" t="s">
        <v>3196</v>
      </c>
      <c r="R1687" s="10">
        <v>720</v>
      </c>
      <c r="S1687" s="10">
        <v>125</v>
      </c>
      <c r="T1687" s="10">
        <v>0</v>
      </c>
      <c r="U1687" s="10">
        <f t="shared" si="870"/>
        <v>0</v>
      </c>
      <c r="V1687" s="1"/>
      <c r="W1687" s="1">
        <v>2015</v>
      </c>
      <c r="X1687" s="1" t="s">
        <v>6562</v>
      </c>
    </row>
    <row r="1688" spans="1:24" s="133" customFormat="1" ht="76.5" customHeight="1" outlineLevel="1" x14ac:dyDescent="0.2">
      <c r="A1688" s="1" t="s">
        <v>6628</v>
      </c>
      <c r="B1688" s="24" t="s">
        <v>5277</v>
      </c>
      <c r="C1688" s="4" t="s">
        <v>1871</v>
      </c>
      <c r="D1688" s="4" t="s">
        <v>830</v>
      </c>
      <c r="E1688" s="4" t="s">
        <v>6139</v>
      </c>
      <c r="F1688" s="4" t="s">
        <v>920</v>
      </c>
      <c r="G1688" s="4" t="s">
        <v>1888</v>
      </c>
      <c r="H1688" s="22">
        <v>0</v>
      </c>
      <c r="I1688" s="4">
        <v>710000000</v>
      </c>
      <c r="J1688" s="4" t="s">
        <v>1931</v>
      </c>
      <c r="K1688" s="4" t="s">
        <v>5297</v>
      </c>
      <c r="L1688" s="7" t="s">
        <v>1940</v>
      </c>
      <c r="M1688" s="8" t="s">
        <v>3195</v>
      </c>
      <c r="N1688" s="4" t="s">
        <v>1890</v>
      </c>
      <c r="O1688" s="8" t="s">
        <v>1935</v>
      </c>
      <c r="P1688" s="8">
        <v>796</v>
      </c>
      <c r="Q1688" s="8" t="s">
        <v>3196</v>
      </c>
      <c r="R1688" s="10">
        <f>720-70</f>
        <v>650</v>
      </c>
      <c r="S1688" s="10">
        <v>125</v>
      </c>
      <c r="T1688" s="10">
        <f t="shared" ref="T1688" si="871">S1688*R1688</f>
        <v>81250</v>
      </c>
      <c r="U1688" s="10">
        <f t="shared" si="870"/>
        <v>91000.000000000015</v>
      </c>
      <c r="V1688" s="1"/>
      <c r="W1688" s="1">
        <v>2015</v>
      </c>
      <c r="X1688" s="1"/>
    </row>
    <row r="1689" spans="1:24" s="133" customFormat="1" ht="76.5" customHeight="1" outlineLevel="1" x14ac:dyDescent="0.2">
      <c r="A1689" s="1" t="s">
        <v>2528</v>
      </c>
      <c r="B1689" s="24" t="s">
        <v>5277</v>
      </c>
      <c r="C1689" s="4" t="s">
        <v>1844</v>
      </c>
      <c r="D1689" s="4" t="s">
        <v>830</v>
      </c>
      <c r="E1689" s="4" t="s">
        <v>6161</v>
      </c>
      <c r="F1689" s="4" t="s">
        <v>921</v>
      </c>
      <c r="G1689" s="4" t="s">
        <v>1888</v>
      </c>
      <c r="H1689" s="22">
        <v>0</v>
      </c>
      <c r="I1689" s="4">
        <v>710000000</v>
      </c>
      <c r="J1689" s="4" t="s">
        <v>1931</v>
      </c>
      <c r="K1689" s="4" t="s">
        <v>5297</v>
      </c>
      <c r="L1689" s="7" t="s">
        <v>1940</v>
      </c>
      <c r="M1689" s="8" t="s">
        <v>3195</v>
      </c>
      <c r="N1689" s="4" t="s">
        <v>1890</v>
      </c>
      <c r="O1689" s="8" t="s">
        <v>1935</v>
      </c>
      <c r="P1689" s="8">
        <v>796</v>
      </c>
      <c r="Q1689" s="8" t="s">
        <v>3196</v>
      </c>
      <c r="R1689" s="10">
        <v>280</v>
      </c>
      <c r="S1689" s="10">
        <v>246</v>
      </c>
      <c r="T1689" s="10">
        <v>0</v>
      </c>
      <c r="U1689" s="10">
        <f t="shared" si="870"/>
        <v>0</v>
      </c>
      <c r="V1689" s="1"/>
      <c r="W1689" s="1">
        <v>2015</v>
      </c>
      <c r="X1689" s="1" t="s">
        <v>6562</v>
      </c>
    </row>
    <row r="1690" spans="1:24" s="133" customFormat="1" ht="76.5" customHeight="1" outlineLevel="1" x14ac:dyDescent="0.2">
      <c r="A1690" s="1" t="s">
        <v>6629</v>
      </c>
      <c r="B1690" s="24" t="s">
        <v>5277</v>
      </c>
      <c r="C1690" s="4" t="s">
        <v>1844</v>
      </c>
      <c r="D1690" s="4" t="s">
        <v>830</v>
      </c>
      <c r="E1690" s="4" t="s">
        <v>6161</v>
      </c>
      <c r="F1690" s="4" t="s">
        <v>921</v>
      </c>
      <c r="G1690" s="4" t="s">
        <v>1888</v>
      </c>
      <c r="H1690" s="22">
        <v>0</v>
      </c>
      <c r="I1690" s="4">
        <v>710000000</v>
      </c>
      <c r="J1690" s="4" t="s">
        <v>1931</v>
      </c>
      <c r="K1690" s="4" t="s">
        <v>5297</v>
      </c>
      <c r="L1690" s="7" t="s">
        <v>1940</v>
      </c>
      <c r="M1690" s="8" t="s">
        <v>3195</v>
      </c>
      <c r="N1690" s="4" t="s">
        <v>1890</v>
      </c>
      <c r="O1690" s="8" t="s">
        <v>1935</v>
      </c>
      <c r="P1690" s="8">
        <v>796</v>
      </c>
      <c r="Q1690" s="8" t="s">
        <v>3196</v>
      </c>
      <c r="R1690" s="10">
        <f>280-60</f>
        <v>220</v>
      </c>
      <c r="S1690" s="10">
        <v>246</v>
      </c>
      <c r="T1690" s="10">
        <f t="shared" ref="T1690" si="872">S1690*R1690</f>
        <v>54120</v>
      </c>
      <c r="U1690" s="10">
        <f t="shared" si="870"/>
        <v>60614.400000000009</v>
      </c>
      <c r="V1690" s="1"/>
      <c r="W1690" s="1">
        <v>2015</v>
      </c>
      <c r="X1690" s="1"/>
    </row>
    <row r="1691" spans="1:24" s="133" customFormat="1" ht="76.5" customHeight="1" outlineLevel="1" x14ac:dyDescent="0.2">
      <c r="A1691" s="1" t="s">
        <v>2529</v>
      </c>
      <c r="B1691" s="24" t="s">
        <v>5277</v>
      </c>
      <c r="C1691" s="4" t="s">
        <v>1872</v>
      </c>
      <c r="D1691" s="4" t="s">
        <v>830</v>
      </c>
      <c r="E1691" s="4" t="s">
        <v>6140</v>
      </c>
      <c r="F1691" s="4" t="s">
        <v>922</v>
      </c>
      <c r="G1691" s="4" t="s">
        <v>1888</v>
      </c>
      <c r="H1691" s="22">
        <v>0</v>
      </c>
      <c r="I1691" s="4">
        <v>710000000</v>
      </c>
      <c r="J1691" s="4" t="s">
        <v>1931</v>
      </c>
      <c r="K1691" s="4" t="s">
        <v>5297</v>
      </c>
      <c r="L1691" s="7" t="s">
        <v>1940</v>
      </c>
      <c r="M1691" s="8" t="s">
        <v>3195</v>
      </c>
      <c r="N1691" s="4" t="s">
        <v>1890</v>
      </c>
      <c r="O1691" s="8" t="s">
        <v>1935</v>
      </c>
      <c r="P1691" s="8">
        <v>796</v>
      </c>
      <c r="Q1691" s="8" t="s">
        <v>3196</v>
      </c>
      <c r="R1691" s="10">
        <v>30</v>
      </c>
      <c r="S1691" s="10">
        <v>243</v>
      </c>
      <c r="T1691" s="10">
        <v>0</v>
      </c>
      <c r="U1691" s="10">
        <f t="shared" si="870"/>
        <v>0</v>
      </c>
      <c r="V1691" s="1"/>
      <c r="W1691" s="1">
        <v>2015</v>
      </c>
      <c r="X1691" s="1" t="s">
        <v>6562</v>
      </c>
    </row>
    <row r="1692" spans="1:24" s="133" customFormat="1" ht="76.5" customHeight="1" outlineLevel="1" x14ac:dyDescent="0.2">
      <c r="A1692" s="1" t="s">
        <v>6630</v>
      </c>
      <c r="B1692" s="24" t="s">
        <v>5277</v>
      </c>
      <c r="C1692" s="4" t="s">
        <v>1872</v>
      </c>
      <c r="D1692" s="4" t="s">
        <v>830</v>
      </c>
      <c r="E1692" s="4" t="s">
        <v>6140</v>
      </c>
      <c r="F1692" s="4" t="s">
        <v>922</v>
      </c>
      <c r="G1692" s="4" t="s">
        <v>1888</v>
      </c>
      <c r="H1692" s="22">
        <v>0</v>
      </c>
      <c r="I1692" s="4">
        <v>710000000</v>
      </c>
      <c r="J1692" s="4" t="s">
        <v>1931</v>
      </c>
      <c r="K1692" s="4" t="s">
        <v>5297</v>
      </c>
      <c r="L1692" s="7" t="s">
        <v>1940</v>
      </c>
      <c r="M1692" s="8" t="s">
        <v>3195</v>
      </c>
      <c r="N1692" s="4" t="s">
        <v>1890</v>
      </c>
      <c r="O1692" s="8" t="s">
        <v>1935</v>
      </c>
      <c r="P1692" s="8">
        <v>796</v>
      </c>
      <c r="Q1692" s="8" t="s">
        <v>3196</v>
      </c>
      <c r="R1692" s="10">
        <f>30-10</f>
        <v>20</v>
      </c>
      <c r="S1692" s="10">
        <v>243</v>
      </c>
      <c r="T1692" s="10">
        <f t="shared" ref="T1692" si="873">S1692*R1692</f>
        <v>4860</v>
      </c>
      <c r="U1692" s="10">
        <f t="shared" si="870"/>
        <v>5443.2000000000007</v>
      </c>
      <c r="V1692" s="1"/>
      <c r="W1692" s="1">
        <v>2015</v>
      </c>
      <c r="X1692" s="20"/>
    </row>
    <row r="1693" spans="1:24" s="133" customFormat="1" ht="76.5" customHeight="1" outlineLevel="1" x14ac:dyDescent="0.2">
      <c r="A1693" s="1" t="s">
        <v>2530</v>
      </c>
      <c r="B1693" s="24" t="s">
        <v>5277</v>
      </c>
      <c r="C1693" s="4" t="s">
        <v>3244</v>
      </c>
      <c r="D1693" s="4" t="s">
        <v>830</v>
      </c>
      <c r="E1693" s="4" t="s">
        <v>6150</v>
      </c>
      <c r="F1693" s="4" t="s">
        <v>923</v>
      </c>
      <c r="G1693" s="4" t="s">
        <v>1888</v>
      </c>
      <c r="H1693" s="22">
        <v>0</v>
      </c>
      <c r="I1693" s="4">
        <v>710000000</v>
      </c>
      <c r="J1693" s="4" t="s">
        <v>1931</v>
      </c>
      <c r="K1693" s="4" t="s">
        <v>5297</v>
      </c>
      <c r="L1693" s="7" t="s">
        <v>1940</v>
      </c>
      <c r="M1693" s="8" t="s">
        <v>3195</v>
      </c>
      <c r="N1693" s="4" t="s">
        <v>1890</v>
      </c>
      <c r="O1693" s="8" t="s">
        <v>1935</v>
      </c>
      <c r="P1693" s="8">
        <v>796</v>
      </c>
      <c r="Q1693" s="8" t="s">
        <v>3196</v>
      </c>
      <c r="R1693" s="10">
        <v>150</v>
      </c>
      <c r="S1693" s="10">
        <v>2823</v>
      </c>
      <c r="T1693" s="10">
        <v>0</v>
      </c>
      <c r="U1693" s="10">
        <f t="shared" si="870"/>
        <v>0</v>
      </c>
      <c r="V1693" s="1"/>
      <c r="W1693" s="1">
        <v>2015</v>
      </c>
      <c r="X1693" s="1" t="s">
        <v>6562</v>
      </c>
    </row>
    <row r="1694" spans="1:24" s="133" customFormat="1" ht="76.5" customHeight="1" outlineLevel="1" x14ac:dyDescent="0.2">
      <c r="A1694" s="1" t="s">
        <v>6631</v>
      </c>
      <c r="B1694" s="24" t="s">
        <v>5277</v>
      </c>
      <c r="C1694" s="4" t="s">
        <v>3244</v>
      </c>
      <c r="D1694" s="4" t="s">
        <v>830</v>
      </c>
      <c r="E1694" s="4" t="s">
        <v>6150</v>
      </c>
      <c r="F1694" s="4" t="s">
        <v>923</v>
      </c>
      <c r="G1694" s="4" t="s">
        <v>1888</v>
      </c>
      <c r="H1694" s="22">
        <v>0</v>
      </c>
      <c r="I1694" s="4">
        <v>710000000</v>
      </c>
      <c r="J1694" s="4" t="s">
        <v>1931</v>
      </c>
      <c r="K1694" s="4" t="s">
        <v>5297</v>
      </c>
      <c r="L1694" s="7" t="s">
        <v>1940</v>
      </c>
      <c r="M1694" s="8" t="s">
        <v>3195</v>
      </c>
      <c r="N1694" s="4" t="s">
        <v>1890</v>
      </c>
      <c r="O1694" s="8" t="s">
        <v>1935</v>
      </c>
      <c r="P1694" s="8">
        <v>796</v>
      </c>
      <c r="Q1694" s="8" t="s">
        <v>3196</v>
      </c>
      <c r="R1694" s="10">
        <f>150-30</f>
        <v>120</v>
      </c>
      <c r="S1694" s="10">
        <v>2823</v>
      </c>
      <c r="T1694" s="10">
        <f t="shared" ref="T1694" si="874">S1694*R1694</f>
        <v>338760</v>
      </c>
      <c r="U1694" s="10">
        <f t="shared" si="870"/>
        <v>379411.20000000001</v>
      </c>
      <c r="V1694" s="1"/>
      <c r="W1694" s="1">
        <v>2015</v>
      </c>
      <c r="X1694" s="1"/>
    </row>
    <row r="1695" spans="1:24" s="133" customFormat="1" ht="76.5" customHeight="1" outlineLevel="1" x14ac:dyDescent="0.2">
      <c r="A1695" s="1" t="s">
        <v>2531</v>
      </c>
      <c r="B1695" s="24" t="s">
        <v>5277</v>
      </c>
      <c r="C1695" s="4" t="s">
        <v>924</v>
      </c>
      <c r="D1695" s="4" t="s">
        <v>830</v>
      </c>
      <c r="E1695" s="4" t="s">
        <v>925</v>
      </c>
      <c r="F1695" s="4" t="s">
        <v>926</v>
      </c>
      <c r="G1695" s="4" t="s">
        <v>1888</v>
      </c>
      <c r="H1695" s="22">
        <v>0</v>
      </c>
      <c r="I1695" s="4">
        <v>710000000</v>
      </c>
      <c r="J1695" s="4" t="s">
        <v>1931</v>
      </c>
      <c r="K1695" s="4" t="s">
        <v>5297</v>
      </c>
      <c r="L1695" s="7" t="s">
        <v>1940</v>
      </c>
      <c r="M1695" s="8" t="s">
        <v>3195</v>
      </c>
      <c r="N1695" s="4" t="s">
        <v>1890</v>
      </c>
      <c r="O1695" s="8" t="s">
        <v>1935</v>
      </c>
      <c r="P1695" s="8">
        <v>796</v>
      </c>
      <c r="Q1695" s="8" t="s">
        <v>3196</v>
      </c>
      <c r="R1695" s="10">
        <v>22</v>
      </c>
      <c r="S1695" s="10">
        <v>2191.0700000000002</v>
      </c>
      <c r="T1695" s="10">
        <v>0</v>
      </c>
      <c r="U1695" s="10">
        <f t="shared" si="870"/>
        <v>0</v>
      </c>
      <c r="V1695" s="1"/>
      <c r="W1695" s="1">
        <v>2015</v>
      </c>
      <c r="X1695" s="1" t="s">
        <v>6562</v>
      </c>
    </row>
    <row r="1696" spans="1:24" s="133" customFormat="1" ht="76.5" customHeight="1" outlineLevel="1" x14ac:dyDescent="0.2">
      <c r="A1696" s="1" t="s">
        <v>6632</v>
      </c>
      <c r="B1696" s="24" t="s">
        <v>5277</v>
      </c>
      <c r="C1696" s="4" t="s">
        <v>924</v>
      </c>
      <c r="D1696" s="4" t="s">
        <v>830</v>
      </c>
      <c r="E1696" s="4" t="s">
        <v>925</v>
      </c>
      <c r="F1696" s="4" t="s">
        <v>926</v>
      </c>
      <c r="G1696" s="4" t="s">
        <v>1888</v>
      </c>
      <c r="H1696" s="22">
        <v>0</v>
      </c>
      <c r="I1696" s="4">
        <v>710000000</v>
      </c>
      <c r="J1696" s="4" t="s">
        <v>1931</v>
      </c>
      <c r="K1696" s="4" t="s">
        <v>5297</v>
      </c>
      <c r="L1696" s="7" t="s">
        <v>1940</v>
      </c>
      <c r="M1696" s="8" t="s">
        <v>3195</v>
      </c>
      <c r="N1696" s="4" t="s">
        <v>1890</v>
      </c>
      <c r="O1696" s="8" t="s">
        <v>1935</v>
      </c>
      <c r="P1696" s="8">
        <v>796</v>
      </c>
      <c r="Q1696" s="8" t="s">
        <v>3196</v>
      </c>
      <c r="R1696" s="10">
        <f>22-2</f>
        <v>20</v>
      </c>
      <c r="S1696" s="10">
        <v>2191.0700000000002</v>
      </c>
      <c r="T1696" s="10">
        <f t="shared" ref="T1696" si="875">S1696*R1696</f>
        <v>43821.4</v>
      </c>
      <c r="U1696" s="10">
        <f t="shared" si="870"/>
        <v>49079.968000000008</v>
      </c>
      <c r="V1696" s="1"/>
      <c r="W1696" s="1">
        <v>2015</v>
      </c>
      <c r="X1696" s="20"/>
    </row>
    <row r="1697" spans="1:24" s="133" customFormat="1" ht="76.5" customHeight="1" outlineLevel="1" x14ac:dyDescent="0.2">
      <c r="A1697" s="1" t="s">
        <v>2532</v>
      </c>
      <c r="B1697" s="24" t="s">
        <v>5277</v>
      </c>
      <c r="C1697" s="4" t="s">
        <v>927</v>
      </c>
      <c r="D1697" s="4" t="s">
        <v>831</v>
      </c>
      <c r="E1697" s="4" t="s">
        <v>928</v>
      </c>
      <c r="F1697" s="4" t="s">
        <v>929</v>
      </c>
      <c r="G1697" s="4" t="s">
        <v>1888</v>
      </c>
      <c r="H1697" s="22">
        <v>0</v>
      </c>
      <c r="I1697" s="4">
        <v>710000000</v>
      </c>
      <c r="J1697" s="4" t="s">
        <v>1931</v>
      </c>
      <c r="K1697" s="4" t="s">
        <v>5297</v>
      </c>
      <c r="L1697" s="7" t="s">
        <v>1940</v>
      </c>
      <c r="M1697" s="8" t="s">
        <v>3195</v>
      </c>
      <c r="N1697" s="4" t="s">
        <v>1890</v>
      </c>
      <c r="O1697" s="8" t="s">
        <v>1935</v>
      </c>
      <c r="P1697" s="8">
        <v>796</v>
      </c>
      <c r="Q1697" s="8" t="s">
        <v>3196</v>
      </c>
      <c r="R1697" s="10">
        <v>72</v>
      </c>
      <c r="S1697" s="10">
        <v>384</v>
      </c>
      <c r="T1697" s="10">
        <f t="shared" si="869"/>
        <v>27648</v>
      </c>
      <c r="U1697" s="10">
        <f t="shared" si="870"/>
        <v>30965.760000000002</v>
      </c>
      <c r="V1697" s="1"/>
      <c r="W1697" s="1">
        <v>2015</v>
      </c>
      <c r="X1697" s="20"/>
    </row>
    <row r="1698" spans="1:24" s="133" customFormat="1" ht="76.5" customHeight="1" outlineLevel="1" x14ac:dyDescent="0.2">
      <c r="A1698" s="1" t="s">
        <v>2533</v>
      </c>
      <c r="B1698" s="24" t="s">
        <v>5277</v>
      </c>
      <c r="C1698" s="4" t="s">
        <v>930</v>
      </c>
      <c r="D1698" s="4" t="s">
        <v>831</v>
      </c>
      <c r="E1698" s="4" t="s">
        <v>931</v>
      </c>
      <c r="F1698" s="4" t="s">
        <v>932</v>
      </c>
      <c r="G1698" s="4" t="s">
        <v>1888</v>
      </c>
      <c r="H1698" s="22">
        <v>0</v>
      </c>
      <c r="I1698" s="4">
        <v>710000000</v>
      </c>
      <c r="J1698" s="4" t="s">
        <v>1931</v>
      </c>
      <c r="K1698" s="4" t="s">
        <v>5297</v>
      </c>
      <c r="L1698" s="7" t="s">
        <v>1940</v>
      </c>
      <c r="M1698" s="8" t="s">
        <v>3195</v>
      </c>
      <c r="N1698" s="4" t="s">
        <v>1890</v>
      </c>
      <c r="O1698" s="8" t="s">
        <v>1935</v>
      </c>
      <c r="P1698" s="8">
        <v>796</v>
      </c>
      <c r="Q1698" s="8" t="s">
        <v>3196</v>
      </c>
      <c r="R1698" s="10">
        <v>6800</v>
      </c>
      <c r="S1698" s="10">
        <v>308.93</v>
      </c>
      <c r="T1698" s="10">
        <v>0</v>
      </c>
      <c r="U1698" s="10">
        <f t="shared" si="870"/>
        <v>0</v>
      </c>
      <c r="V1698" s="1"/>
      <c r="W1698" s="1">
        <v>2015</v>
      </c>
      <c r="X1698" s="20" t="s">
        <v>6562</v>
      </c>
    </row>
    <row r="1699" spans="1:24" s="133" customFormat="1" ht="76.5" customHeight="1" outlineLevel="1" x14ac:dyDescent="0.2">
      <c r="A1699" s="1" t="s">
        <v>6633</v>
      </c>
      <c r="B1699" s="24" t="s">
        <v>5277</v>
      </c>
      <c r="C1699" s="4" t="s">
        <v>930</v>
      </c>
      <c r="D1699" s="4" t="s">
        <v>831</v>
      </c>
      <c r="E1699" s="4" t="s">
        <v>931</v>
      </c>
      <c r="F1699" s="4" t="s">
        <v>932</v>
      </c>
      <c r="G1699" s="4" t="s">
        <v>1888</v>
      </c>
      <c r="H1699" s="22">
        <v>0</v>
      </c>
      <c r="I1699" s="4">
        <v>710000000</v>
      </c>
      <c r="J1699" s="4" t="s">
        <v>1931</v>
      </c>
      <c r="K1699" s="4" t="s">
        <v>5297</v>
      </c>
      <c r="L1699" s="7" t="s">
        <v>1940</v>
      </c>
      <c r="M1699" s="8" t="s">
        <v>3195</v>
      </c>
      <c r="N1699" s="4" t="s">
        <v>1890</v>
      </c>
      <c r="O1699" s="8" t="s">
        <v>1935</v>
      </c>
      <c r="P1699" s="8">
        <v>796</v>
      </c>
      <c r="Q1699" s="8" t="s">
        <v>3196</v>
      </c>
      <c r="R1699" s="10">
        <f>6800-300</f>
        <v>6500</v>
      </c>
      <c r="S1699" s="10">
        <v>308.93</v>
      </c>
      <c r="T1699" s="10">
        <f t="shared" ref="T1699" si="876">S1699*R1699</f>
        <v>2008045</v>
      </c>
      <c r="U1699" s="10">
        <f t="shared" si="870"/>
        <v>2249010.4000000004</v>
      </c>
      <c r="V1699" s="1"/>
      <c r="W1699" s="1">
        <v>2015</v>
      </c>
      <c r="X1699" s="20"/>
    </row>
    <row r="1700" spans="1:24" s="133" customFormat="1" ht="76.5" customHeight="1" outlineLevel="1" x14ac:dyDescent="0.2">
      <c r="A1700" s="1" t="s">
        <v>2534</v>
      </c>
      <c r="B1700" s="24" t="s">
        <v>5277</v>
      </c>
      <c r="C1700" s="4" t="s">
        <v>1851</v>
      </c>
      <c r="D1700" s="4" t="s">
        <v>831</v>
      </c>
      <c r="E1700" s="4" t="s">
        <v>6124</v>
      </c>
      <c r="F1700" s="4" t="s">
        <v>933</v>
      </c>
      <c r="G1700" s="4" t="s">
        <v>1888</v>
      </c>
      <c r="H1700" s="22">
        <v>0</v>
      </c>
      <c r="I1700" s="4">
        <v>710000000</v>
      </c>
      <c r="J1700" s="4" t="s">
        <v>1931</v>
      </c>
      <c r="K1700" s="4" t="s">
        <v>5297</v>
      </c>
      <c r="L1700" s="7" t="s">
        <v>1940</v>
      </c>
      <c r="M1700" s="8" t="s">
        <v>3195</v>
      </c>
      <c r="N1700" s="4" t="s">
        <v>1890</v>
      </c>
      <c r="O1700" s="8" t="s">
        <v>1935</v>
      </c>
      <c r="P1700" s="8">
        <v>796</v>
      </c>
      <c r="Q1700" s="8" t="s">
        <v>3196</v>
      </c>
      <c r="R1700" s="10">
        <v>530</v>
      </c>
      <c r="S1700" s="10">
        <v>245.54</v>
      </c>
      <c r="T1700" s="10">
        <f t="shared" si="869"/>
        <v>130136.2</v>
      </c>
      <c r="U1700" s="10">
        <f t="shared" si="870"/>
        <v>145752.54400000002</v>
      </c>
      <c r="V1700" s="1"/>
      <c r="W1700" s="1">
        <v>2015</v>
      </c>
      <c r="X1700" s="20"/>
    </row>
    <row r="1701" spans="1:24" s="133" customFormat="1" ht="76.5" customHeight="1" outlineLevel="1" x14ac:dyDescent="0.2">
      <c r="A1701" s="1" t="s">
        <v>2535</v>
      </c>
      <c r="B1701" s="24" t="s">
        <v>5277</v>
      </c>
      <c r="C1701" s="4" t="s">
        <v>1856</v>
      </c>
      <c r="D1701" s="4" t="s">
        <v>831</v>
      </c>
      <c r="E1701" s="4" t="s">
        <v>6128</v>
      </c>
      <c r="F1701" s="4" t="s">
        <v>934</v>
      </c>
      <c r="G1701" s="4" t="s">
        <v>1888</v>
      </c>
      <c r="H1701" s="22">
        <v>0</v>
      </c>
      <c r="I1701" s="4">
        <v>710000000</v>
      </c>
      <c r="J1701" s="4" t="s">
        <v>1931</v>
      </c>
      <c r="K1701" s="4" t="s">
        <v>5297</v>
      </c>
      <c r="L1701" s="7" t="s">
        <v>1940</v>
      </c>
      <c r="M1701" s="8" t="s">
        <v>3195</v>
      </c>
      <c r="N1701" s="4" t="s">
        <v>1890</v>
      </c>
      <c r="O1701" s="8" t="s">
        <v>1935</v>
      </c>
      <c r="P1701" s="8">
        <v>796</v>
      </c>
      <c r="Q1701" s="8" t="s">
        <v>3196</v>
      </c>
      <c r="R1701" s="10">
        <v>64</v>
      </c>
      <c r="S1701" s="10">
        <v>347.33</v>
      </c>
      <c r="T1701" s="10">
        <f t="shared" si="869"/>
        <v>22229.119999999999</v>
      </c>
      <c r="U1701" s="10">
        <f t="shared" si="870"/>
        <v>24896.614400000002</v>
      </c>
      <c r="V1701" s="1"/>
      <c r="W1701" s="1">
        <v>2015</v>
      </c>
      <c r="X1701" s="20"/>
    </row>
    <row r="1702" spans="1:24" s="133" customFormat="1" ht="76.5" customHeight="1" outlineLevel="1" x14ac:dyDescent="0.2">
      <c r="A1702" s="1" t="s">
        <v>2536</v>
      </c>
      <c r="B1702" s="24" t="s">
        <v>5277</v>
      </c>
      <c r="C1702" s="4" t="s">
        <v>1857</v>
      </c>
      <c r="D1702" s="4" t="s">
        <v>831</v>
      </c>
      <c r="E1702" s="4" t="s">
        <v>6129</v>
      </c>
      <c r="F1702" s="4" t="s">
        <v>935</v>
      </c>
      <c r="G1702" s="4" t="s">
        <v>1888</v>
      </c>
      <c r="H1702" s="22">
        <v>0</v>
      </c>
      <c r="I1702" s="4">
        <v>710000000</v>
      </c>
      <c r="J1702" s="4" t="s">
        <v>1931</v>
      </c>
      <c r="K1702" s="4" t="s">
        <v>5297</v>
      </c>
      <c r="L1702" s="7" t="s">
        <v>1940</v>
      </c>
      <c r="M1702" s="8" t="s">
        <v>3195</v>
      </c>
      <c r="N1702" s="4" t="s">
        <v>1890</v>
      </c>
      <c r="O1702" s="8" t="s">
        <v>1935</v>
      </c>
      <c r="P1702" s="8">
        <v>796</v>
      </c>
      <c r="Q1702" s="8" t="s">
        <v>3196</v>
      </c>
      <c r="R1702" s="10">
        <v>240</v>
      </c>
      <c r="S1702" s="10">
        <v>440.18</v>
      </c>
      <c r="T1702" s="10">
        <f t="shared" si="869"/>
        <v>105643.2</v>
      </c>
      <c r="U1702" s="10">
        <f t="shared" si="870"/>
        <v>118320.38400000001</v>
      </c>
      <c r="V1702" s="1"/>
      <c r="W1702" s="1">
        <v>2015</v>
      </c>
      <c r="X1702" s="20"/>
    </row>
    <row r="1703" spans="1:24" s="133" customFormat="1" ht="76.5" customHeight="1" outlineLevel="1" x14ac:dyDescent="0.2">
      <c r="A1703" s="1" t="s">
        <v>2537</v>
      </c>
      <c r="B1703" s="24" t="s">
        <v>5277</v>
      </c>
      <c r="C1703" s="4" t="s">
        <v>1873</v>
      </c>
      <c r="D1703" s="4" t="s">
        <v>830</v>
      </c>
      <c r="E1703" s="4" t="s">
        <v>6141</v>
      </c>
      <c r="F1703" s="4" t="s">
        <v>936</v>
      </c>
      <c r="G1703" s="4" t="s">
        <v>1888</v>
      </c>
      <c r="H1703" s="22">
        <v>0</v>
      </c>
      <c r="I1703" s="4">
        <v>710000000</v>
      </c>
      <c r="J1703" s="4" t="s">
        <v>1931</v>
      </c>
      <c r="K1703" s="4" t="s">
        <v>5297</v>
      </c>
      <c r="L1703" s="7" t="s">
        <v>1940</v>
      </c>
      <c r="M1703" s="8" t="s">
        <v>3195</v>
      </c>
      <c r="N1703" s="4" t="s">
        <v>1890</v>
      </c>
      <c r="O1703" s="8" t="s">
        <v>1935</v>
      </c>
      <c r="P1703" s="8">
        <v>796</v>
      </c>
      <c r="Q1703" s="8" t="s">
        <v>3196</v>
      </c>
      <c r="R1703" s="10">
        <v>134</v>
      </c>
      <c r="S1703" s="10">
        <v>152.68</v>
      </c>
      <c r="T1703" s="10">
        <f t="shared" si="869"/>
        <v>20459.120000000003</v>
      </c>
      <c r="U1703" s="10">
        <f t="shared" si="870"/>
        <v>22914.214400000004</v>
      </c>
      <c r="V1703" s="1"/>
      <c r="W1703" s="1">
        <v>2015</v>
      </c>
      <c r="X1703" s="20"/>
    </row>
    <row r="1704" spans="1:24" s="133" customFormat="1" ht="76.5" customHeight="1" outlineLevel="1" x14ac:dyDescent="0.2">
      <c r="A1704" s="1" t="s">
        <v>2538</v>
      </c>
      <c r="B1704" s="24" t="s">
        <v>5277</v>
      </c>
      <c r="C1704" s="4" t="s">
        <v>1874</v>
      </c>
      <c r="D1704" s="4" t="s">
        <v>830</v>
      </c>
      <c r="E1704" s="4" t="s">
        <v>6142</v>
      </c>
      <c r="F1704" s="4" t="s">
        <v>937</v>
      </c>
      <c r="G1704" s="4" t="s">
        <v>1888</v>
      </c>
      <c r="H1704" s="22">
        <v>0</v>
      </c>
      <c r="I1704" s="4">
        <v>710000000</v>
      </c>
      <c r="J1704" s="4" t="s">
        <v>1931</v>
      </c>
      <c r="K1704" s="4" t="s">
        <v>5297</v>
      </c>
      <c r="L1704" s="7" t="s">
        <v>1940</v>
      </c>
      <c r="M1704" s="8" t="s">
        <v>3195</v>
      </c>
      <c r="N1704" s="4" t="s">
        <v>1890</v>
      </c>
      <c r="O1704" s="8" t="s">
        <v>1935</v>
      </c>
      <c r="P1704" s="8">
        <v>796</v>
      </c>
      <c r="Q1704" s="8" t="s">
        <v>3196</v>
      </c>
      <c r="R1704" s="10">
        <v>32</v>
      </c>
      <c r="S1704" s="10">
        <v>3317.86</v>
      </c>
      <c r="T1704" s="10">
        <f t="shared" si="869"/>
        <v>106171.52</v>
      </c>
      <c r="U1704" s="10">
        <f t="shared" si="870"/>
        <v>118912.10240000002</v>
      </c>
      <c r="V1704" s="1"/>
      <c r="W1704" s="1">
        <v>2015</v>
      </c>
      <c r="X1704" s="20"/>
    </row>
    <row r="1705" spans="1:24" s="133" customFormat="1" ht="76.5" customHeight="1" outlineLevel="1" x14ac:dyDescent="0.2">
      <c r="A1705" s="1" t="s">
        <v>2539</v>
      </c>
      <c r="B1705" s="24" t="s">
        <v>5277</v>
      </c>
      <c r="C1705" s="4" t="s">
        <v>1848</v>
      </c>
      <c r="D1705" s="4" t="s">
        <v>6121</v>
      </c>
      <c r="E1705" s="4" t="s">
        <v>7606</v>
      </c>
      <c r="F1705" s="4" t="s">
        <v>938</v>
      </c>
      <c r="G1705" s="4" t="s">
        <v>1888</v>
      </c>
      <c r="H1705" s="22">
        <v>0</v>
      </c>
      <c r="I1705" s="4">
        <v>710000000</v>
      </c>
      <c r="J1705" s="4" t="s">
        <v>1931</v>
      </c>
      <c r="K1705" s="4" t="s">
        <v>5297</v>
      </c>
      <c r="L1705" s="7" t="s">
        <v>1940</v>
      </c>
      <c r="M1705" s="8" t="s">
        <v>3195</v>
      </c>
      <c r="N1705" s="4" t="s">
        <v>1890</v>
      </c>
      <c r="O1705" s="8" t="s">
        <v>1935</v>
      </c>
      <c r="P1705" s="8">
        <v>796</v>
      </c>
      <c r="Q1705" s="8" t="s">
        <v>3196</v>
      </c>
      <c r="R1705" s="10">
        <v>4500</v>
      </c>
      <c r="S1705" s="10">
        <v>57.14</v>
      </c>
      <c r="T1705" s="10">
        <f t="shared" si="869"/>
        <v>257130</v>
      </c>
      <c r="U1705" s="10">
        <f t="shared" si="870"/>
        <v>287985.60000000003</v>
      </c>
      <c r="V1705" s="1"/>
      <c r="W1705" s="1">
        <v>2015</v>
      </c>
      <c r="X1705" s="20"/>
    </row>
    <row r="1706" spans="1:24" s="133" customFormat="1" ht="76.5" customHeight="1" outlineLevel="1" x14ac:dyDescent="0.2">
      <c r="A1706" s="1" t="s">
        <v>2540</v>
      </c>
      <c r="B1706" s="24" t="s">
        <v>5277</v>
      </c>
      <c r="C1706" s="4" t="s">
        <v>939</v>
      </c>
      <c r="D1706" s="4" t="s">
        <v>837</v>
      </c>
      <c r="E1706" s="4" t="s">
        <v>940</v>
      </c>
      <c r="F1706" s="4" t="s">
        <v>941</v>
      </c>
      <c r="G1706" s="4" t="s">
        <v>1888</v>
      </c>
      <c r="H1706" s="22">
        <v>0</v>
      </c>
      <c r="I1706" s="4">
        <v>710000000</v>
      </c>
      <c r="J1706" s="4" t="s">
        <v>1931</v>
      </c>
      <c r="K1706" s="4" t="s">
        <v>5297</v>
      </c>
      <c r="L1706" s="7" t="s">
        <v>1940</v>
      </c>
      <c r="M1706" s="8" t="s">
        <v>3195</v>
      </c>
      <c r="N1706" s="4" t="s">
        <v>1890</v>
      </c>
      <c r="O1706" s="8" t="s">
        <v>1935</v>
      </c>
      <c r="P1706" s="8">
        <v>796</v>
      </c>
      <c r="Q1706" s="8" t="s">
        <v>3196</v>
      </c>
      <c r="R1706" s="10">
        <v>30</v>
      </c>
      <c r="S1706" s="10">
        <v>463.39</v>
      </c>
      <c r="T1706" s="10">
        <f t="shared" si="869"/>
        <v>13901.699999999999</v>
      </c>
      <c r="U1706" s="10">
        <f t="shared" si="870"/>
        <v>15569.904</v>
      </c>
      <c r="V1706" s="1"/>
      <c r="W1706" s="1">
        <v>2015</v>
      </c>
      <c r="X1706" s="20"/>
    </row>
    <row r="1707" spans="1:24" s="133" customFormat="1" ht="76.5" customHeight="1" outlineLevel="1" x14ac:dyDescent="0.2">
      <c r="A1707" s="1" t="s">
        <v>2541</v>
      </c>
      <c r="B1707" s="24" t="s">
        <v>5277</v>
      </c>
      <c r="C1707" s="4" t="s">
        <v>844</v>
      </c>
      <c r="D1707" s="4" t="s">
        <v>837</v>
      </c>
      <c r="E1707" s="4" t="s">
        <v>845</v>
      </c>
      <c r="F1707" s="4" t="s">
        <v>942</v>
      </c>
      <c r="G1707" s="4" t="s">
        <v>1888</v>
      </c>
      <c r="H1707" s="22">
        <v>0</v>
      </c>
      <c r="I1707" s="4">
        <v>710000000</v>
      </c>
      <c r="J1707" s="4" t="s">
        <v>1931</v>
      </c>
      <c r="K1707" s="4" t="s">
        <v>5297</v>
      </c>
      <c r="L1707" s="7" t="s">
        <v>1940</v>
      </c>
      <c r="M1707" s="8" t="s">
        <v>3195</v>
      </c>
      <c r="N1707" s="4" t="s">
        <v>1890</v>
      </c>
      <c r="O1707" s="8" t="s">
        <v>1935</v>
      </c>
      <c r="P1707" s="8">
        <v>796</v>
      </c>
      <c r="Q1707" s="8" t="s">
        <v>3196</v>
      </c>
      <c r="R1707" s="10">
        <v>126</v>
      </c>
      <c r="S1707" s="10">
        <v>544.64</v>
      </c>
      <c r="T1707" s="10">
        <f t="shared" si="869"/>
        <v>68624.639999999999</v>
      </c>
      <c r="U1707" s="10">
        <f t="shared" si="870"/>
        <v>76859.596800000014</v>
      </c>
      <c r="V1707" s="1"/>
      <c r="W1707" s="1">
        <v>2015</v>
      </c>
      <c r="X1707" s="20"/>
    </row>
    <row r="1708" spans="1:24" s="133" customFormat="1" ht="76.5" customHeight="1" outlineLevel="1" x14ac:dyDescent="0.2">
      <c r="A1708" s="1" t="s">
        <v>2542</v>
      </c>
      <c r="B1708" s="24" t="s">
        <v>5277</v>
      </c>
      <c r="C1708" s="4" t="s">
        <v>943</v>
      </c>
      <c r="D1708" s="4" t="s">
        <v>837</v>
      </c>
      <c r="E1708" s="4" t="s">
        <v>944</v>
      </c>
      <c r="F1708" s="4" t="s">
        <v>945</v>
      </c>
      <c r="G1708" s="4" t="s">
        <v>1888</v>
      </c>
      <c r="H1708" s="22">
        <v>0</v>
      </c>
      <c r="I1708" s="4">
        <v>710000000</v>
      </c>
      <c r="J1708" s="4" t="s">
        <v>1931</v>
      </c>
      <c r="K1708" s="4" t="s">
        <v>5297</v>
      </c>
      <c r="L1708" s="7" t="s">
        <v>1940</v>
      </c>
      <c r="M1708" s="8" t="s">
        <v>3195</v>
      </c>
      <c r="N1708" s="4" t="s">
        <v>1890</v>
      </c>
      <c r="O1708" s="8" t="s">
        <v>1935</v>
      </c>
      <c r="P1708" s="8">
        <v>796</v>
      </c>
      <c r="Q1708" s="8" t="s">
        <v>3196</v>
      </c>
      <c r="R1708" s="10">
        <v>32</v>
      </c>
      <c r="S1708" s="10">
        <v>517.86</v>
      </c>
      <c r="T1708" s="10">
        <f t="shared" si="869"/>
        <v>16571.52</v>
      </c>
      <c r="U1708" s="10">
        <f t="shared" si="870"/>
        <v>18560.102400000003</v>
      </c>
      <c r="V1708" s="1"/>
      <c r="W1708" s="1">
        <v>2015</v>
      </c>
      <c r="X1708" s="20"/>
    </row>
    <row r="1709" spans="1:24" s="133" customFormat="1" ht="76.5" customHeight="1" outlineLevel="1" x14ac:dyDescent="0.2">
      <c r="A1709" s="1" t="s">
        <v>2543</v>
      </c>
      <c r="B1709" s="24" t="s">
        <v>5277</v>
      </c>
      <c r="C1709" s="4" t="s">
        <v>946</v>
      </c>
      <c r="D1709" s="4" t="s">
        <v>837</v>
      </c>
      <c r="E1709" s="4" t="s">
        <v>947</v>
      </c>
      <c r="F1709" s="4" t="s">
        <v>948</v>
      </c>
      <c r="G1709" s="4" t="s">
        <v>1888</v>
      </c>
      <c r="H1709" s="22">
        <v>0</v>
      </c>
      <c r="I1709" s="4">
        <v>710000000</v>
      </c>
      <c r="J1709" s="4" t="s">
        <v>1931</v>
      </c>
      <c r="K1709" s="4" t="s">
        <v>5297</v>
      </c>
      <c r="L1709" s="7" t="s">
        <v>1940</v>
      </c>
      <c r="M1709" s="8" t="s">
        <v>3195</v>
      </c>
      <c r="N1709" s="4" t="s">
        <v>1890</v>
      </c>
      <c r="O1709" s="8" t="s">
        <v>1935</v>
      </c>
      <c r="P1709" s="8">
        <v>796</v>
      </c>
      <c r="Q1709" s="8" t="s">
        <v>3196</v>
      </c>
      <c r="R1709" s="10">
        <v>64</v>
      </c>
      <c r="S1709" s="10">
        <v>533.04</v>
      </c>
      <c r="T1709" s="10">
        <f t="shared" si="869"/>
        <v>34114.559999999998</v>
      </c>
      <c r="U1709" s="10">
        <f t="shared" si="870"/>
        <v>38208.307200000003</v>
      </c>
      <c r="V1709" s="1"/>
      <c r="W1709" s="1">
        <v>2015</v>
      </c>
      <c r="X1709" s="20"/>
    </row>
    <row r="1710" spans="1:24" s="133" customFormat="1" ht="76.5" customHeight="1" outlineLevel="1" x14ac:dyDescent="0.2">
      <c r="A1710" s="1" t="s">
        <v>2544</v>
      </c>
      <c r="B1710" s="24" t="s">
        <v>5277</v>
      </c>
      <c r="C1710" s="4" t="s">
        <v>1873</v>
      </c>
      <c r="D1710" s="4" t="s">
        <v>830</v>
      </c>
      <c r="E1710" s="4" t="s">
        <v>6141</v>
      </c>
      <c r="F1710" s="4" t="s">
        <v>949</v>
      </c>
      <c r="G1710" s="4" t="s">
        <v>1888</v>
      </c>
      <c r="H1710" s="22">
        <v>0</v>
      </c>
      <c r="I1710" s="4">
        <v>710000000</v>
      </c>
      <c r="J1710" s="4" t="s">
        <v>1931</v>
      </c>
      <c r="K1710" s="4" t="s">
        <v>5297</v>
      </c>
      <c r="L1710" s="7" t="s">
        <v>1940</v>
      </c>
      <c r="M1710" s="8" t="s">
        <v>3195</v>
      </c>
      <c r="N1710" s="4" t="s">
        <v>1890</v>
      </c>
      <c r="O1710" s="8" t="s">
        <v>1935</v>
      </c>
      <c r="P1710" s="8">
        <v>796</v>
      </c>
      <c r="Q1710" s="8" t="s">
        <v>3196</v>
      </c>
      <c r="R1710" s="10">
        <v>144</v>
      </c>
      <c r="S1710" s="10">
        <v>113</v>
      </c>
      <c r="T1710" s="10">
        <f t="shared" si="869"/>
        <v>16272</v>
      </c>
      <c r="U1710" s="10">
        <f t="shared" si="870"/>
        <v>18224.640000000003</v>
      </c>
      <c r="V1710" s="1"/>
      <c r="W1710" s="1">
        <v>2015</v>
      </c>
      <c r="X1710" s="20"/>
    </row>
    <row r="1711" spans="1:24" s="133" customFormat="1" ht="76.5" customHeight="1" outlineLevel="1" x14ac:dyDescent="0.2">
      <c r="A1711" s="1" t="s">
        <v>2545</v>
      </c>
      <c r="B1711" s="24" t="s">
        <v>5277</v>
      </c>
      <c r="C1711" s="4" t="s">
        <v>1855</v>
      </c>
      <c r="D1711" s="4" t="s">
        <v>831</v>
      </c>
      <c r="E1711" s="4" t="s">
        <v>950</v>
      </c>
      <c r="F1711" s="4" t="s">
        <v>951</v>
      </c>
      <c r="G1711" s="4" t="s">
        <v>1888</v>
      </c>
      <c r="H1711" s="22">
        <v>0</v>
      </c>
      <c r="I1711" s="4">
        <v>710000000</v>
      </c>
      <c r="J1711" s="4" t="s">
        <v>1931</v>
      </c>
      <c r="K1711" s="4" t="s">
        <v>5297</v>
      </c>
      <c r="L1711" s="7" t="s">
        <v>1940</v>
      </c>
      <c r="M1711" s="8" t="s">
        <v>3195</v>
      </c>
      <c r="N1711" s="4" t="s">
        <v>1890</v>
      </c>
      <c r="O1711" s="8" t="s">
        <v>1935</v>
      </c>
      <c r="P1711" s="8">
        <v>796</v>
      </c>
      <c r="Q1711" s="8" t="s">
        <v>3196</v>
      </c>
      <c r="R1711" s="10">
        <v>150</v>
      </c>
      <c r="S1711" s="10">
        <v>945</v>
      </c>
      <c r="T1711" s="10">
        <f t="shared" si="869"/>
        <v>141750</v>
      </c>
      <c r="U1711" s="10">
        <f t="shared" si="870"/>
        <v>158760.00000000003</v>
      </c>
      <c r="V1711" s="1"/>
      <c r="W1711" s="1">
        <v>2015</v>
      </c>
      <c r="X1711" s="20"/>
    </row>
    <row r="1712" spans="1:24" s="133" customFormat="1" ht="76.5" customHeight="1" outlineLevel="1" x14ac:dyDescent="0.2">
      <c r="A1712" s="1" t="s">
        <v>2546</v>
      </c>
      <c r="B1712" s="24" t="s">
        <v>5277</v>
      </c>
      <c r="C1712" s="4" t="s">
        <v>1855</v>
      </c>
      <c r="D1712" s="4" t="s">
        <v>831</v>
      </c>
      <c r="E1712" s="4" t="s">
        <v>950</v>
      </c>
      <c r="F1712" s="4" t="s">
        <v>952</v>
      </c>
      <c r="G1712" s="4" t="s">
        <v>1888</v>
      </c>
      <c r="H1712" s="22">
        <v>0</v>
      </c>
      <c r="I1712" s="4">
        <v>710000000</v>
      </c>
      <c r="J1712" s="4" t="s">
        <v>1931</v>
      </c>
      <c r="K1712" s="4" t="s">
        <v>5297</v>
      </c>
      <c r="L1712" s="7" t="s">
        <v>1940</v>
      </c>
      <c r="M1712" s="8" t="s">
        <v>3195</v>
      </c>
      <c r="N1712" s="4" t="s">
        <v>1890</v>
      </c>
      <c r="O1712" s="8" t="s">
        <v>1935</v>
      </c>
      <c r="P1712" s="8">
        <v>796</v>
      </c>
      <c r="Q1712" s="8" t="s">
        <v>3196</v>
      </c>
      <c r="R1712" s="10">
        <v>120</v>
      </c>
      <c r="S1712" s="10">
        <v>595</v>
      </c>
      <c r="T1712" s="10">
        <f t="shared" si="869"/>
        <v>71400</v>
      </c>
      <c r="U1712" s="10">
        <f t="shared" si="870"/>
        <v>79968.000000000015</v>
      </c>
      <c r="V1712" s="1"/>
      <c r="W1712" s="1">
        <v>2015</v>
      </c>
      <c r="X1712" s="20"/>
    </row>
    <row r="1713" spans="1:24" s="133" customFormat="1" ht="76.5" customHeight="1" outlineLevel="1" x14ac:dyDescent="0.2">
      <c r="A1713" s="1" t="s">
        <v>2547</v>
      </c>
      <c r="B1713" s="24" t="s">
        <v>5277</v>
      </c>
      <c r="C1713" s="4" t="s">
        <v>1866</v>
      </c>
      <c r="D1713" s="4" t="s">
        <v>1867</v>
      </c>
      <c r="E1713" s="4" t="s">
        <v>6135</v>
      </c>
      <c r="F1713" s="4" t="s">
        <v>953</v>
      </c>
      <c r="G1713" s="4" t="s">
        <v>1888</v>
      </c>
      <c r="H1713" s="22">
        <v>0</v>
      </c>
      <c r="I1713" s="4">
        <v>710000000</v>
      </c>
      <c r="J1713" s="4" t="s">
        <v>1931</v>
      </c>
      <c r="K1713" s="4" t="s">
        <v>5297</v>
      </c>
      <c r="L1713" s="7" t="s">
        <v>1940</v>
      </c>
      <c r="M1713" s="8" t="s">
        <v>3195</v>
      </c>
      <c r="N1713" s="4" t="s">
        <v>1890</v>
      </c>
      <c r="O1713" s="8" t="s">
        <v>1935</v>
      </c>
      <c r="P1713" s="8">
        <v>796</v>
      </c>
      <c r="Q1713" s="8" t="s">
        <v>3196</v>
      </c>
      <c r="R1713" s="10">
        <v>100</v>
      </c>
      <c r="S1713" s="10">
        <v>936</v>
      </c>
      <c r="T1713" s="10">
        <v>0</v>
      </c>
      <c r="U1713" s="10">
        <f t="shared" si="870"/>
        <v>0</v>
      </c>
      <c r="V1713" s="1"/>
      <c r="W1713" s="1">
        <v>2015</v>
      </c>
      <c r="X1713" s="20" t="s">
        <v>6562</v>
      </c>
    </row>
    <row r="1714" spans="1:24" s="133" customFormat="1" ht="76.5" customHeight="1" outlineLevel="1" x14ac:dyDescent="0.2">
      <c r="A1714" s="1" t="s">
        <v>6634</v>
      </c>
      <c r="B1714" s="24" t="s">
        <v>5277</v>
      </c>
      <c r="C1714" s="4" t="s">
        <v>1866</v>
      </c>
      <c r="D1714" s="4" t="s">
        <v>1867</v>
      </c>
      <c r="E1714" s="4" t="s">
        <v>6135</v>
      </c>
      <c r="F1714" s="4" t="s">
        <v>953</v>
      </c>
      <c r="G1714" s="4" t="s">
        <v>1888</v>
      </c>
      <c r="H1714" s="22">
        <v>0</v>
      </c>
      <c r="I1714" s="4">
        <v>710000000</v>
      </c>
      <c r="J1714" s="4" t="s">
        <v>1931</v>
      </c>
      <c r="K1714" s="4" t="s">
        <v>5297</v>
      </c>
      <c r="L1714" s="7" t="s">
        <v>1940</v>
      </c>
      <c r="M1714" s="8" t="s">
        <v>3195</v>
      </c>
      <c r="N1714" s="4" t="s">
        <v>1890</v>
      </c>
      <c r="O1714" s="8" t="s">
        <v>1935</v>
      </c>
      <c r="P1714" s="8">
        <v>796</v>
      </c>
      <c r="Q1714" s="8" t="s">
        <v>3196</v>
      </c>
      <c r="R1714" s="10">
        <f>100-20</f>
        <v>80</v>
      </c>
      <c r="S1714" s="10">
        <v>936</v>
      </c>
      <c r="T1714" s="10">
        <f>R1714*S1714</f>
        <v>74880</v>
      </c>
      <c r="U1714" s="10">
        <f t="shared" si="870"/>
        <v>83865.600000000006</v>
      </c>
      <c r="V1714" s="1"/>
      <c r="W1714" s="1">
        <v>2015</v>
      </c>
      <c r="X1714" s="20"/>
    </row>
    <row r="1715" spans="1:24" s="133" customFormat="1" ht="76.5" customHeight="1" outlineLevel="1" x14ac:dyDescent="0.2">
      <c r="A1715" s="1" t="s">
        <v>2548</v>
      </c>
      <c r="B1715" s="24" t="s">
        <v>5277</v>
      </c>
      <c r="C1715" s="4" t="s">
        <v>1866</v>
      </c>
      <c r="D1715" s="4" t="s">
        <v>1867</v>
      </c>
      <c r="E1715" s="4" t="s">
        <v>6135</v>
      </c>
      <c r="F1715" s="4" t="s">
        <v>954</v>
      </c>
      <c r="G1715" s="4" t="s">
        <v>1888</v>
      </c>
      <c r="H1715" s="22">
        <v>0</v>
      </c>
      <c r="I1715" s="4">
        <v>710000000</v>
      </c>
      <c r="J1715" s="4" t="s">
        <v>1931</v>
      </c>
      <c r="K1715" s="4" t="s">
        <v>5297</v>
      </c>
      <c r="L1715" s="7" t="s">
        <v>1940</v>
      </c>
      <c r="M1715" s="8" t="s">
        <v>3195</v>
      </c>
      <c r="N1715" s="4" t="s">
        <v>1890</v>
      </c>
      <c r="O1715" s="8" t="s">
        <v>1935</v>
      </c>
      <c r="P1715" s="8">
        <v>796</v>
      </c>
      <c r="Q1715" s="8" t="s">
        <v>3196</v>
      </c>
      <c r="R1715" s="10">
        <v>80</v>
      </c>
      <c r="S1715" s="10">
        <v>812.5</v>
      </c>
      <c r="T1715" s="10">
        <v>0</v>
      </c>
      <c r="U1715" s="10">
        <f t="shared" si="870"/>
        <v>0</v>
      </c>
      <c r="V1715" s="1"/>
      <c r="W1715" s="1">
        <v>2015</v>
      </c>
      <c r="X1715" s="20" t="s">
        <v>6562</v>
      </c>
    </row>
    <row r="1716" spans="1:24" s="133" customFormat="1" ht="76.5" customHeight="1" outlineLevel="1" x14ac:dyDescent="0.2">
      <c r="A1716" s="1" t="s">
        <v>6635</v>
      </c>
      <c r="B1716" s="24" t="s">
        <v>5277</v>
      </c>
      <c r="C1716" s="4" t="s">
        <v>1866</v>
      </c>
      <c r="D1716" s="4" t="s">
        <v>1867</v>
      </c>
      <c r="E1716" s="4" t="s">
        <v>6135</v>
      </c>
      <c r="F1716" s="4" t="s">
        <v>954</v>
      </c>
      <c r="G1716" s="4" t="s">
        <v>1888</v>
      </c>
      <c r="H1716" s="22">
        <v>0</v>
      </c>
      <c r="I1716" s="4">
        <v>710000000</v>
      </c>
      <c r="J1716" s="4" t="s">
        <v>1931</v>
      </c>
      <c r="K1716" s="4" t="s">
        <v>5297</v>
      </c>
      <c r="L1716" s="7" t="s">
        <v>1940</v>
      </c>
      <c r="M1716" s="8" t="s">
        <v>3195</v>
      </c>
      <c r="N1716" s="4" t="s">
        <v>1890</v>
      </c>
      <c r="O1716" s="8" t="s">
        <v>1935</v>
      </c>
      <c r="P1716" s="8">
        <v>796</v>
      </c>
      <c r="Q1716" s="8" t="s">
        <v>3196</v>
      </c>
      <c r="R1716" s="10">
        <f>80-15</f>
        <v>65</v>
      </c>
      <c r="S1716" s="10">
        <v>812.5</v>
      </c>
      <c r="T1716" s="10">
        <f t="shared" ref="T1716" si="877">S1716*R1716</f>
        <v>52812.5</v>
      </c>
      <c r="U1716" s="10">
        <f t="shared" si="870"/>
        <v>59150.000000000007</v>
      </c>
      <c r="V1716" s="1"/>
      <c r="W1716" s="1">
        <v>2015</v>
      </c>
      <c r="X1716" s="20"/>
    </row>
    <row r="1717" spans="1:24" s="133" customFormat="1" ht="76.5" customHeight="1" outlineLevel="1" x14ac:dyDescent="0.2">
      <c r="A1717" s="1" t="s">
        <v>2549</v>
      </c>
      <c r="B1717" s="24" t="s">
        <v>5277</v>
      </c>
      <c r="C1717" s="4" t="s">
        <v>1866</v>
      </c>
      <c r="D1717" s="4" t="s">
        <v>1867</v>
      </c>
      <c r="E1717" s="4" t="s">
        <v>6135</v>
      </c>
      <c r="F1717" s="4" t="s">
        <v>955</v>
      </c>
      <c r="G1717" s="4" t="s">
        <v>1888</v>
      </c>
      <c r="H1717" s="22">
        <v>0</v>
      </c>
      <c r="I1717" s="4">
        <v>710000000</v>
      </c>
      <c r="J1717" s="4" t="s">
        <v>1931</v>
      </c>
      <c r="K1717" s="4" t="s">
        <v>5297</v>
      </c>
      <c r="L1717" s="7" t="s">
        <v>1940</v>
      </c>
      <c r="M1717" s="8" t="s">
        <v>3195</v>
      </c>
      <c r="N1717" s="4" t="s">
        <v>1890</v>
      </c>
      <c r="O1717" s="8" t="s">
        <v>1935</v>
      </c>
      <c r="P1717" s="8">
        <v>796</v>
      </c>
      <c r="Q1717" s="8" t="s">
        <v>3196</v>
      </c>
      <c r="R1717" s="10">
        <v>10</v>
      </c>
      <c r="S1717" s="10">
        <v>1643</v>
      </c>
      <c r="T1717" s="10">
        <f t="shared" si="869"/>
        <v>16430</v>
      </c>
      <c r="U1717" s="10">
        <f t="shared" si="870"/>
        <v>18401.600000000002</v>
      </c>
      <c r="V1717" s="1"/>
      <c r="W1717" s="1">
        <v>2015</v>
      </c>
      <c r="X1717" s="20"/>
    </row>
    <row r="1718" spans="1:24" s="133" customFormat="1" ht="76.5" customHeight="1" outlineLevel="1" x14ac:dyDescent="0.2">
      <c r="A1718" s="1" t="s">
        <v>2550</v>
      </c>
      <c r="B1718" s="24" t="s">
        <v>5277</v>
      </c>
      <c r="C1718" s="4" t="s">
        <v>1866</v>
      </c>
      <c r="D1718" s="4" t="s">
        <v>1867</v>
      </c>
      <c r="E1718" s="4" t="s">
        <v>6135</v>
      </c>
      <c r="F1718" s="4" t="s">
        <v>956</v>
      </c>
      <c r="G1718" s="4" t="s">
        <v>1888</v>
      </c>
      <c r="H1718" s="22">
        <v>0</v>
      </c>
      <c r="I1718" s="4">
        <v>710000000</v>
      </c>
      <c r="J1718" s="4" t="s">
        <v>1931</v>
      </c>
      <c r="K1718" s="4" t="s">
        <v>5297</v>
      </c>
      <c r="L1718" s="7" t="s">
        <v>1940</v>
      </c>
      <c r="M1718" s="8" t="s">
        <v>3195</v>
      </c>
      <c r="N1718" s="4" t="s">
        <v>1890</v>
      </c>
      <c r="O1718" s="8" t="s">
        <v>1935</v>
      </c>
      <c r="P1718" s="8">
        <v>796</v>
      </c>
      <c r="Q1718" s="8" t="s">
        <v>3196</v>
      </c>
      <c r="R1718" s="10">
        <v>28</v>
      </c>
      <c r="S1718" s="10">
        <v>1980</v>
      </c>
      <c r="T1718" s="10">
        <f t="shared" si="869"/>
        <v>55440</v>
      </c>
      <c r="U1718" s="10">
        <f t="shared" si="870"/>
        <v>62092.800000000003</v>
      </c>
      <c r="V1718" s="1"/>
      <c r="W1718" s="1">
        <v>2015</v>
      </c>
      <c r="X1718" s="20"/>
    </row>
    <row r="1719" spans="1:24" s="133" customFormat="1" ht="76.5" customHeight="1" outlineLevel="1" x14ac:dyDescent="0.2">
      <c r="A1719" s="1" t="s">
        <v>2551</v>
      </c>
      <c r="B1719" s="24" t="s">
        <v>5277</v>
      </c>
      <c r="C1719" s="4" t="s">
        <v>1866</v>
      </c>
      <c r="D1719" s="4" t="s">
        <v>1867</v>
      </c>
      <c r="E1719" s="4" t="s">
        <v>6135</v>
      </c>
      <c r="F1719" s="4" t="s">
        <v>957</v>
      </c>
      <c r="G1719" s="4" t="s">
        <v>1888</v>
      </c>
      <c r="H1719" s="22">
        <v>0</v>
      </c>
      <c r="I1719" s="4">
        <v>710000000</v>
      </c>
      <c r="J1719" s="4" t="s">
        <v>1931</v>
      </c>
      <c r="K1719" s="4" t="s">
        <v>5297</v>
      </c>
      <c r="L1719" s="7" t="s">
        <v>1940</v>
      </c>
      <c r="M1719" s="8" t="s">
        <v>3195</v>
      </c>
      <c r="N1719" s="4" t="s">
        <v>1890</v>
      </c>
      <c r="O1719" s="8" t="s">
        <v>1935</v>
      </c>
      <c r="P1719" s="8">
        <v>796</v>
      </c>
      <c r="Q1719" s="8" t="s">
        <v>3196</v>
      </c>
      <c r="R1719" s="10">
        <v>26</v>
      </c>
      <c r="S1719" s="10">
        <v>3970</v>
      </c>
      <c r="T1719" s="10">
        <v>0</v>
      </c>
      <c r="U1719" s="10">
        <f t="shared" si="870"/>
        <v>0</v>
      </c>
      <c r="V1719" s="1"/>
      <c r="W1719" s="1">
        <v>2015</v>
      </c>
      <c r="X1719" s="20" t="s">
        <v>6562</v>
      </c>
    </row>
    <row r="1720" spans="1:24" s="133" customFormat="1" ht="76.5" customHeight="1" outlineLevel="1" x14ac:dyDescent="0.2">
      <c r="A1720" s="1" t="s">
        <v>6636</v>
      </c>
      <c r="B1720" s="24" t="s">
        <v>5277</v>
      </c>
      <c r="C1720" s="4" t="s">
        <v>1866</v>
      </c>
      <c r="D1720" s="4" t="s">
        <v>1867</v>
      </c>
      <c r="E1720" s="4" t="s">
        <v>6135</v>
      </c>
      <c r="F1720" s="4" t="s">
        <v>957</v>
      </c>
      <c r="G1720" s="4" t="s">
        <v>1888</v>
      </c>
      <c r="H1720" s="22">
        <v>0</v>
      </c>
      <c r="I1720" s="4">
        <v>710000000</v>
      </c>
      <c r="J1720" s="4" t="s">
        <v>1931</v>
      </c>
      <c r="K1720" s="4" t="s">
        <v>5297</v>
      </c>
      <c r="L1720" s="7" t="s">
        <v>1940</v>
      </c>
      <c r="M1720" s="8" t="s">
        <v>3195</v>
      </c>
      <c r="N1720" s="4" t="s">
        <v>1890</v>
      </c>
      <c r="O1720" s="8" t="s">
        <v>1935</v>
      </c>
      <c r="P1720" s="8">
        <v>796</v>
      </c>
      <c r="Q1720" s="8" t="s">
        <v>3196</v>
      </c>
      <c r="R1720" s="10">
        <f>26-6</f>
        <v>20</v>
      </c>
      <c r="S1720" s="10">
        <v>3970</v>
      </c>
      <c r="T1720" s="10">
        <f t="shared" ref="T1720" si="878">S1720*R1720</f>
        <v>79400</v>
      </c>
      <c r="U1720" s="10">
        <f t="shared" si="870"/>
        <v>88928.000000000015</v>
      </c>
      <c r="V1720" s="1"/>
      <c r="W1720" s="1">
        <v>2015</v>
      </c>
      <c r="X1720" s="20"/>
    </row>
    <row r="1721" spans="1:24" s="133" customFormat="1" ht="76.5" customHeight="1" outlineLevel="1" x14ac:dyDescent="0.2">
      <c r="A1721" s="1" t="s">
        <v>2552</v>
      </c>
      <c r="B1721" s="24" t="s">
        <v>5277</v>
      </c>
      <c r="C1721" s="4" t="s">
        <v>1875</v>
      </c>
      <c r="D1721" s="4" t="s">
        <v>6132</v>
      </c>
      <c r="E1721" s="4" t="s">
        <v>6143</v>
      </c>
      <c r="F1721" s="4" t="s">
        <v>958</v>
      </c>
      <c r="G1721" s="4" t="s">
        <v>1888</v>
      </c>
      <c r="H1721" s="22">
        <v>0</v>
      </c>
      <c r="I1721" s="4">
        <v>710000000</v>
      </c>
      <c r="J1721" s="4" t="s">
        <v>1931</v>
      </c>
      <c r="K1721" s="4" t="s">
        <v>5297</v>
      </c>
      <c r="L1721" s="7" t="s">
        <v>1940</v>
      </c>
      <c r="M1721" s="8" t="s">
        <v>3195</v>
      </c>
      <c r="N1721" s="4" t="s">
        <v>1890</v>
      </c>
      <c r="O1721" s="8" t="s">
        <v>1935</v>
      </c>
      <c r="P1721" s="8">
        <v>796</v>
      </c>
      <c r="Q1721" s="8" t="s">
        <v>3196</v>
      </c>
      <c r="R1721" s="10">
        <v>90</v>
      </c>
      <c r="S1721" s="10">
        <v>908</v>
      </c>
      <c r="T1721" s="10">
        <v>0</v>
      </c>
      <c r="U1721" s="10">
        <f t="shared" si="870"/>
        <v>0</v>
      </c>
      <c r="V1721" s="1"/>
      <c r="W1721" s="1">
        <v>2015</v>
      </c>
      <c r="X1721" s="20" t="s">
        <v>6562</v>
      </c>
    </row>
    <row r="1722" spans="1:24" s="133" customFormat="1" ht="76.5" customHeight="1" outlineLevel="1" x14ac:dyDescent="0.2">
      <c r="A1722" s="1" t="s">
        <v>6637</v>
      </c>
      <c r="B1722" s="24" t="s">
        <v>5277</v>
      </c>
      <c r="C1722" s="4" t="s">
        <v>1875</v>
      </c>
      <c r="D1722" s="4" t="s">
        <v>6132</v>
      </c>
      <c r="E1722" s="4" t="s">
        <v>6143</v>
      </c>
      <c r="F1722" s="4" t="s">
        <v>958</v>
      </c>
      <c r="G1722" s="4" t="s">
        <v>1888</v>
      </c>
      <c r="H1722" s="22">
        <v>0</v>
      </c>
      <c r="I1722" s="4">
        <v>710000000</v>
      </c>
      <c r="J1722" s="4" t="s">
        <v>1931</v>
      </c>
      <c r="K1722" s="4" t="s">
        <v>5297</v>
      </c>
      <c r="L1722" s="7" t="s">
        <v>1940</v>
      </c>
      <c r="M1722" s="8" t="s">
        <v>3195</v>
      </c>
      <c r="N1722" s="4" t="s">
        <v>1890</v>
      </c>
      <c r="O1722" s="8" t="s">
        <v>1935</v>
      </c>
      <c r="P1722" s="8">
        <v>796</v>
      </c>
      <c r="Q1722" s="8" t="s">
        <v>3196</v>
      </c>
      <c r="R1722" s="10">
        <f>90-15</f>
        <v>75</v>
      </c>
      <c r="S1722" s="10">
        <v>908</v>
      </c>
      <c r="T1722" s="10">
        <f t="shared" ref="T1722" si="879">S1722*R1722</f>
        <v>68100</v>
      </c>
      <c r="U1722" s="10">
        <f t="shared" si="870"/>
        <v>76272</v>
      </c>
      <c r="V1722" s="1"/>
      <c r="W1722" s="1">
        <v>2015</v>
      </c>
      <c r="X1722" s="20"/>
    </row>
    <row r="1723" spans="1:24" s="133" customFormat="1" ht="76.5" customHeight="1" outlineLevel="1" x14ac:dyDescent="0.2">
      <c r="A1723" s="1" t="s">
        <v>2553</v>
      </c>
      <c r="B1723" s="24" t="s">
        <v>5277</v>
      </c>
      <c r="C1723" s="4" t="s">
        <v>959</v>
      </c>
      <c r="D1723" s="4" t="s">
        <v>960</v>
      </c>
      <c r="E1723" s="4" t="s">
        <v>961</v>
      </c>
      <c r="F1723" s="4" t="s">
        <v>962</v>
      </c>
      <c r="G1723" s="4" t="s">
        <v>1888</v>
      </c>
      <c r="H1723" s="22">
        <v>0</v>
      </c>
      <c r="I1723" s="4">
        <v>710000000</v>
      </c>
      <c r="J1723" s="4" t="s">
        <v>1931</v>
      </c>
      <c r="K1723" s="4" t="s">
        <v>5297</v>
      </c>
      <c r="L1723" s="7" t="s">
        <v>1940</v>
      </c>
      <c r="M1723" s="8" t="s">
        <v>3195</v>
      </c>
      <c r="N1723" s="4" t="s">
        <v>1890</v>
      </c>
      <c r="O1723" s="8" t="s">
        <v>1935</v>
      </c>
      <c r="P1723" s="8">
        <v>796</v>
      </c>
      <c r="Q1723" s="8" t="s">
        <v>3196</v>
      </c>
      <c r="R1723" s="10">
        <v>20</v>
      </c>
      <c r="S1723" s="10">
        <v>3534</v>
      </c>
      <c r="T1723" s="10">
        <f t="shared" si="869"/>
        <v>70680</v>
      </c>
      <c r="U1723" s="10">
        <f t="shared" si="870"/>
        <v>79161.600000000006</v>
      </c>
      <c r="V1723" s="1"/>
      <c r="W1723" s="1">
        <v>2015</v>
      </c>
      <c r="X1723" s="20"/>
    </row>
    <row r="1724" spans="1:24" s="133" customFormat="1" ht="76.5" customHeight="1" outlineLevel="1" x14ac:dyDescent="0.2">
      <c r="A1724" s="1" t="s">
        <v>2554</v>
      </c>
      <c r="B1724" s="24" t="s">
        <v>5277</v>
      </c>
      <c r="C1724" s="4" t="s">
        <v>1876</v>
      </c>
      <c r="D1724" s="4" t="s">
        <v>6132</v>
      </c>
      <c r="E1724" s="4" t="s">
        <v>856</v>
      </c>
      <c r="F1724" s="4" t="s">
        <v>963</v>
      </c>
      <c r="G1724" s="4" t="s">
        <v>1888</v>
      </c>
      <c r="H1724" s="22">
        <v>0</v>
      </c>
      <c r="I1724" s="4">
        <v>710000000</v>
      </c>
      <c r="J1724" s="4" t="s">
        <v>1931</v>
      </c>
      <c r="K1724" s="4" t="s">
        <v>5297</v>
      </c>
      <c r="L1724" s="7" t="s">
        <v>1940</v>
      </c>
      <c r="M1724" s="8" t="s">
        <v>3195</v>
      </c>
      <c r="N1724" s="4" t="s">
        <v>1890</v>
      </c>
      <c r="O1724" s="8" t="s">
        <v>1935</v>
      </c>
      <c r="P1724" s="8">
        <v>796</v>
      </c>
      <c r="Q1724" s="8" t="s">
        <v>3196</v>
      </c>
      <c r="R1724" s="10">
        <v>46</v>
      </c>
      <c r="S1724" s="10">
        <v>239</v>
      </c>
      <c r="T1724" s="10">
        <f t="shared" ref="T1724:T1797" si="880">S1724*R1724</f>
        <v>10994</v>
      </c>
      <c r="U1724" s="10">
        <f t="shared" si="870"/>
        <v>12313.28</v>
      </c>
      <c r="V1724" s="1"/>
      <c r="W1724" s="1">
        <v>2015</v>
      </c>
      <c r="X1724" s="20"/>
    </row>
    <row r="1725" spans="1:24" s="133" customFormat="1" ht="76.5" customHeight="1" outlineLevel="1" x14ac:dyDescent="0.2">
      <c r="A1725" s="1" t="s">
        <v>2555</v>
      </c>
      <c r="B1725" s="24" t="s">
        <v>5277</v>
      </c>
      <c r="C1725" s="4" t="s">
        <v>1876</v>
      </c>
      <c r="D1725" s="4" t="s">
        <v>6132</v>
      </c>
      <c r="E1725" s="4" t="s">
        <v>856</v>
      </c>
      <c r="F1725" s="4" t="s">
        <v>964</v>
      </c>
      <c r="G1725" s="4" t="s">
        <v>1888</v>
      </c>
      <c r="H1725" s="22">
        <v>0</v>
      </c>
      <c r="I1725" s="4">
        <v>710000000</v>
      </c>
      <c r="J1725" s="4" t="s">
        <v>1931</v>
      </c>
      <c r="K1725" s="4" t="s">
        <v>5297</v>
      </c>
      <c r="L1725" s="7" t="s">
        <v>1940</v>
      </c>
      <c r="M1725" s="8" t="s">
        <v>3195</v>
      </c>
      <c r="N1725" s="4" t="s">
        <v>1890</v>
      </c>
      <c r="O1725" s="8" t="s">
        <v>1935</v>
      </c>
      <c r="P1725" s="8">
        <v>796</v>
      </c>
      <c r="Q1725" s="8" t="s">
        <v>3196</v>
      </c>
      <c r="R1725" s="10">
        <v>20</v>
      </c>
      <c r="S1725" s="10">
        <v>666.96</v>
      </c>
      <c r="T1725" s="10">
        <f t="shared" si="880"/>
        <v>13339.2</v>
      </c>
      <c r="U1725" s="10">
        <f t="shared" si="870"/>
        <v>14939.904000000002</v>
      </c>
      <c r="V1725" s="1"/>
      <c r="W1725" s="1">
        <v>2015</v>
      </c>
      <c r="X1725" s="20"/>
    </row>
    <row r="1726" spans="1:24" s="133" customFormat="1" ht="76.5" customHeight="1" outlineLevel="1" x14ac:dyDescent="0.2">
      <c r="A1726" s="1" t="s">
        <v>2556</v>
      </c>
      <c r="B1726" s="24" t="s">
        <v>5277</v>
      </c>
      <c r="C1726" s="4" t="s">
        <v>1876</v>
      </c>
      <c r="D1726" s="4" t="s">
        <v>6132</v>
      </c>
      <c r="E1726" s="4" t="s">
        <v>856</v>
      </c>
      <c r="F1726" s="4" t="s">
        <v>965</v>
      </c>
      <c r="G1726" s="4" t="s">
        <v>1888</v>
      </c>
      <c r="H1726" s="22">
        <v>0</v>
      </c>
      <c r="I1726" s="4">
        <v>710000000</v>
      </c>
      <c r="J1726" s="4" t="s">
        <v>1931</v>
      </c>
      <c r="K1726" s="4" t="s">
        <v>5297</v>
      </c>
      <c r="L1726" s="7" t="s">
        <v>1940</v>
      </c>
      <c r="M1726" s="8" t="s">
        <v>3195</v>
      </c>
      <c r="N1726" s="4" t="s">
        <v>1890</v>
      </c>
      <c r="O1726" s="8" t="s">
        <v>1935</v>
      </c>
      <c r="P1726" s="8">
        <v>796</v>
      </c>
      <c r="Q1726" s="8" t="s">
        <v>3196</v>
      </c>
      <c r="R1726" s="10">
        <v>10</v>
      </c>
      <c r="S1726" s="10">
        <v>329.47</v>
      </c>
      <c r="T1726" s="10">
        <f t="shared" si="880"/>
        <v>3294.7000000000003</v>
      </c>
      <c r="U1726" s="10">
        <f t="shared" si="870"/>
        <v>3690.0640000000008</v>
      </c>
      <c r="V1726" s="1"/>
      <c r="W1726" s="1">
        <v>2015</v>
      </c>
      <c r="X1726" s="20"/>
    </row>
    <row r="1727" spans="1:24" s="133" customFormat="1" ht="76.5" customHeight="1" outlineLevel="1" x14ac:dyDescent="0.2">
      <c r="A1727" s="1" t="s">
        <v>2557</v>
      </c>
      <c r="B1727" s="24" t="s">
        <v>5277</v>
      </c>
      <c r="C1727" s="4" t="s">
        <v>966</v>
      </c>
      <c r="D1727" s="4" t="s">
        <v>6133</v>
      </c>
      <c r="E1727" s="4" t="s">
        <v>6144</v>
      </c>
      <c r="F1727" s="4"/>
      <c r="G1727" s="4" t="s">
        <v>1888</v>
      </c>
      <c r="H1727" s="22">
        <v>0</v>
      </c>
      <c r="I1727" s="4">
        <v>710000000</v>
      </c>
      <c r="J1727" s="4" t="s">
        <v>1931</v>
      </c>
      <c r="K1727" s="4" t="s">
        <v>5297</v>
      </c>
      <c r="L1727" s="7" t="s">
        <v>1940</v>
      </c>
      <c r="M1727" s="8" t="s">
        <v>3195</v>
      </c>
      <c r="N1727" s="4" t="s">
        <v>1890</v>
      </c>
      <c r="O1727" s="8" t="s">
        <v>1935</v>
      </c>
      <c r="P1727" s="8">
        <v>796</v>
      </c>
      <c r="Q1727" s="8" t="s">
        <v>3196</v>
      </c>
      <c r="R1727" s="10">
        <v>144</v>
      </c>
      <c r="S1727" s="10">
        <v>258</v>
      </c>
      <c r="T1727" s="10">
        <f t="shared" si="880"/>
        <v>37152</v>
      </c>
      <c r="U1727" s="10">
        <f t="shared" si="870"/>
        <v>41610.240000000005</v>
      </c>
      <c r="V1727" s="1"/>
      <c r="W1727" s="1">
        <v>2015</v>
      </c>
      <c r="X1727" s="20"/>
    </row>
    <row r="1728" spans="1:24" s="133" customFormat="1" ht="76.5" customHeight="1" outlineLevel="1" x14ac:dyDescent="0.2">
      <c r="A1728" s="1" t="s">
        <v>2558</v>
      </c>
      <c r="B1728" s="24" t="s">
        <v>5277</v>
      </c>
      <c r="C1728" s="4" t="s">
        <v>1862</v>
      </c>
      <c r="D1728" s="4" t="s">
        <v>6133</v>
      </c>
      <c r="E1728" s="4" t="s">
        <v>967</v>
      </c>
      <c r="F1728" s="4"/>
      <c r="G1728" s="4" t="s">
        <v>1888</v>
      </c>
      <c r="H1728" s="22">
        <v>0</v>
      </c>
      <c r="I1728" s="4">
        <v>710000000</v>
      </c>
      <c r="J1728" s="4" t="s">
        <v>1931</v>
      </c>
      <c r="K1728" s="4" t="s">
        <v>5297</v>
      </c>
      <c r="L1728" s="7" t="s">
        <v>1940</v>
      </c>
      <c r="M1728" s="8" t="s">
        <v>3195</v>
      </c>
      <c r="N1728" s="4" t="s">
        <v>1890</v>
      </c>
      <c r="O1728" s="8" t="s">
        <v>1935</v>
      </c>
      <c r="P1728" s="8">
        <v>796</v>
      </c>
      <c r="Q1728" s="8" t="s">
        <v>3196</v>
      </c>
      <c r="R1728" s="10">
        <v>306</v>
      </c>
      <c r="S1728" s="10">
        <v>366</v>
      </c>
      <c r="T1728" s="10">
        <f t="shared" si="880"/>
        <v>111996</v>
      </c>
      <c r="U1728" s="10">
        <f t="shared" si="870"/>
        <v>125435.52000000002</v>
      </c>
      <c r="V1728" s="1"/>
      <c r="W1728" s="1">
        <v>2015</v>
      </c>
      <c r="X1728" s="20"/>
    </row>
    <row r="1729" spans="1:24" s="133" customFormat="1" ht="76.5" customHeight="1" outlineLevel="1" x14ac:dyDescent="0.2">
      <c r="A1729" s="1" t="s">
        <v>2559</v>
      </c>
      <c r="B1729" s="24" t="s">
        <v>5277</v>
      </c>
      <c r="C1729" s="4" t="s">
        <v>1878</v>
      </c>
      <c r="D1729" s="4" t="s">
        <v>6145</v>
      </c>
      <c r="E1729" s="4" t="s">
        <v>6146</v>
      </c>
      <c r="F1729" s="4" t="s">
        <v>968</v>
      </c>
      <c r="G1729" s="4" t="s">
        <v>1888</v>
      </c>
      <c r="H1729" s="22">
        <v>0</v>
      </c>
      <c r="I1729" s="4">
        <v>710000000</v>
      </c>
      <c r="J1729" s="4" t="s">
        <v>1931</v>
      </c>
      <c r="K1729" s="4" t="s">
        <v>5297</v>
      </c>
      <c r="L1729" s="7" t="s">
        <v>1940</v>
      </c>
      <c r="M1729" s="8" t="s">
        <v>3195</v>
      </c>
      <c r="N1729" s="4" t="s">
        <v>1890</v>
      </c>
      <c r="O1729" s="8" t="s">
        <v>1935</v>
      </c>
      <c r="P1729" s="8">
        <v>796</v>
      </c>
      <c r="Q1729" s="8" t="s">
        <v>3196</v>
      </c>
      <c r="R1729" s="10">
        <v>286</v>
      </c>
      <c r="S1729" s="10">
        <v>258</v>
      </c>
      <c r="T1729" s="10">
        <f t="shared" si="880"/>
        <v>73788</v>
      </c>
      <c r="U1729" s="10">
        <f t="shared" ref="U1729:U1810" si="881">T1729*1.12</f>
        <v>82642.560000000012</v>
      </c>
      <c r="V1729" s="1"/>
      <c r="W1729" s="1">
        <v>2015</v>
      </c>
      <c r="X1729" s="20"/>
    </row>
    <row r="1730" spans="1:24" s="133" customFormat="1" ht="76.5" customHeight="1" outlineLevel="1" x14ac:dyDescent="0.2">
      <c r="A1730" s="1" t="s">
        <v>2560</v>
      </c>
      <c r="B1730" s="24" t="s">
        <v>5277</v>
      </c>
      <c r="C1730" s="4" t="s">
        <v>1864</v>
      </c>
      <c r="D1730" s="4" t="s">
        <v>2996</v>
      </c>
      <c r="E1730" s="4" t="s">
        <v>1865</v>
      </c>
      <c r="F1730" s="4"/>
      <c r="G1730" s="4" t="s">
        <v>1888</v>
      </c>
      <c r="H1730" s="22">
        <v>0</v>
      </c>
      <c r="I1730" s="4">
        <v>710000000</v>
      </c>
      <c r="J1730" s="4" t="s">
        <v>1931</v>
      </c>
      <c r="K1730" s="4" t="s">
        <v>5297</v>
      </c>
      <c r="L1730" s="7" t="s">
        <v>1940</v>
      </c>
      <c r="M1730" s="8" t="s">
        <v>3195</v>
      </c>
      <c r="N1730" s="4" t="s">
        <v>1890</v>
      </c>
      <c r="O1730" s="8" t="s">
        <v>1935</v>
      </c>
      <c r="P1730" s="40" t="s">
        <v>3443</v>
      </c>
      <c r="Q1730" s="4" t="s">
        <v>5676</v>
      </c>
      <c r="R1730" s="10">
        <v>500</v>
      </c>
      <c r="S1730" s="10">
        <v>96.43</v>
      </c>
      <c r="T1730" s="10">
        <f t="shared" si="880"/>
        <v>48215</v>
      </c>
      <c r="U1730" s="10">
        <f t="shared" si="881"/>
        <v>54000.800000000003</v>
      </c>
      <c r="V1730" s="1"/>
      <c r="W1730" s="1">
        <v>2015</v>
      </c>
      <c r="X1730" s="20"/>
    </row>
    <row r="1731" spans="1:24" s="133" customFormat="1" ht="76.5" customHeight="1" outlineLevel="1" x14ac:dyDescent="0.2">
      <c r="A1731" s="1" t="s">
        <v>2561</v>
      </c>
      <c r="B1731" s="24" t="s">
        <v>5277</v>
      </c>
      <c r="C1731" s="4" t="s">
        <v>6500</v>
      </c>
      <c r="D1731" s="4" t="s">
        <v>970</v>
      </c>
      <c r="E1731" s="4" t="s">
        <v>6501</v>
      </c>
      <c r="F1731" s="4"/>
      <c r="G1731" s="4" t="s">
        <v>1888</v>
      </c>
      <c r="H1731" s="22">
        <v>0</v>
      </c>
      <c r="I1731" s="4">
        <v>710000000</v>
      </c>
      <c r="J1731" s="4" t="s">
        <v>1931</v>
      </c>
      <c r="K1731" s="4" t="s">
        <v>5297</v>
      </c>
      <c r="L1731" s="7" t="s">
        <v>1940</v>
      </c>
      <c r="M1731" s="8" t="s">
        <v>3195</v>
      </c>
      <c r="N1731" s="4" t="s">
        <v>1890</v>
      </c>
      <c r="O1731" s="8" t="s">
        <v>1935</v>
      </c>
      <c r="P1731" s="40" t="s">
        <v>3443</v>
      </c>
      <c r="Q1731" s="4" t="s">
        <v>5676</v>
      </c>
      <c r="R1731" s="10">
        <v>8</v>
      </c>
      <c r="S1731" s="10">
        <v>1792.86</v>
      </c>
      <c r="T1731" s="10">
        <f t="shared" si="880"/>
        <v>14342.88</v>
      </c>
      <c r="U1731" s="10">
        <f t="shared" si="881"/>
        <v>16064.025600000001</v>
      </c>
      <c r="V1731" s="1"/>
      <c r="W1731" s="1">
        <v>2015</v>
      </c>
      <c r="X1731" s="20"/>
    </row>
    <row r="1732" spans="1:24" s="133" customFormat="1" ht="76.5" customHeight="1" outlineLevel="1" x14ac:dyDescent="0.2">
      <c r="A1732" s="1" t="s">
        <v>2562</v>
      </c>
      <c r="B1732" s="24" t="s">
        <v>5277</v>
      </c>
      <c r="C1732" s="4" t="s">
        <v>6504</v>
      </c>
      <c r="D1732" s="4" t="s">
        <v>970</v>
      </c>
      <c r="E1732" s="4" t="s">
        <v>6505</v>
      </c>
      <c r="F1732" s="4" t="s">
        <v>971</v>
      </c>
      <c r="G1732" s="4" t="s">
        <v>1888</v>
      </c>
      <c r="H1732" s="22">
        <v>0</v>
      </c>
      <c r="I1732" s="4">
        <v>710000000</v>
      </c>
      <c r="J1732" s="4" t="s">
        <v>1931</v>
      </c>
      <c r="K1732" s="4" t="s">
        <v>5297</v>
      </c>
      <c r="L1732" s="7" t="s">
        <v>1940</v>
      </c>
      <c r="M1732" s="8" t="s">
        <v>3195</v>
      </c>
      <c r="N1732" s="4" t="s">
        <v>1890</v>
      </c>
      <c r="O1732" s="8" t="s">
        <v>1935</v>
      </c>
      <c r="P1732" s="40" t="s">
        <v>3443</v>
      </c>
      <c r="Q1732" s="4" t="s">
        <v>5676</v>
      </c>
      <c r="R1732" s="10">
        <v>6</v>
      </c>
      <c r="S1732" s="10">
        <v>3840</v>
      </c>
      <c r="T1732" s="10">
        <f t="shared" si="880"/>
        <v>23040</v>
      </c>
      <c r="U1732" s="10">
        <f t="shared" si="881"/>
        <v>25804.800000000003</v>
      </c>
      <c r="V1732" s="1"/>
      <c r="W1732" s="1">
        <v>2015</v>
      </c>
      <c r="X1732" s="20"/>
    </row>
    <row r="1733" spans="1:24" s="133" customFormat="1" ht="76.5" customHeight="1" outlineLevel="1" x14ac:dyDescent="0.2">
      <c r="A1733" s="1" t="s">
        <v>2563</v>
      </c>
      <c r="B1733" s="24" t="s">
        <v>5277</v>
      </c>
      <c r="C1733" s="4" t="s">
        <v>969</v>
      </c>
      <c r="D1733" s="4" t="s">
        <v>970</v>
      </c>
      <c r="E1733" s="4" t="s">
        <v>6503</v>
      </c>
      <c r="F1733" s="4" t="s">
        <v>972</v>
      </c>
      <c r="G1733" s="4" t="s">
        <v>1888</v>
      </c>
      <c r="H1733" s="22">
        <v>0</v>
      </c>
      <c r="I1733" s="4">
        <v>710000000</v>
      </c>
      <c r="J1733" s="4" t="s">
        <v>1931</v>
      </c>
      <c r="K1733" s="4" t="s">
        <v>5297</v>
      </c>
      <c r="L1733" s="7" t="s">
        <v>1940</v>
      </c>
      <c r="M1733" s="8" t="s">
        <v>3195</v>
      </c>
      <c r="N1733" s="4" t="s">
        <v>1890</v>
      </c>
      <c r="O1733" s="8" t="s">
        <v>1935</v>
      </c>
      <c r="P1733" s="40" t="s">
        <v>3443</v>
      </c>
      <c r="Q1733" s="4" t="s">
        <v>5676</v>
      </c>
      <c r="R1733" s="10">
        <v>8</v>
      </c>
      <c r="S1733" s="10">
        <v>4980</v>
      </c>
      <c r="T1733" s="10">
        <f t="shared" si="880"/>
        <v>39840</v>
      </c>
      <c r="U1733" s="10">
        <f t="shared" si="881"/>
        <v>44620.800000000003</v>
      </c>
      <c r="V1733" s="1"/>
      <c r="W1733" s="1">
        <v>2015</v>
      </c>
      <c r="X1733" s="20"/>
    </row>
    <row r="1734" spans="1:24" s="133" customFormat="1" ht="76.5" customHeight="1" outlineLevel="1" x14ac:dyDescent="0.2">
      <c r="A1734" s="1" t="s">
        <v>2564</v>
      </c>
      <c r="B1734" s="24" t="s">
        <v>5277</v>
      </c>
      <c r="C1734" s="4" t="s">
        <v>969</v>
      </c>
      <c r="D1734" s="4" t="s">
        <v>970</v>
      </c>
      <c r="E1734" s="4" t="s">
        <v>6503</v>
      </c>
      <c r="F1734" s="4" t="s">
        <v>973</v>
      </c>
      <c r="G1734" s="4" t="s">
        <v>1888</v>
      </c>
      <c r="H1734" s="22">
        <v>0</v>
      </c>
      <c r="I1734" s="4">
        <v>710000000</v>
      </c>
      <c r="J1734" s="4" t="s">
        <v>1931</v>
      </c>
      <c r="K1734" s="4" t="s">
        <v>5297</v>
      </c>
      <c r="L1734" s="7" t="s">
        <v>1940</v>
      </c>
      <c r="M1734" s="8" t="s">
        <v>3195</v>
      </c>
      <c r="N1734" s="4" t="s">
        <v>1890</v>
      </c>
      <c r="O1734" s="8" t="s">
        <v>1935</v>
      </c>
      <c r="P1734" s="40" t="s">
        <v>3443</v>
      </c>
      <c r="Q1734" s="4" t="s">
        <v>5676</v>
      </c>
      <c r="R1734" s="10">
        <v>6</v>
      </c>
      <c r="S1734" s="10">
        <v>5530</v>
      </c>
      <c r="T1734" s="10">
        <f t="shared" si="880"/>
        <v>33180</v>
      </c>
      <c r="U1734" s="10">
        <f t="shared" si="881"/>
        <v>37161.600000000006</v>
      </c>
      <c r="V1734" s="1"/>
      <c r="W1734" s="1">
        <v>2015</v>
      </c>
      <c r="X1734" s="20"/>
    </row>
    <row r="1735" spans="1:24" s="133" customFormat="1" ht="76.5" customHeight="1" outlineLevel="1" x14ac:dyDescent="0.2">
      <c r="A1735" s="1" t="s">
        <v>2565</v>
      </c>
      <c r="B1735" s="24" t="s">
        <v>5277</v>
      </c>
      <c r="C1735" s="4" t="s">
        <v>974</v>
      </c>
      <c r="D1735" s="4" t="s">
        <v>1881</v>
      </c>
      <c r="E1735" s="4" t="s">
        <v>975</v>
      </c>
      <c r="F1735" s="4" t="s">
        <v>976</v>
      </c>
      <c r="G1735" s="4" t="s">
        <v>1888</v>
      </c>
      <c r="H1735" s="22">
        <v>0</v>
      </c>
      <c r="I1735" s="4">
        <v>710000000</v>
      </c>
      <c r="J1735" s="4" t="s">
        <v>1931</v>
      </c>
      <c r="K1735" s="4" t="s">
        <v>5297</v>
      </c>
      <c r="L1735" s="7" t="s">
        <v>1940</v>
      </c>
      <c r="M1735" s="8" t="s">
        <v>3195</v>
      </c>
      <c r="N1735" s="4" t="s">
        <v>1890</v>
      </c>
      <c r="O1735" s="8" t="s">
        <v>1935</v>
      </c>
      <c r="P1735" s="8">
        <v>796</v>
      </c>
      <c r="Q1735" s="8" t="s">
        <v>3196</v>
      </c>
      <c r="R1735" s="10">
        <v>2</v>
      </c>
      <c r="S1735" s="10">
        <v>23740</v>
      </c>
      <c r="T1735" s="10">
        <f t="shared" si="880"/>
        <v>47480</v>
      </c>
      <c r="U1735" s="10">
        <f t="shared" si="881"/>
        <v>53177.600000000006</v>
      </c>
      <c r="V1735" s="1"/>
      <c r="W1735" s="1">
        <v>2015</v>
      </c>
      <c r="X1735" s="20"/>
    </row>
    <row r="1736" spans="1:24" s="133" customFormat="1" ht="76.5" customHeight="1" outlineLevel="1" x14ac:dyDescent="0.2">
      <c r="A1736" s="1" t="s">
        <v>2566</v>
      </c>
      <c r="B1736" s="24" t="s">
        <v>5277</v>
      </c>
      <c r="C1736" s="4" t="s">
        <v>974</v>
      </c>
      <c r="D1736" s="4" t="s">
        <v>1881</v>
      </c>
      <c r="E1736" s="4" t="s">
        <v>975</v>
      </c>
      <c r="F1736" s="4" t="s">
        <v>977</v>
      </c>
      <c r="G1736" s="4" t="s">
        <v>1888</v>
      </c>
      <c r="H1736" s="22">
        <v>0</v>
      </c>
      <c r="I1736" s="4">
        <v>710000000</v>
      </c>
      <c r="J1736" s="4" t="s">
        <v>1931</v>
      </c>
      <c r="K1736" s="4" t="s">
        <v>5297</v>
      </c>
      <c r="L1736" s="7" t="s">
        <v>1940</v>
      </c>
      <c r="M1736" s="8" t="s">
        <v>3195</v>
      </c>
      <c r="N1736" s="4" t="s">
        <v>1890</v>
      </c>
      <c r="O1736" s="8" t="s">
        <v>1935</v>
      </c>
      <c r="P1736" s="8">
        <v>796</v>
      </c>
      <c r="Q1736" s="8" t="s">
        <v>3196</v>
      </c>
      <c r="R1736" s="10">
        <v>2</v>
      </c>
      <c r="S1736" s="10">
        <v>47645</v>
      </c>
      <c r="T1736" s="10">
        <f t="shared" si="880"/>
        <v>95290</v>
      </c>
      <c r="U1736" s="10">
        <f t="shared" si="881"/>
        <v>106724.8</v>
      </c>
      <c r="V1736" s="1"/>
      <c r="W1736" s="1">
        <v>2015</v>
      </c>
      <c r="X1736" s="20"/>
    </row>
    <row r="1737" spans="1:24" s="133" customFormat="1" ht="89.25" customHeight="1" outlineLevel="1" x14ac:dyDescent="0.2">
      <c r="A1737" s="1" t="s">
        <v>2567</v>
      </c>
      <c r="B1737" s="24" t="s">
        <v>5277</v>
      </c>
      <c r="C1737" s="4" t="s">
        <v>978</v>
      </c>
      <c r="D1737" s="4" t="s">
        <v>979</v>
      </c>
      <c r="E1737" s="4" t="s">
        <v>980</v>
      </c>
      <c r="F1737" s="4" t="s">
        <v>981</v>
      </c>
      <c r="G1737" s="4" t="s">
        <v>1888</v>
      </c>
      <c r="H1737" s="22">
        <v>0</v>
      </c>
      <c r="I1737" s="4">
        <v>710000000</v>
      </c>
      <c r="J1737" s="4" t="s">
        <v>1931</v>
      </c>
      <c r="K1737" s="4" t="s">
        <v>5297</v>
      </c>
      <c r="L1737" s="7" t="s">
        <v>1940</v>
      </c>
      <c r="M1737" s="8" t="s">
        <v>3195</v>
      </c>
      <c r="N1737" s="4" t="s">
        <v>1890</v>
      </c>
      <c r="O1737" s="8" t="s">
        <v>1935</v>
      </c>
      <c r="P1737" s="8">
        <v>796</v>
      </c>
      <c r="Q1737" s="8" t="s">
        <v>3196</v>
      </c>
      <c r="R1737" s="10">
        <v>4</v>
      </c>
      <c r="S1737" s="10">
        <v>6410</v>
      </c>
      <c r="T1737" s="10">
        <f t="shared" si="880"/>
        <v>25640</v>
      </c>
      <c r="U1737" s="10">
        <f t="shared" si="881"/>
        <v>28716.800000000003</v>
      </c>
      <c r="V1737" s="1"/>
      <c r="W1737" s="1">
        <v>2015</v>
      </c>
      <c r="X1737" s="20"/>
    </row>
    <row r="1738" spans="1:24" s="133" customFormat="1" ht="89.25" customHeight="1" outlineLevel="1" x14ac:dyDescent="0.2">
      <c r="A1738" s="1" t="s">
        <v>2568</v>
      </c>
      <c r="B1738" s="24" t="s">
        <v>5277</v>
      </c>
      <c r="C1738" s="4" t="s">
        <v>978</v>
      </c>
      <c r="D1738" s="4" t="s">
        <v>979</v>
      </c>
      <c r="E1738" s="4" t="s">
        <v>980</v>
      </c>
      <c r="F1738" s="4" t="s">
        <v>982</v>
      </c>
      <c r="G1738" s="4" t="s">
        <v>1888</v>
      </c>
      <c r="H1738" s="22">
        <v>0</v>
      </c>
      <c r="I1738" s="4">
        <v>710000000</v>
      </c>
      <c r="J1738" s="4" t="s">
        <v>1931</v>
      </c>
      <c r="K1738" s="4" t="s">
        <v>5297</v>
      </c>
      <c r="L1738" s="7" t="s">
        <v>1940</v>
      </c>
      <c r="M1738" s="8" t="s">
        <v>3195</v>
      </c>
      <c r="N1738" s="4" t="s">
        <v>1890</v>
      </c>
      <c r="O1738" s="8" t="s">
        <v>1935</v>
      </c>
      <c r="P1738" s="8">
        <v>796</v>
      </c>
      <c r="Q1738" s="8" t="s">
        <v>3196</v>
      </c>
      <c r="R1738" s="10">
        <v>8</v>
      </c>
      <c r="S1738" s="10">
        <v>9000</v>
      </c>
      <c r="T1738" s="10">
        <f t="shared" si="880"/>
        <v>72000</v>
      </c>
      <c r="U1738" s="10">
        <f t="shared" si="881"/>
        <v>80640.000000000015</v>
      </c>
      <c r="V1738" s="1"/>
      <c r="W1738" s="1">
        <v>2015</v>
      </c>
      <c r="X1738" s="20"/>
    </row>
    <row r="1739" spans="1:24" s="133" customFormat="1" ht="76.5" customHeight="1" outlineLevel="1" x14ac:dyDescent="0.2">
      <c r="A1739" s="1" t="s">
        <v>2569</v>
      </c>
      <c r="B1739" s="24" t="s">
        <v>5277</v>
      </c>
      <c r="C1739" s="4" t="s">
        <v>6512</v>
      </c>
      <c r="D1739" s="4" t="s">
        <v>866</v>
      </c>
      <c r="E1739" s="4" t="s">
        <v>6513</v>
      </c>
      <c r="F1739" s="4" t="s">
        <v>6489</v>
      </c>
      <c r="G1739" s="4" t="s">
        <v>1888</v>
      </c>
      <c r="H1739" s="22">
        <v>0</v>
      </c>
      <c r="I1739" s="4">
        <v>710000000</v>
      </c>
      <c r="J1739" s="4" t="s">
        <v>1931</v>
      </c>
      <c r="K1739" s="4" t="s">
        <v>5297</v>
      </c>
      <c r="L1739" s="7" t="s">
        <v>1940</v>
      </c>
      <c r="M1739" s="8" t="s">
        <v>3195</v>
      </c>
      <c r="N1739" s="4" t="s">
        <v>1890</v>
      </c>
      <c r="O1739" s="8" t="s">
        <v>1935</v>
      </c>
      <c r="P1739" s="8">
        <v>796</v>
      </c>
      <c r="Q1739" s="8" t="s">
        <v>3196</v>
      </c>
      <c r="R1739" s="10">
        <v>50</v>
      </c>
      <c r="S1739" s="10">
        <v>657</v>
      </c>
      <c r="T1739" s="10">
        <f t="shared" si="880"/>
        <v>32850</v>
      </c>
      <c r="U1739" s="10">
        <f t="shared" si="881"/>
        <v>36792</v>
      </c>
      <c r="V1739" s="1"/>
      <c r="W1739" s="1">
        <v>2015</v>
      </c>
      <c r="X1739" s="20"/>
    </row>
    <row r="1740" spans="1:24" s="133" customFormat="1" ht="76.5" customHeight="1" outlineLevel="1" x14ac:dyDescent="0.2">
      <c r="A1740" s="1" t="s">
        <v>2570</v>
      </c>
      <c r="B1740" s="24" t="s">
        <v>5277</v>
      </c>
      <c r="C1740" s="4" t="s">
        <v>6512</v>
      </c>
      <c r="D1740" s="4" t="s">
        <v>866</v>
      </c>
      <c r="E1740" s="4" t="s">
        <v>6513</v>
      </c>
      <c r="F1740" s="4" t="s">
        <v>6490</v>
      </c>
      <c r="G1740" s="4" t="s">
        <v>1888</v>
      </c>
      <c r="H1740" s="22">
        <v>0</v>
      </c>
      <c r="I1740" s="4">
        <v>710000000</v>
      </c>
      <c r="J1740" s="4" t="s">
        <v>1931</v>
      </c>
      <c r="K1740" s="4" t="s">
        <v>5297</v>
      </c>
      <c r="L1740" s="7" t="s">
        <v>1940</v>
      </c>
      <c r="M1740" s="8" t="s">
        <v>3195</v>
      </c>
      <c r="N1740" s="4" t="s">
        <v>1890</v>
      </c>
      <c r="O1740" s="8" t="s">
        <v>1935</v>
      </c>
      <c r="P1740" s="8">
        <v>796</v>
      </c>
      <c r="Q1740" s="8" t="s">
        <v>3196</v>
      </c>
      <c r="R1740" s="10">
        <v>30</v>
      </c>
      <c r="S1740" s="10">
        <v>645</v>
      </c>
      <c r="T1740" s="10">
        <f t="shared" si="880"/>
        <v>19350</v>
      </c>
      <c r="U1740" s="10">
        <f t="shared" si="881"/>
        <v>21672.000000000004</v>
      </c>
      <c r="V1740" s="1"/>
      <c r="W1740" s="1">
        <v>2015</v>
      </c>
      <c r="X1740" s="20"/>
    </row>
    <row r="1741" spans="1:24" s="133" customFormat="1" ht="76.5" customHeight="1" outlineLevel="1" x14ac:dyDescent="0.2">
      <c r="A1741" s="1" t="s">
        <v>2571</v>
      </c>
      <c r="B1741" s="24" t="s">
        <v>5277</v>
      </c>
      <c r="C1741" s="4" t="s">
        <v>6512</v>
      </c>
      <c r="D1741" s="4" t="s">
        <v>866</v>
      </c>
      <c r="E1741" s="4" t="s">
        <v>6513</v>
      </c>
      <c r="F1741" s="4" t="s">
        <v>6491</v>
      </c>
      <c r="G1741" s="4" t="s">
        <v>1888</v>
      </c>
      <c r="H1741" s="22">
        <v>0</v>
      </c>
      <c r="I1741" s="4">
        <v>710000000</v>
      </c>
      <c r="J1741" s="4" t="s">
        <v>1931</v>
      </c>
      <c r="K1741" s="4" t="s">
        <v>5297</v>
      </c>
      <c r="L1741" s="7" t="s">
        <v>1940</v>
      </c>
      <c r="M1741" s="8" t="s">
        <v>3195</v>
      </c>
      <c r="N1741" s="4" t="s">
        <v>1890</v>
      </c>
      <c r="O1741" s="8" t="s">
        <v>1935</v>
      </c>
      <c r="P1741" s="8">
        <v>796</v>
      </c>
      <c r="Q1741" s="8" t="s">
        <v>3196</v>
      </c>
      <c r="R1741" s="10">
        <f>24+6</f>
        <v>30</v>
      </c>
      <c r="S1741" s="10">
        <v>658.93</v>
      </c>
      <c r="T1741" s="10">
        <f t="shared" si="880"/>
        <v>19767.899999999998</v>
      </c>
      <c r="U1741" s="10">
        <f t="shared" si="881"/>
        <v>22140.047999999999</v>
      </c>
      <c r="V1741" s="1"/>
      <c r="W1741" s="1">
        <v>2015</v>
      </c>
      <c r="X1741" s="20"/>
    </row>
    <row r="1742" spans="1:24" s="133" customFormat="1" ht="76.5" customHeight="1" outlineLevel="1" x14ac:dyDescent="0.2">
      <c r="A1742" s="1" t="s">
        <v>2572</v>
      </c>
      <c r="B1742" s="24" t="s">
        <v>5277</v>
      </c>
      <c r="C1742" s="4" t="s">
        <v>6512</v>
      </c>
      <c r="D1742" s="4" t="s">
        <v>866</v>
      </c>
      <c r="E1742" s="4" t="s">
        <v>6513</v>
      </c>
      <c r="F1742" s="4" t="s">
        <v>6492</v>
      </c>
      <c r="G1742" s="4" t="s">
        <v>1888</v>
      </c>
      <c r="H1742" s="22">
        <v>0</v>
      </c>
      <c r="I1742" s="4">
        <v>710000000</v>
      </c>
      <c r="J1742" s="4" t="s">
        <v>1931</v>
      </c>
      <c r="K1742" s="4" t="s">
        <v>5297</v>
      </c>
      <c r="L1742" s="7" t="s">
        <v>1940</v>
      </c>
      <c r="M1742" s="8" t="s">
        <v>3195</v>
      </c>
      <c r="N1742" s="4" t="s">
        <v>1890</v>
      </c>
      <c r="O1742" s="8" t="s">
        <v>1935</v>
      </c>
      <c r="P1742" s="8">
        <v>796</v>
      </c>
      <c r="Q1742" s="8" t="s">
        <v>3196</v>
      </c>
      <c r="R1742" s="10">
        <f>12+8</f>
        <v>20</v>
      </c>
      <c r="S1742" s="10">
        <v>676.79</v>
      </c>
      <c r="T1742" s="10">
        <f t="shared" si="880"/>
        <v>13535.8</v>
      </c>
      <c r="U1742" s="10">
        <f t="shared" si="881"/>
        <v>15160.096000000001</v>
      </c>
      <c r="V1742" s="1"/>
      <c r="W1742" s="1">
        <v>2015</v>
      </c>
      <c r="X1742" s="20"/>
    </row>
    <row r="1743" spans="1:24" s="133" customFormat="1" ht="76.5" customHeight="1" outlineLevel="1" x14ac:dyDescent="0.2">
      <c r="A1743" s="1" t="s">
        <v>2573</v>
      </c>
      <c r="B1743" s="24" t="s">
        <v>5277</v>
      </c>
      <c r="C1743" s="4" t="s">
        <v>6512</v>
      </c>
      <c r="D1743" s="4" t="s">
        <v>866</v>
      </c>
      <c r="E1743" s="4" t="s">
        <v>6513</v>
      </c>
      <c r="F1743" s="4" t="s">
        <v>6507</v>
      </c>
      <c r="G1743" s="4" t="s">
        <v>1888</v>
      </c>
      <c r="H1743" s="22">
        <v>0</v>
      </c>
      <c r="I1743" s="4">
        <v>710000000</v>
      </c>
      <c r="J1743" s="4" t="s">
        <v>1931</v>
      </c>
      <c r="K1743" s="4" t="s">
        <v>5297</v>
      </c>
      <c r="L1743" s="7" t="s">
        <v>1940</v>
      </c>
      <c r="M1743" s="8" t="s">
        <v>3195</v>
      </c>
      <c r="N1743" s="4" t="s">
        <v>1890</v>
      </c>
      <c r="O1743" s="8" t="s">
        <v>1935</v>
      </c>
      <c r="P1743" s="8">
        <v>796</v>
      </c>
      <c r="Q1743" s="8" t="s">
        <v>3196</v>
      </c>
      <c r="R1743" s="10">
        <f>5+9</f>
        <v>14</v>
      </c>
      <c r="S1743" s="10">
        <v>810.71</v>
      </c>
      <c r="T1743" s="10">
        <f t="shared" si="880"/>
        <v>11349.94</v>
      </c>
      <c r="U1743" s="10">
        <f t="shared" si="881"/>
        <v>12711.932800000002</v>
      </c>
      <c r="V1743" s="1"/>
      <c r="W1743" s="1">
        <v>2015</v>
      </c>
      <c r="X1743" s="20"/>
    </row>
    <row r="1744" spans="1:24" s="133" customFormat="1" ht="76.5" customHeight="1" outlineLevel="1" x14ac:dyDescent="0.2">
      <c r="A1744" s="1" t="s">
        <v>2574</v>
      </c>
      <c r="B1744" s="24" t="s">
        <v>5277</v>
      </c>
      <c r="C1744" s="4" t="s">
        <v>6512</v>
      </c>
      <c r="D1744" s="4" t="s">
        <v>866</v>
      </c>
      <c r="E1744" s="4" t="s">
        <v>6513</v>
      </c>
      <c r="F1744" s="4" t="s">
        <v>6508</v>
      </c>
      <c r="G1744" s="4" t="s">
        <v>1888</v>
      </c>
      <c r="H1744" s="22">
        <v>0</v>
      </c>
      <c r="I1744" s="4">
        <v>710000000</v>
      </c>
      <c r="J1744" s="4" t="s">
        <v>1931</v>
      </c>
      <c r="K1744" s="4" t="s">
        <v>5297</v>
      </c>
      <c r="L1744" s="7" t="s">
        <v>1940</v>
      </c>
      <c r="M1744" s="8" t="s">
        <v>3195</v>
      </c>
      <c r="N1744" s="4" t="s">
        <v>1890</v>
      </c>
      <c r="O1744" s="8" t="s">
        <v>1935</v>
      </c>
      <c r="P1744" s="8">
        <v>796</v>
      </c>
      <c r="Q1744" s="8" t="s">
        <v>3196</v>
      </c>
      <c r="R1744" s="10">
        <f>8+4</f>
        <v>12</v>
      </c>
      <c r="S1744" s="10">
        <v>3075</v>
      </c>
      <c r="T1744" s="10">
        <f t="shared" si="880"/>
        <v>36900</v>
      </c>
      <c r="U1744" s="10">
        <f t="shared" si="881"/>
        <v>41328.000000000007</v>
      </c>
      <c r="V1744" s="1"/>
      <c r="W1744" s="1">
        <v>2015</v>
      </c>
      <c r="X1744" s="20"/>
    </row>
    <row r="1745" spans="1:24" s="133" customFormat="1" ht="76.5" customHeight="1" outlineLevel="1" x14ac:dyDescent="0.2">
      <c r="A1745" s="1" t="s">
        <v>2575</v>
      </c>
      <c r="B1745" s="24" t="s">
        <v>5277</v>
      </c>
      <c r="C1745" s="4" t="s">
        <v>6512</v>
      </c>
      <c r="D1745" s="4" t="s">
        <v>866</v>
      </c>
      <c r="E1745" s="4" t="s">
        <v>6513</v>
      </c>
      <c r="F1745" s="4" t="s">
        <v>6509</v>
      </c>
      <c r="G1745" s="4" t="s">
        <v>1888</v>
      </c>
      <c r="H1745" s="22">
        <v>0</v>
      </c>
      <c r="I1745" s="4">
        <v>710000000</v>
      </c>
      <c r="J1745" s="4" t="s">
        <v>1931</v>
      </c>
      <c r="K1745" s="4" t="s">
        <v>5297</v>
      </c>
      <c r="L1745" s="7" t="s">
        <v>1940</v>
      </c>
      <c r="M1745" s="8" t="s">
        <v>3195</v>
      </c>
      <c r="N1745" s="4" t="s">
        <v>1890</v>
      </c>
      <c r="O1745" s="8" t="s">
        <v>1935</v>
      </c>
      <c r="P1745" s="8">
        <v>796</v>
      </c>
      <c r="Q1745" s="8" t="s">
        <v>3196</v>
      </c>
      <c r="R1745" s="10">
        <f>10+3</f>
        <v>13</v>
      </c>
      <c r="S1745" s="10">
        <v>2866.07</v>
      </c>
      <c r="T1745" s="10">
        <f t="shared" si="880"/>
        <v>37258.910000000003</v>
      </c>
      <c r="U1745" s="10">
        <f t="shared" si="881"/>
        <v>41729.979200000009</v>
      </c>
      <c r="V1745" s="1"/>
      <c r="W1745" s="1">
        <v>2015</v>
      </c>
      <c r="X1745" s="20"/>
    </row>
    <row r="1746" spans="1:24" s="133" customFormat="1" ht="76.5" customHeight="1" outlineLevel="1" x14ac:dyDescent="0.2">
      <c r="A1746" s="1" t="s">
        <v>2576</v>
      </c>
      <c r="B1746" s="24" t="s">
        <v>5277</v>
      </c>
      <c r="C1746" s="4" t="s">
        <v>6512</v>
      </c>
      <c r="D1746" s="4" t="s">
        <v>866</v>
      </c>
      <c r="E1746" s="4" t="s">
        <v>6513</v>
      </c>
      <c r="F1746" s="4" t="s">
        <v>6510</v>
      </c>
      <c r="G1746" s="4" t="s">
        <v>1888</v>
      </c>
      <c r="H1746" s="22">
        <v>0</v>
      </c>
      <c r="I1746" s="4">
        <v>710000000</v>
      </c>
      <c r="J1746" s="4" t="s">
        <v>1931</v>
      </c>
      <c r="K1746" s="4" t="s">
        <v>5297</v>
      </c>
      <c r="L1746" s="7" t="s">
        <v>1940</v>
      </c>
      <c r="M1746" s="8" t="s">
        <v>3195</v>
      </c>
      <c r="N1746" s="4" t="s">
        <v>1890</v>
      </c>
      <c r="O1746" s="8" t="s">
        <v>1935</v>
      </c>
      <c r="P1746" s="8">
        <v>796</v>
      </c>
      <c r="Q1746" s="8" t="s">
        <v>3196</v>
      </c>
      <c r="R1746" s="10">
        <v>16</v>
      </c>
      <c r="S1746" s="10">
        <v>11100</v>
      </c>
      <c r="T1746" s="10">
        <f t="shared" si="880"/>
        <v>177600</v>
      </c>
      <c r="U1746" s="10">
        <f t="shared" si="881"/>
        <v>198912.00000000003</v>
      </c>
      <c r="V1746" s="1"/>
      <c r="W1746" s="1">
        <v>2015</v>
      </c>
      <c r="X1746" s="20"/>
    </row>
    <row r="1747" spans="1:24" s="133" customFormat="1" ht="76.5" customHeight="1" outlineLevel="1" x14ac:dyDescent="0.2">
      <c r="A1747" s="1" t="s">
        <v>2577</v>
      </c>
      <c r="B1747" s="24" t="s">
        <v>5277</v>
      </c>
      <c r="C1747" s="4" t="s">
        <v>6512</v>
      </c>
      <c r="D1747" s="4" t="s">
        <v>866</v>
      </c>
      <c r="E1747" s="4" t="s">
        <v>6513</v>
      </c>
      <c r="F1747" s="4" t="s">
        <v>6511</v>
      </c>
      <c r="G1747" s="4" t="s">
        <v>1888</v>
      </c>
      <c r="H1747" s="22">
        <v>0</v>
      </c>
      <c r="I1747" s="4">
        <v>710000000</v>
      </c>
      <c r="J1747" s="4" t="s">
        <v>1931</v>
      </c>
      <c r="K1747" s="4" t="s">
        <v>5297</v>
      </c>
      <c r="L1747" s="7" t="s">
        <v>1940</v>
      </c>
      <c r="M1747" s="8" t="s">
        <v>3195</v>
      </c>
      <c r="N1747" s="4" t="s">
        <v>1890</v>
      </c>
      <c r="O1747" s="8" t="s">
        <v>1935</v>
      </c>
      <c r="P1747" s="8">
        <v>796</v>
      </c>
      <c r="Q1747" s="8" t="s">
        <v>3196</v>
      </c>
      <c r="R1747" s="10">
        <v>6</v>
      </c>
      <c r="S1747" s="10">
        <v>11100</v>
      </c>
      <c r="T1747" s="10">
        <f t="shared" si="880"/>
        <v>66600</v>
      </c>
      <c r="U1747" s="10">
        <f t="shared" si="881"/>
        <v>74592</v>
      </c>
      <c r="V1747" s="1"/>
      <c r="W1747" s="1">
        <v>2015</v>
      </c>
      <c r="X1747" s="20"/>
    </row>
    <row r="1748" spans="1:24" s="133" customFormat="1" ht="76.5" customHeight="1" outlineLevel="1" x14ac:dyDescent="0.2">
      <c r="A1748" s="1" t="s">
        <v>2578</v>
      </c>
      <c r="B1748" s="24" t="s">
        <v>5277</v>
      </c>
      <c r="C1748" s="4" t="s">
        <v>868</v>
      </c>
      <c r="D1748" s="4" t="s">
        <v>866</v>
      </c>
      <c r="E1748" s="4" t="s">
        <v>6506</v>
      </c>
      <c r="F1748" s="4" t="s">
        <v>6489</v>
      </c>
      <c r="G1748" s="4" t="s">
        <v>1888</v>
      </c>
      <c r="H1748" s="22">
        <v>0</v>
      </c>
      <c r="I1748" s="4">
        <v>710000000</v>
      </c>
      <c r="J1748" s="4" t="s">
        <v>1931</v>
      </c>
      <c r="K1748" s="4" t="s">
        <v>5297</v>
      </c>
      <c r="L1748" s="7" t="s">
        <v>1940</v>
      </c>
      <c r="M1748" s="8" t="s">
        <v>3195</v>
      </c>
      <c r="N1748" s="4" t="s">
        <v>1890</v>
      </c>
      <c r="O1748" s="8" t="s">
        <v>1935</v>
      </c>
      <c r="P1748" s="8">
        <v>796</v>
      </c>
      <c r="Q1748" s="8" t="s">
        <v>3196</v>
      </c>
      <c r="R1748" s="10">
        <v>40</v>
      </c>
      <c r="S1748" s="10">
        <v>199.11</v>
      </c>
      <c r="T1748" s="10">
        <f t="shared" si="880"/>
        <v>7964.4000000000005</v>
      </c>
      <c r="U1748" s="10">
        <f t="shared" si="881"/>
        <v>8920.1280000000006</v>
      </c>
      <c r="V1748" s="1"/>
      <c r="W1748" s="1">
        <v>2015</v>
      </c>
      <c r="X1748" s="20"/>
    </row>
    <row r="1749" spans="1:24" s="133" customFormat="1" ht="76.5" customHeight="1" outlineLevel="1" x14ac:dyDescent="0.2">
      <c r="A1749" s="1" t="s">
        <v>2579</v>
      </c>
      <c r="B1749" s="24" t="s">
        <v>5277</v>
      </c>
      <c r="C1749" s="4" t="s">
        <v>868</v>
      </c>
      <c r="D1749" s="4" t="s">
        <v>866</v>
      </c>
      <c r="E1749" s="4" t="s">
        <v>6506</v>
      </c>
      <c r="F1749" s="4" t="s">
        <v>6490</v>
      </c>
      <c r="G1749" s="4" t="s">
        <v>1888</v>
      </c>
      <c r="H1749" s="22">
        <v>0</v>
      </c>
      <c r="I1749" s="4">
        <v>710000000</v>
      </c>
      <c r="J1749" s="4" t="s">
        <v>1931</v>
      </c>
      <c r="K1749" s="4" t="s">
        <v>5297</v>
      </c>
      <c r="L1749" s="7" t="s">
        <v>1940</v>
      </c>
      <c r="M1749" s="8" t="s">
        <v>3195</v>
      </c>
      <c r="N1749" s="4" t="s">
        <v>1890</v>
      </c>
      <c r="O1749" s="8" t="s">
        <v>1935</v>
      </c>
      <c r="P1749" s="8">
        <v>796</v>
      </c>
      <c r="Q1749" s="8" t="s">
        <v>3196</v>
      </c>
      <c r="R1749" s="10">
        <v>36</v>
      </c>
      <c r="S1749" s="10">
        <v>199.11</v>
      </c>
      <c r="T1749" s="10">
        <f t="shared" si="880"/>
        <v>7167.9600000000009</v>
      </c>
      <c r="U1749" s="10">
        <f t="shared" si="881"/>
        <v>8028.115200000002</v>
      </c>
      <c r="V1749" s="1"/>
      <c r="W1749" s="1">
        <v>2015</v>
      </c>
      <c r="X1749" s="20"/>
    </row>
    <row r="1750" spans="1:24" s="133" customFormat="1" ht="76.5" customHeight="1" outlineLevel="1" x14ac:dyDescent="0.2">
      <c r="A1750" s="1" t="s">
        <v>2580</v>
      </c>
      <c r="B1750" s="24" t="s">
        <v>5277</v>
      </c>
      <c r="C1750" s="4" t="s">
        <v>868</v>
      </c>
      <c r="D1750" s="4" t="s">
        <v>866</v>
      </c>
      <c r="E1750" s="4" t="s">
        <v>6506</v>
      </c>
      <c r="F1750" s="4" t="s">
        <v>6491</v>
      </c>
      <c r="G1750" s="4" t="s">
        <v>1888</v>
      </c>
      <c r="H1750" s="22">
        <v>0</v>
      </c>
      <c r="I1750" s="4">
        <v>710000000</v>
      </c>
      <c r="J1750" s="4" t="s">
        <v>1931</v>
      </c>
      <c r="K1750" s="4" t="s">
        <v>5297</v>
      </c>
      <c r="L1750" s="7" t="s">
        <v>1940</v>
      </c>
      <c r="M1750" s="8" t="s">
        <v>3195</v>
      </c>
      <c r="N1750" s="4" t="s">
        <v>1890</v>
      </c>
      <c r="O1750" s="8" t="s">
        <v>1935</v>
      </c>
      <c r="P1750" s="8">
        <v>796</v>
      </c>
      <c r="Q1750" s="8" t="s">
        <v>3196</v>
      </c>
      <c r="R1750" s="10">
        <v>6</v>
      </c>
      <c r="S1750" s="10">
        <v>208.04</v>
      </c>
      <c r="T1750" s="10">
        <f t="shared" si="880"/>
        <v>1248.24</v>
      </c>
      <c r="U1750" s="10">
        <f t="shared" si="881"/>
        <v>1398.0288</v>
      </c>
      <c r="V1750" s="1"/>
      <c r="W1750" s="1">
        <v>2015</v>
      </c>
      <c r="X1750" s="20"/>
    </row>
    <row r="1751" spans="1:24" s="133" customFormat="1" ht="76.5" customHeight="1" outlineLevel="1" x14ac:dyDescent="0.2">
      <c r="A1751" s="1" t="s">
        <v>2581</v>
      </c>
      <c r="B1751" s="24" t="s">
        <v>5277</v>
      </c>
      <c r="C1751" s="4" t="s">
        <v>868</v>
      </c>
      <c r="D1751" s="4" t="s">
        <v>866</v>
      </c>
      <c r="E1751" s="4" t="s">
        <v>6506</v>
      </c>
      <c r="F1751" s="4" t="s">
        <v>6492</v>
      </c>
      <c r="G1751" s="4" t="s">
        <v>1888</v>
      </c>
      <c r="H1751" s="22">
        <v>0</v>
      </c>
      <c r="I1751" s="4">
        <v>710000000</v>
      </c>
      <c r="J1751" s="4" t="s">
        <v>1931</v>
      </c>
      <c r="K1751" s="4" t="s">
        <v>5297</v>
      </c>
      <c r="L1751" s="7" t="s">
        <v>1940</v>
      </c>
      <c r="M1751" s="8" t="s">
        <v>3195</v>
      </c>
      <c r="N1751" s="4" t="s">
        <v>1890</v>
      </c>
      <c r="O1751" s="8" t="s">
        <v>1935</v>
      </c>
      <c r="P1751" s="8">
        <v>796</v>
      </c>
      <c r="Q1751" s="8" t="s">
        <v>3196</v>
      </c>
      <c r="R1751" s="10">
        <v>10</v>
      </c>
      <c r="S1751" s="10">
        <v>268.75</v>
      </c>
      <c r="T1751" s="10">
        <f t="shared" si="880"/>
        <v>2687.5</v>
      </c>
      <c r="U1751" s="10">
        <f t="shared" si="881"/>
        <v>3010.0000000000005</v>
      </c>
      <c r="V1751" s="1"/>
      <c r="W1751" s="1">
        <v>2015</v>
      </c>
      <c r="X1751" s="20"/>
    </row>
    <row r="1752" spans="1:24" s="133" customFormat="1" ht="76.5" customHeight="1" outlineLevel="1" x14ac:dyDescent="0.2">
      <c r="A1752" s="1" t="s">
        <v>2582</v>
      </c>
      <c r="B1752" s="24" t="s">
        <v>5277</v>
      </c>
      <c r="C1752" s="4" t="s">
        <v>1861</v>
      </c>
      <c r="D1752" s="4" t="s">
        <v>6132</v>
      </c>
      <c r="E1752" s="4" t="s">
        <v>6514</v>
      </c>
      <c r="F1752" s="4" t="s">
        <v>6515</v>
      </c>
      <c r="G1752" s="4" t="s">
        <v>1888</v>
      </c>
      <c r="H1752" s="22">
        <v>0</v>
      </c>
      <c r="I1752" s="4">
        <v>710000000</v>
      </c>
      <c r="J1752" s="4" t="s">
        <v>1931</v>
      </c>
      <c r="K1752" s="4" t="s">
        <v>5297</v>
      </c>
      <c r="L1752" s="7" t="s">
        <v>1940</v>
      </c>
      <c r="M1752" s="8" t="s">
        <v>3195</v>
      </c>
      <c r="N1752" s="4" t="s">
        <v>1890</v>
      </c>
      <c r="O1752" s="8" t="s">
        <v>1935</v>
      </c>
      <c r="P1752" s="8">
        <v>796</v>
      </c>
      <c r="Q1752" s="8" t="s">
        <v>3196</v>
      </c>
      <c r="R1752" s="10">
        <v>20</v>
      </c>
      <c r="S1752" s="10">
        <v>3398</v>
      </c>
      <c r="T1752" s="10">
        <f t="shared" si="880"/>
        <v>67960</v>
      </c>
      <c r="U1752" s="10">
        <f t="shared" si="881"/>
        <v>76115.200000000012</v>
      </c>
      <c r="V1752" s="1"/>
      <c r="W1752" s="1">
        <v>2015</v>
      </c>
      <c r="X1752" s="20"/>
    </row>
    <row r="1753" spans="1:24" s="133" customFormat="1" ht="76.5" customHeight="1" outlineLevel="1" x14ac:dyDescent="0.2">
      <c r="A1753" s="1" t="s">
        <v>2583</v>
      </c>
      <c r="B1753" s="24" t="s">
        <v>5277</v>
      </c>
      <c r="C1753" s="4" t="s">
        <v>1861</v>
      </c>
      <c r="D1753" s="4" t="s">
        <v>6132</v>
      </c>
      <c r="E1753" s="4" t="s">
        <v>6514</v>
      </c>
      <c r="F1753" s="4" t="s">
        <v>6516</v>
      </c>
      <c r="G1753" s="4" t="s">
        <v>1888</v>
      </c>
      <c r="H1753" s="22">
        <v>0</v>
      </c>
      <c r="I1753" s="4">
        <v>710000000</v>
      </c>
      <c r="J1753" s="4" t="s">
        <v>1931</v>
      </c>
      <c r="K1753" s="4" t="s">
        <v>5297</v>
      </c>
      <c r="L1753" s="7" t="s">
        <v>1940</v>
      </c>
      <c r="M1753" s="8" t="s">
        <v>3195</v>
      </c>
      <c r="N1753" s="4" t="s">
        <v>1890</v>
      </c>
      <c r="O1753" s="8" t="s">
        <v>1935</v>
      </c>
      <c r="P1753" s="8">
        <v>796</v>
      </c>
      <c r="Q1753" s="8" t="s">
        <v>3196</v>
      </c>
      <c r="R1753" s="10">
        <v>22</v>
      </c>
      <c r="S1753" s="10">
        <v>4031</v>
      </c>
      <c r="T1753" s="10">
        <v>0</v>
      </c>
      <c r="U1753" s="10">
        <f t="shared" si="881"/>
        <v>0</v>
      </c>
      <c r="V1753" s="1"/>
      <c r="W1753" s="1">
        <v>2015</v>
      </c>
      <c r="X1753" s="20" t="s">
        <v>6562</v>
      </c>
    </row>
    <row r="1754" spans="1:24" s="133" customFormat="1" ht="76.5" customHeight="1" outlineLevel="1" x14ac:dyDescent="0.2">
      <c r="A1754" s="1" t="s">
        <v>6638</v>
      </c>
      <c r="B1754" s="24" t="s">
        <v>5277</v>
      </c>
      <c r="C1754" s="4" t="s">
        <v>1861</v>
      </c>
      <c r="D1754" s="4" t="s">
        <v>6132</v>
      </c>
      <c r="E1754" s="4" t="s">
        <v>6514</v>
      </c>
      <c r="F1754" s="4" t="s">
        <v>6516</v>
      </c>
      <c r="G1754" s="4" t="s">
        <v>1888</v>
      </c>
      <c r="H1754" s="22">
        <v>0</v>
      </c>
      <c r="I1754" s="4">
        <v>710000000</v>
      </c>
      <c r="J1754" s="4" t="s">
        <v>1931</v>
      </c>
      <c r="K1754" s="4" t="s">
        <v>5297</v>
      </c>
      <c r="L1754" s="7" t="s">
        <v>1940</v>
      </c>
      <c r="M1754" s="8" t="s">
        <v>3195</v>
      </c>
      <c r="N1754" s="4" t="s">
        <v>1890</v>
      </c>
      <c r="O1754" s="8" t="s">
        <v>1935</v>
      </c>
      <c r="P1754" s="8">
        <v>796</v>
      </c>
      <c r="Q1754" s="8" t="s">
        <v>3196</v>
      </c>
      <c r="R1754" s="10">
        <f>22-7</f>
        <v>15</v>
      </c>
      <c r="S1754" s="10">
        <v>4031</v>
      </c>
      <c r="T1754" s="10">
        <f t="shared" ref="T1754" si="882">S1754*R1754</f>
        <v>60465</v>
      </c>
      <c r="U1754" s="10">
        <f t="shared" si="881"/>
        <v>67720.800000000003</v>
      </c>
      <c r="V1754" s="1"/>
      <c r="W1754" s="1">
        <v>2015</v>
      </c>
      <c r="X1754" s="20"/>
    </row>
    <row r="1755" spans="1:24" s="133" customFormat="1" ht="76.5" customHeight="1" outlineLevel="1" x14ac:dyDescent="0.2">
      <c r="A1755" s="1" t="s">
        <v>2584</v>
      </c>
      <c r="B1755" s="24" t="s">
        <v>5277</v>
      </c>
      <c r="C1755" s="4" t="s">
        <v>6517</v>
      </c>
      <c r="D1755" s="4" t="s">
        <v>6518</v>
      </c>
      <c r="E1755" s="4" t="s">
        <v>6148</v>
      </c>
      <c r="F1755" s="4" t="s">
        <v>6519</v>
      </c>
      <c r="G1755" s="4" t="s">
        <v>1888</v>
      </c>
      <c r="H1755" s="22">
        <v>0</v>
      </c>
      <c r="I1755" s="4">
        <v>710000000</v>
      </c>
      <c r="J1755" s="4" t="s">
        <v>1931</v>
      </c>
      <c r="K1755" s="4" t="s">
        <v>5297</v>
      </c>
      <c r="L1755" s="7" t="s">
        <v>1940</v>
      </c>
      <c r="M1755" s="8" t="s">
        <v>3195</v>
      </c>
      <c r="N1755" s="4" t="s">
        <v>1890</v>
      </c>
      <c r="O1755" s="8" t="s">
        <v>1935</v>
      </c>
      <c r="P1755" s="8">
        <v>796</v>
      </c>
      <c r="Q1755" s="8" t="s">
        <v>3196</v>
      </c>
      <c r="R1755" s="10">
        <v>82</v>
      </c>
      <c r="S1755" s="10">
        <v>90</v>
      </c>
      <c r="T1755" s="10">
        <v>0</v>
      </c>
      <c r="U1755" s="10">
        <f t="shared" si="881"/>
        <v>0</v>
      </c>
      <c r="V1755" s="1"/>
      <c r="W1755" s="1">
        <v>2015</v>
      </c>
      <c r="X1755" s="20" t="s">
        <v>6562</v>
      </c>
    </row>
    <row r="1756" spans="1:24" s="133" customFormat="1" ht="76.5" customHeight="1" outlineLevel="1" x14ac:dyDescent="0.2">
      <c r="A1756" s="1" t="s">
        <v>6639</v>
      </c>
      <c r="B1756" s="24" t="s">
        <v>5277</v>
      </c>
      <c r="C1756" s="4" t="s">
        <v>6517</v>
      </c>
      <c r="D1756" s="4" t="s">
        <v>6518</v>
      </c>
      <c r="E1756" s="4" t="s">
        <v>6148</v>
      </c>
      <c r="F1756" s="4" t="s">
        <v>6519</v>
      </c>
      <c r="G1756" s="4" t="s">
        <v>1888</v>
      </c>
      <c r="H1756" s="22">
        <v>0</v>
      </c>
      <c r="I1756" s="4">
        <v>710000000</v>
      </c>
      <c r="J1756" s="4" t="s">
        <v>1931</v>
      </c>
      <c r="K1756" s="4" t="s">
        <v>5297</v>
      </c>
      <c r="L1756" s="7" t="s">
        <v>1940</v>
      </c>
      <c r="M1756" s="8" t="s">
        <v>3195</v>
      </c>
      <c r="N1756" s="4" t="s">
        <v>1890</v>
      </c>
      <c r="O1756" s="8" t="s">
        <v>1935</v>
      </c>
      <c r="P1756" s="8">
        <v>796</v>
      </c>
      <c r="Q1756" s="8" t="s">
        <v>3196</v>
      </c>
      <c r="R1756" s="10">
        <f>82-9</f>
        <v>73</v>
      </c>
      <c r="S1756" s="10">
        <v>90</v>
      </c>
      <c r="T1756" s="10">
        <f t="shared" ref="T1756" si="883">S1756*R1756</f>
        <v>6570</v>
      </c>
      <c r="U1756" s="10">
        <f t="shared" si="881"/>
        <v>7358.4000000000005</v>
      </c>
      <c r="V1756" s="1"/>
      <c r="W1756" s="1">
        <v>2015</v>
      </c>
      <c r="X1756" s="20"/>
    </row>
    <row r="1757" spans="1:24" s="133" customFormat="1" ht="76.5" customHeight="1" outlineLevel="1" x14ac:dyDescent="0.2">
      <c r="A1757" s="1" t="s">
        <v>2585</v>
      </c>
      <c r="B1757" s="24" t="s">
        <v>5277</v>
      </c>
      <c r="C1757" s="4" t="s">
        <v>1882</v>
      </c>
      <c r="D1757" s="4" t="s">
        <v>6518</v>
      </c>
      <c r="E1757" s="4" t="s">
        <v>6149</v>
      </c>
      <c r="F1757" s="4" t="s">
        <v>983</v>
      </c>
      <c r="G1757" s="4" t="s">
        <v>1888</v>
      </c>
      <c r="H1757" s="22">
        <v>0</v>
      </c>
      <c r="I1757" s="4">
        <v>710000000</v>
      </c>
      <c r="J1757" s="4" t="s">
        <v>1931</v>
      </c>
      <c r="K1757" s="4" t="s">
        <v>5297</v>
      </c>
      <c r="L1757" s="7" t="s">
        <v>1940</v>
      </c>
      <c r="M1757" s="8" t="s">
        <v>3195</v>
      </c>
      <c r="N1757" s="4" t="s">
        <v>1890</v>
      </c>
      <c r="O1757" s="8" t="s">
        <v>1935</v>
      </c>
      <c r="P1757" s="8">
        <v>796</v>
      </c>
      <c r="Q1757" s="8" t="s">
        <v>3196</v>
      </c>
      <c r="R1757" s="10">
        <v>39</v>
      </c>
      <c r="S1757" s="10">
        <v>90</v>
      </c>
      <c r="T1757" s="10">
        <f t="shared" si="880"/>
        <v>3510</v>
      </c>
      <c r="U1757" s="10">
        <f t="shared" si="881"/>
        <v>3931.2000000000003</v>
      </c>
      <c r="V1757" s="1"/>
      <c r="W1757" s="1">
        <v>2015</v>
      </c>
      <c r="X1757" s="20"/>
    </row>
    <row r="1758" spans="1:24" s="133" customFormat="1" ht="76.5" customHeight="1" outlineLevel="1" x14ac:dyDescent="0.2">
      <c r="A1758" s="1" t="s">
        <v>2586</v>
      </c>
      <c r="B1758" s="24" t="s">
        <v>5277</v>
      </c>
      <c r="C1758" s="4" t="s">
        <v>1882</v>
      </c>
      <c r="D1758" s="4" t="s">
        <v>6518</v>
      </c>
      <c r="E1758" s="4" t="s">
        <v>6149</v>
      </c>
      <c r="F1758" s="4" t="s">
        <v>984</v>
      </c>
      <c r="G1758" s="4" t="s">
        <v>1888</v>
      </c>
      <c r="H1758" s="22">
        <v>0</v>
      </c>
      <c r="I1758" s="4">
        <v>710000000</v>
      </c>
      <c r="J1758" s="4" t="s">
        <v>1931</v>
      </c>
      <c r="K1758" s="4" t="s">
        <v>5297</v>
      </c>
      <c r="L1758" s="7" t="s">
        <v>1940</v>
      </c>
      <c r="M1758" s="8" t="s">
        <v>3195</v>
      </c>
      <c r="N1758" s="4" t="s">
        <v>1890</v>
      </c>
      <c r="O1758" s="8" t="s">
        <v>1935</v>
      </c>
      <c r="P1758" s="8">
        <v>796</v>
      </c>
      <c r="Q1758" s="8" t="s">
        <v>3196</v>
      </c>
      <c r="R1758" s="10">
        <v>20</v>
      </c>
      <c r="S1758" s="10">
        <v>775</v>
      </c>
      <c r="T1758" s="10">
        <v>0</v>
      </c>
      <c r="U1758" s="10">
        <f t="shared" si="881"/>
        <v>0</v>
      </c>
      <c r="V1758" s="1"/>
      <c r="W1758" s="1">
        <v>2015</v>
      </c>
      <c r="X1758" s="20" t="s">
        <v>6562</v>
      </c>
    </row>
    <row r="1759" spans="1:24" s="133" customFormat="1" ht="76.5" customHeight="1" outlineLevel="1" x14ac:dyDescent="0.2">
      <c r="A1759" s="1" t="s">
        <v>6640</v>
      </c>
      <c r="B1759" s="24" t="s">
        <v>5277</v>
      </c>
      <c r="C1759" s="4" t="s">
        <v>1882</v>
      </c>
      <c r="D1759" s="4" t="s">
        <v>6518</v>
      </c>
      <c r="E1759" s="4" t="s">
        <v>6149</v>
      </c>
      <c r="F1759" s="4" t="s">
        <v>984</v>
      </c>
      <c r="G1759" s="4" t="s">
        <v>1888</v>
      </c>
      <c r="H1759" s="22">
        <v>0</v>
      </c>
      <c r="I1759" s="4">
        <v>710000000</v>
      </c>
      <c r="J1759" s="4" t="s">
        <v>1931</v>
      </c>
      <c r="K1759" s="4" t="s">
        <v>5297</v>
      </c>
      <c r="L1759" s="7" t="s">
        <v>1940</v>
      </c>
      <c r="M1759" s="8" t="s">
        <v>3195</v>
      </c>
      <c r="N1759" s="4" t="s">
        <v>1890</v>
      </c>
      <c r="O1759" s="8" t="s">
        <v>1935</v>
      </c>
      <c r="P1759" s="8">
        <v>796</v>
      </c>
      <c r="Q1759" s="8" t="s">
        <v>3196</v>
      </c>
      <c r="R1759" s="10">
        <f>20-15</f>
        <v>5</v>
      </c>
      <c r="S1759" s="10">
        <v>775</v>
      </c>
      <c r="T1759" s="10">
        <f t="shared" ref="T1759" si="884">S1759*R1759</f>
        <v>3875</v>
      </c>
      <c r="U1759" s="10">
        <f t="shared" si="881"/>
        <v>4340</v>
      </c>
      <c r="V1759" s="1"/>
      <c r="W1759" s="1">
        <v>2015</v>
      </c>
      <c r="X1759" s="20"/>
    </row>
    <row r="1760" spans="1:24" s="133" customFormat="1" ht="76.5" customHeight="1" outlineLevel="1" x14ac:dyDescent="0.2">
      <c r="A1760" s="1" t="s">
        <v>2587</v>
      </c>
      <c r="B1760" s="24" t="s">
        <v>5277</v>
      </c>
      <c r="C1760" s="4" t="s">
        <v>1882</v>
      </c>
      <c r="D1760" s="4" t="s">
        <v>6518</v>
      </c>
      <c r="E1760" s="4" t="s">
        <v>6149</v>
      </c>
      <c r="F1760" s="4" t="s">
        <v>985</v>
      </c>
      <c r="G1760" s="4" t="s">
        <v>1888</v>
      </c>
      <c r="H1760" s="22">
        <v>0</v>
      </c>
      <c r="I1760" s="4">
        <v>710000000</v>
      </c>
      <c r="J1760" s="4" t="s">
        <v>1931</v>
      </c>
      <c r="K1760" s="4" t="s">
        <v>5297</v>
      </c>
      <c r="L1760" s="7" t="s">
        <v>1940</v>
      </c>
      <c r="M1760" s="8" t="s">
        <v>3195</v>
      </c>
      <c r="N1760" s="4" t="s">
        <v>1890</v>
      </c>
      <c r="O1760" s="8" t="s">
        <v>1935</v>
      </c>
      <c r="P1760" s="8">
        <v>796</v>
      </c>
      <c r="Q1760" s="8" t="s">
        <v>3196</v>
      </c>
      <c r="R1760" s="10">
        <v>6</v>
      </c>
      <c r="S1760" s="10">
        <v>115</v>
      </c>
      <c r="T1760" s="10">
        <f t="shared" si="880"/>
        <v>690</v>
      </c>
      <c r="U1760" s="10">
        <f t="shared" si="881"/>
        <v>772.80000000000007</v>
      </c>
      <c r="V1760" s="1"/>
      <c r="W1760" s="1">
        <v>2015</v>
      </c>
      <c r="X1760" s="20"/>
    </row>
    <row r="1761" spans="1:24" s="133" customFormat="1" ht="76.5" customHeight="1" outlineLevel="1" x14ac:dyDescent="0.2">
      <c r="A1761" s="1" t="s">
        <v>2588</v>
      </c>
      <c r="B1761" s="24" t="s">
        <v>5277</v>
      </c>
      <c r="C1761" s="4" t="s">
        <v>1882</v>
      </c>
      <c r="D1761" s="4" t="s">
        <v>6518</v>
      </c>
      <c r="E1761" s="4" t="s">
        <v>6149</v>
      </c>
      <c r="F1761" s="4" t="s">
        <v>986</v>
      </c>
      <c r="G1761" s="4" t="s">
        <v>1888</v>
      </c>
      <c r="H1761" s="22">
        <v>0</v>
      </c>
      <c r="I1761" s="4">
        <v>710000000</v>
      </c>
      <c r="J1761" s="4" t="s">
        <v>1931</v>
      </c>
      <c r="K1761" s="4" t="s">
        <v>5297</v>
      </c>
      <c r="L1761" s="7" t="s">
        <v>1940</v>
      </c>
      <c r="M1761" s="8" t="s">
        <v>3195</v>
      </c>
      <c r="N1761" s="4" t="s">
        <v>1890</v>
      </c>
      <c r="O1761" s="8" t="s">
        <v>1935</v>
      </c>
      <c r="P1761" s="8">
        <v>796</v>
      </c>
      <c r="Q1761" s="8" t="s">
        <v>3196</v>
      </c>
      <c r="R1761" s="10">
        <v>8</v>
      </c>
      <c r="S1761" s="10">
        <v>250</v>
      </c>
      <c r="T1761" s="10">
        <f t="shared" si="880"/>
        <v>2000</v>
      </c>
      <c r="U1761" s="10">
        <f t="shared" si="881"/>
        <v>2240</v>
      </c>
      <c r="V1761" s="1"/>
      <c r="W1761" s="1">
        <v>2015</v>
      </c>
      <c r="X1761" s="20"/>
    </row>
    <row r="1762" spans="1:24" s="133" customFormat="1" ht="76.5" customHeight="1" outlineLevel="1" x14ac:dyDescent="0.2">
      <c r="A1762" s="1" t="s">
        <v>2589</v>
      </c>
      <c r="B1762" s="24" t="s">
        <v>5277</v>
      </c>
      <c r="C1762" s="4" t="s">
        <v>987</v>
      </c>
      <c r="D1762" s="4" t="s">
        <v>2213</v>
      </c>
      <c r="E1762" s="4" t="s">
        <v>988</v>
      </c>
      <c r="F1762" s="4"/>
      <c r="G1762" s="4" t="s">
        <v>1888</v>
      </c>
      <c r="H1762" s="22">
        <v>0</v>
      </c>
      <c r="I1762" s="4">
        <v>710000000</v>
      </c>
      <c r="J1762" s="4" t="s">
        <v>1931</v>
      </c>
      <c r="K1762" s="4" t="s">
        <v>5297</v>
      </c>
      <c r="L1762" s="7" t="s">
        <v>1940</v>
      </c>
      <c r="M1762" s="8" t="s">
        <v>3195</v>
      </c>
      <c r="N1762" s="4" t="s">
        <v>1890</v>
      </c>
      <c r="O1762" s="8" t="s">
        <v>1935</v>
      </c>
      <c r="P1762" s="1" t="s">
        <v>3010</v>
      </c>
      <c r="Q1762" s="4" t="s">
        <v>5142</v>
      </c>
      <c r="R1762" s="10">
        <v>40</v>
      </c>
      <c r="S1762" s="10">
        <v>65</v>
      </c>
      <c r="T1762" s="10">
        <f t="shared" si="880"/>
        <v>2600</v>
      </c>
      <c r="U1762" s="10">
        <f t="shared" si="881"/>
        <v>2912.0000000000005</v>
      </c>
      <c r="V1762" s="1"/>
      <c r="W1762" s="1">
        <v>2015</v>
      </c>
      <c r="X1762" s="20"/>
    </row>
    <row r="1763" spans="1:24" s="133" customFormat="1" ht="76.5" customHeight="1" outlineLevel="1" x14ac:dyDescent="0.2">
      <c r="A1763" s="1" t="s">
        <v>2590</v>
      </c>
      <c r="B1763" s="24" t="s">
        <v>5277</v>
      </c>
      <c r="C1763" s="4" t="s">
        <v>6520</v>
      </c>
      <c r="D1763" s="4" t="s">
        <v>2213</v>
      </c>
      <c r="E1763" s="4" t="s">
        <v>6521</v>
      </c>
      <c r="F1763" s="4"/>
      <c r="G1763" s="4" t="s">
        <v>1888</v>
      </c>
      <c r="H1763" s="22">
        <v>0</v>
      </c>
      <c r="I1763" s="4">
        <v>710000000</v>
      </c>
      <c r="J1763" s="4" t="s">
        <v>1931</v>
      </c>
      <c r="K1763" s="4" t="s">
        <v>5297</v>
      </c>
      <c r="L1763" s="7" t="s">
        <v>1940</v>
      </c>
      <c r="M1763" s="8" t="s">
        <v>3195</v>
      </c>
      <c r="N1763" s="4" t="s">
        <v>1890</v>
      </c>
      <c r="O1763" s="8" t="s">
        <v>1935</v>
      </c>
      <c r="P1763" s="1" t="s">
        <v>3010</v>
      </c>
      <c r="Q1763" s="4" t="s">
        <v>5142</v>
      </c>
      <c r="R1763" s="10">
        <v>40</v>
      </c>
      <c r="S1763" s="10">
        <v>105</v>
      </c>
      <c r="T1763" s="10">
        <f t="shared" si="880"/>
        <v>4200</v>
      </c>
      <c r="U1763" s="10">
        <f t="shared" si="881"/>
        <v>4704</v>
      </c>
      <c r="V1763" s="1"/>
      <c r="W1763" s="1">
        <v>2015</v>
      </c>
      <c r="X1763" s="20"/>
    </row>
    <row r="1764" spans="1:24" s="133" customFormat="1" ht="76.5" customHeight="1" outlineLevel="1" x14ac:dyDescent="0.2">
      <c r="A1764" s="1" t="s">
        <v>2591</v>
      </c>
      <c r="B1764" s="24" t="s">
        <v>5277</v>
      </c>
      <c r="C1764" s="4" t="s">
        <v>6522</v>
      </c>
      <c r="D1764" s="4" t="s">
        <v>2213</v>
      </c>
      <c r="E1764" s="4" t="s">
        <v>6523</v>
      </c>
      <c r="F1764" s="4"/>
      <c r="G1764" s="4" t="s">
        <v>1888</v>
      </c>
      <c r="H1764" s="22">
        <v>0</v>
      </c>
      <c r="I1764" s="4">
        <v>710000000</v>
      </c>
      <c r="J1764" s="4" t="s">
        <v>1931</v>
      </c>
      <c r="K1764" s="4" t="s">
        <v>5297</v>
      </c>
      <c r="L1764" s="7" t="s">
        <v>1940</v>
      </c>
      <c r="M1764" s="8" t="s">
        <v>3195</v>
      </c>
      <c r="N1764" s="4" t="s">
        <v>1890</v>
      </c>
      <c r="O1764" s="8" t="s">
        <v>1935</v>
      </c>
      <c r="P1764" s="1" t="s">
        <v>3010</v>
      </c>
      <c r="Q1764" s="4" t="s">
        <v>5142</v>
      </c>
      <c r="R1764" s="10">
        <v>50</v>
      </c>
      <c r="S1764" s="10">
        <v>135</v>
      </c>
      <c r="T1764" s="10">
        <f t="shared" si="880"/>
        <v>6750</v>
      </c>
      <c r="U1764" s="10">
        <f t="shared" si="881"/>
        <v>7560.0000000000009</v>
      </c>
      <c r="V1764" s="1"/>
      <c r="W1764" s="1">
        <v>2015</v>
      </c>
      <c r="X1764" s="20"/>
    </row>
    <row r="1765" spans="1:24" s="133" customFormat="1" ht="76.5" customHeight="1" outlineLevel="1" x14ac:dyDescent="0.2">
      <c r="A1765" s="1" t="s">
        <v>2592</v>
      </c>
      <c r="B1765" s="24" t="s">
        <v>5277</v>
      </c>
      <c r="C1765" s="4" t="s">
        <v>6524</v>
      </c>
      <c r="D1765" s="4" t="s">
        <v>2213</v>
      </c>
      <c r="E1765" s="4" t="s">
        <v>6525</v>
      </c>
      <c r="F1765" s="4"/>
      <c r="G1765" s="4" t="s">
        <v>1888</v>
      </c>
      <c r="H1765" s="22">
        <v>0</v>
      </c>
      <c r="I1765" s="4">
        <v>710000000</v>
      </c>
      <c r="J1765" s="4" t="s">
        <v>1931</v>
      </c>
      <c r="K1765" s="4" t="s">
        <v>5297</v>
      </c>
      <c r="L1765" s="7" t="s">
        <v>1940</v>
      </c>
      <c r="M1765" s="8" t="s">
        <v>3195</v>
      </c>
      <c r="N1765" s="4" t="s">
        <v>1890</v>
      </c>
      <c r="O1765" s="8" t="s">
        <v>1935</v>
      </c>
      <c r="P1765" s="1" t="s">
        <v>3010</v>
      </c>
      <c r="Q1765" s="4" t="s">
        <v>5142</v>
      </c>
      <c r="R1765" s="10">
        <v>60</v>
      </c>
      <c r="S1765" s="10">
        <v>790</v>
      </c>
      <c r="T1765" s="10">
        <v>0</v>
      </c>
      <c r="U1765" s="10">
        <f t="shared" si="881"/>
        <v>0</v>
      </c>
      <c r="V1765" s="1"/>
      <c r="W1765" s="1">
        <v>2015</v>
      </c>
      <c r="X1765" s="20" t="s">
        <v>6562</v>
      </c>
    </row>
    <row r="1766" spans="1:24" s="133" customFormat="1" ht="76.5" customHeight="1" outlineLevel="1" x14ac:dyDescent="0.2">
      <c r="A1766" s="1" t="s">
        <v>6641</v>
      </c>
      <c r="B1766" s="24" t="s">
        <v>5277</v>
      </c>
      <c r="C1766" s="4" t="s">
        <v>6524</v>
      </c>
      <c r="D1766" s="4" t="s">
        <v>2213</v>
      </c>
      <c r="E1766" s="4" t="s">
        <v>6525</v>
      </c>
      <c r="F1766" s="4"/>
      <c r="G1766" s="4" t="s">
        <v>1888</v>
      </c>
      <c r="H1766" s="22">
        <v>0</v>
      </c>
      <c r="I1766" s="4">
        <v>710000000</v>
      </c>
      <c r="J1766" s="4" t="s">
        <v>1931</v>
      </c>
      <c r="K1766" s="4" t="s">
        <v>5297</v>
      </c>
      <c r="L1766" s="7" t="s">
        <v>1940</v>
      </c>
      <c r="M1766" s="8" t="s">
        <v>3195</v>
      </c>
      <c r="N1766" s="4" t="s">
        <v>1890</v>
      </c>
      <c r="O1766" s="8" t="s">
        <v>1935</v>
      </c>
      <c r="P1766" s="1" t="s">
        <v>3010</v>
      </c>
      <c r="Q1766" s="4" t="s">
        <v>5142</v>
      </c>
      <c r="R1766" s="10">
        <f>60-10</f>
        <v>50</v>
      </c>
      <c r="S1766" s="10">
        <v>790</v>
      </c>
      <c r="T1766" s="10">
        <f t="shared" ref="T1766" si="885">S1766*R1766</f>
        <v>39500</v>
      </c>
      <c r="U1766" s="10">
        <f t="shared" si="881"/>
        <v>44240.000000000007</v>
      </c>
      <c r="V1766" s="1"/>
      <c r="W1766" s="1">
        <v>2015</v>
      </c>
      <c r="X1766" s="20"/>
    </row>
    <row r="1767" spans="1:24" s="133" customFormat="1" ht="76.5" customHeight="1" outlineLevel="1" x14ac:dyDescent="0.2">
      <c r="A1767" s="1" t="s">
        <v>2593</v>
      </c>
      <c r="B1767" s="24" t="s">
        <v>5277</v>
      </c>
      <c r="C1767" s="4" t="s">
        <v>3729</v>
      </c>
      <c r="D1767" s="4" t="s">
        <v>6164</v>
      </c>
      <c r="E1767" s="4" t="s">
        <v>6165</v>
      </c>
      <c r="F1767" s="4" t="s">
        <v>989</v>
      </c>
      <c r="G1767" s="4" t="s">
        <v>1888</v>
      </c>
      <c r="H1767" s="22">
        <v>0</v>
      </c>
      <c r="I1767" s="4">
        <v>710000000</v>
      </c>
      <c r="J1767" s="4" t="s">
        <v>1931</v>
      </c>
      <c r="K1767" s="4" t="s">
        <v>5297</v>
      </c>
      <c r="L1767" s="7" t="s">
        <v>1940</v>
      </c>
      <c r="M1767" s="8" t="s">
        <v>3195</v>
      </c>
      <c r="N1767" s="4" t="s">
        <v>1890</v>
      </c>
      <c r="O1767" s="8" t="s">
        <v>1935</v>
      </c>
      <c r="P1767" s="8">
        <v>796</v>
      </c>
      <c r="Q1767" s="8" t="s">
        <v>3196</v>
      </c>
      <c r="R1767" s="10">
        <v>160</v>
      </c>
      <c r="S1767" s="10">
        <v>57.14</v>
      </c>
      <c r="T1767" s="10">
        <v>0</v>
      </c>
      <c r="U1767" s="10">
        <f t="shared" si="881"/>
        <v>0</v>
      </c>
      <c r="V1767" s="1"/>
      <c r="W1767" s="1">
        <v>2015</v>
      </c>
      <c r="X1767" s="20" t="s">
        <v>6562</v>
      </c>
    </row>
    <row r="1768" spans="1:24" s="133" customFormat="1" ht="76.5" customHeight="1" outlineLevel="1" x14ac:dyDescent="0.2">
      <c r="A1768" s="1" t="s">
        <v>6642</v>
      </c>
      <c r="B1768" s="24" t="s">
        <v>5277</v>
      </c>
      <c r="C1768" s="4" t="s">
        <v>3729</v>
      </c>
      <c r="D1768" s="4" t="s">
        <v>6164</v>
      </c>
      <c r="E1768" s="4" t="s">
        <v>6165</v>
      </c>
      <c r="F1768" s="4" t="s">
        <v>989</v>
      </c>
      <c r="G1768" s="4" t="s">
        <v>1888</v>
      </c>
      <c r="H1768" s="22">
        <v>0</v>
      </c>
      <c r="I1768" s="4">
        <v>710000000</v>
      </c>
      <c r="J1768" s="4" t="s">
        <v>1931</v>
      </c>
      <c r="K1768" s="4" t="s">
        <v>5297</v>
      </c>
      <c r="L1768" s="7" t="s">
        <v>1940</v>
      </c>
      <c r="M1768" s="8" t="s">
        <v>3195</v>
      </c>
      <c r="N1768" s="4" t="s">
        <v>1890</v>
      </c>
      <c r="O1768" s="8" t="s">
        <v>1935</v>
      </c>
      <c r="P1768" s="8">
        <v>796</v>
      </c>
      <c r="Q1768" s="8" t="s">
        <v>3196</v>
      </c>
      <c r="R1768" s="10">
        <f>160-40</f>
        <v>120</v>
      </c>
      <c r="S1768" s="10">
        <v>57.14</v>
      </c>
      <c r="T1768" s="10">
        <f t="shared" ref="T1768:T1770" si="886">S1768*R1768</f>
        <v>6856.8</v>
      </c>
      <c r="U1768" s="10">
        <f t="shared" si="881"/>
        <v>7679.6160000000009</v>
      </c>
      <c r="V1768" s="1"/>
      <c r="W1768" s="1">
        <v>2015</v>
      </c>
      <c r="X1768" s="20"/>
    </row>
    <row r="1769" spans="1:24" s="133" customFormat="1" ht="76.5" customHeight="1" outlineLevel="1" x14ac:dyDescent="0.2">
      <c r="A1769" s="1" t="s">
        <v>2594</v>
      </c>
      <c r="B1769" s="24" t="s">
        <v>5277</v>
      </c>
      <c r="C1769" s="4" t="s">
        <v>990</v>
      </c>
      <c r="D1769" s="4" t="s">
        <v>6164</v>
      </c>
      <c r="E1769" s="4" t="s">
        <v>6165</v>
      </c>
      <c r="F1769" s="4" t="s">
        <v>991</v>
      </c>
      <c r="G1769" s="4" t="s">
        <v>1888</v>
      </c>
      <c r="H1769" s="22">
        <v>0</v>
      </c>
      <c r="I1769" s="4">
        <v>710000000</v>
      </c>
      <c r="J1769" s="4" t="s">
        <v>1931</v>
      </c>
      <c r="K1769" s="4" t="s">
        <v>5297</v>
      </c>
      <c r="L1769" s="7" t="s">
        <v>1940</v>
      </c>
      <c r="M1769" s="8" t="s">
        <v>3195</v>
      </c>
      <c r="N1769" s="4" t="s">
        <v>1890</v>
      </c>
      <c r="O1769" s="8" t="s">
        <v>1935</v>
      </c>
      <c r="P1769" s="8">
        <v>796</v>
      </c>
      <c r="Q1769" s="8" t="s">
        <v>3196</v>
      </c>
      <c r="R1769" s="10">
        <v>80</v>
      </c>
      <c r="S1769" s="10">
        <v>330</v>
      </c>
      <c r="T1769" s="10">
        <v>0</v>
      </c>
      <c r="U1769" s="10">
        <f t="shared" si="881"/>
        <v>0</v>
      </c>
      <c r="V1769" s="1"/>
      <c r="W1769" s="1">
        <v>2015</v>
      </c>
      <c r="X1769" s="20" t="s">
        <v>6562</v>
      </c>
    </row>
    <row r="1770" spans="1:24" s="133" customFormat="1" ht="76.5" customHeight="1" outlineLevel="1" x14ac:dyDescent="0.2">
      <c r="A1770" s="1" t="s">
        <v>6643</v>
      </c>
      <c r="B1770" s="24" t="s">
        <v>5277</v>
      </c>
      <c r="C1770" s="4" t="s">
        <v>990</v>
      </c>
      <c r="D1770" s="4" t="s">
        <v>6164</v>
      </c>
      <c r="E1770" s="4" t="s">
        <v>6165</v>
      </c>
      <c r="F1770" s="4" t="s">
        <v>991</v>
      </c>
      <c r="G1770" s="4" t="s">
        <v>1888</v>
      </c>
      <c r="H1770" s="22">
        <v>0</v>
      </c>
      <c r="I1770" s="4">
        <v>710000000</v>
      </c>
      <c r="J1770" s="4" t="s">
        <v>1931</v>
      </c>
      <c r="K1770" s="4" t="s">
        <v>5297</v>
      </c>
      <c r="L1770" s="7" t="s">
        <v>1940</v>
      </c>
      <c r="M1770" s="8" t="s">
        <v>3195</v>
      </c>
      <c r="N1770" s="4" t="s">
        <v>1890</v>
      </c>
      <c r="O1770" s="8" t="s">
        <v>1935</v>
      </c>
      <c r="P1770" s="8">
        <v>796</v>
      </c>
      <c r="Q1770" s="8" t="s">
        <v>3196</v>
      </c>
      <c r="R1770" s="10">
        <f>80-40</f>
        <v>40</v>
      </c>
      <c r="S1770" s="10">
        <v>330</v>
      </c>
      <c r="T1770" s="10">
        <f t="shared" si="886"/>
        <v>13200</v>
      </c>
      <c r="U1770" s="10">
        <f t="shared" si="881"/>
        <v>14784.000000000002</v>
      </c>
      <c r="V1770" s="1"/>
      <c r="W1770" s="1">
        <v>2015</v>
      </c>
      <c r="X1770" s="20"/>
    </row>
    <row r="1771" spans="1:24" s="133" customFormat="1" ht="76.5" customHeight="1" outlineLevel="1" x14ac:dyDescent="0.2">
      <c r="A1771" s="1" t="s">
        <v>2595</v>
      </c>
      <c r="B1771" s="24" t="s">
        <v>5277</v>
      </c>
      <c r="C1771" s="4" t="s">
        <v>992</v>
      </c>
      <c r="D1771" s="4" t="s">
        <v>993</v>
      </c>
      <c r="E1771" s="4" t="s">
        <v>6526</v>
      </c>
      <c r="F1771" s="4" t="s">
        <v>994</v>
      </c>
      <c r="G1771" s="4" t="s">
        <v>1888</v>
      </c>
      <c r="H1771" s="22">
        <v>0</v>
      </c>
      <c r="I1771" s="4">
        <v>710000000</v>
      </c>
      <c r="J1771" s="4" t="s">
        <v>1931</v>
      </c>
      <c r="K1771" s="4" t="s">
        <v>5297</v>
      </c>
      <c r="L1771" s="7" t="s">
        <v>1940</v>
      </c>
      <c r="M1771" s="8" t="s">
        <v>3195</v>
      </c>
      <c r="N1771" s="4" t="s">
        <v>1890</v>
      </c>
      <c r="O1771" s="8" t="s">
        <v>1935</v>
      </c>
      <c r="P1771" s="8">
        <v>796</v>
      </c>
      <c r="Q1771" s="8" t="s">
        <v>3196</v>
      </c>
      <c r="R1771" s="10">
        <v>400</v>
      </c>
      <c r="S1771" s="10">
        <v>8</v>
      </c>
      <c r="T1771" s="10">
        <f t="shared" si="880"/>
        <v>3200</v>
      </c>
      <c r="U1771" s="10">
        <f t="shared" si="881"/>
        <v>3584.0000000000005</v>
      </c>
      <c r="V1771" s="1"/>
      <c r="W1771" s="1">
        <v>2015</v>
      </c>
      <c r="X1771" s="20"/>
    </row>
    <row r="1772" spans="1:24" s="133" customFormat="1" ht="76.5" customHeight="1" outlineLevel="1" x14ac:dyDescent="0.2">
      <c r="A1772" s="1" t="s">
        <v>2596</v>
      </c>
      <c r="B1772" s="24" t="s">
        <v>5277</v>
      </c>
      <c r="C1772" s="4" t="s">
        <v>992</v>
      </c>
      <c r="D1772" s="4" t="s">
        <v>993</v>
      </c>
      <c r="E1772" s="4" t="s">
        <v>6526</v>
      </c>
      <c r="F1772" s="4" t="s">
        <v>995</v>
      </c>
      <c r="G1772" s="4" t="s">
        <v>1888</v>
      </c>
      <c r="H1772" s="22">
        <v>0</v>
      </c>
      <c r="I1772" s="4">
        <v>710000000</v>
      </c>
      <c r="J1772" s="4" t="s">
        <v>1931</v>
      </c>
      <c r="K1772" s="4" t="s">
        <v>5297</v>
      </c>
      <c r="L1772" s="7" t="s">
        <v>1940</v>
      </c>
      <c r="M1772" s="8" t="s">
        <v>3195</v>
      </c>
      <c r="N1772" s="4" t="s">
        <v>1890</v>
      </c>
      <c r="O1772" s="8" t="s">
        <v>1935</v>
      </c>
      <c r="P1772" s="8">
        <v>796</v>
      </c>
      <c r="Q1772" s="8" t="s">
        <v>3196</v>
      </c>
      <c r="R1772" s="10">
        <v>100</v>
      </c>
      <c r="S1772" s="10">
        <v>10</v>
      </c>
      <c r="T1772" s="10">
        <f t="shared" si="880"/>
        <v>1000</v>
      </c>
      <c r="U1772" s="10">
        <f t="shared" si="881"/>
        <v>1120</v>
      </c>
      <c r="V1772" s="1"/>
      <c r="W1772" s="1">
        <v>2015</v>
      </c>
      <c r="X1772" s="20"/>
    </row>
    <row r="1773" spans="1:24" s="133" customFormat="1" ht="76.5" customHeight="1" outlineLevel="1" x14ac:dyDescent="0.2">
      <c r="A1773" s="1" t="s">
        <v>2597</v>
      </c>
      <c r="B1773" s="24" t="s">
        <v>5277</v>
      </c>
      <c r="C1773" s="4" t="s">
        <v>992</v>
      </c>
      <c r="D1773" s="4" t="s">
        <v>993</v>
      </c>
      <c r="E1773" s="4" t="s">
        <v>6526</v>
      </c>
      <c r="F1773" s="4" t="s">
        <v>996</v>
      </c>
      <c r="G1773" s="4" t="s">
        <v>1888</v>
      </c>
      <c r="H1773" s="22">
        <v>0</v>
      </c>
      <c r="I1773" s="4">
        <v>710000000</v>
      </c>
      <c r="J1773" s="4" t="s">
        <v>1931</v>
      </c>
      <c r="K1773" s="4" t="s">
        <v>5297</v>
      </c>
      <c r="L1773" s="7" t="s">
        <v>1940</v>
      </c>
      <c r="M1773" s="8" t="s">
        <v>3195</v>
      </c>
      <c r="N1773" s="4" t="s">
        <v>1890</v>
      </c>
      <c r="O1773" s="8" t="s">
        <v>1935</v>
      </c>
      <c r="P1773" s="8">
        <v>796</v>
      </c>
      <c r="Q1773" s="8" t="s">
        <v>3196</v>
      </c>
      <c r="R1773" s="10">
        <v>120</v>
      </c>
      <c r="S1773" s="10">
        <v>15</v>
      </c>
      <c r="T1773" s="10">
        <f t="shared" si="880"/>
        <v>1800</v>
      </c>
      <c r="U1773" s="10">
        <f t="shared" si="881"/>
        <v>2016.0000000000002</v>
      </c>
      <c r="V1773" s="1"/>
      <c r="W1773" s="1">
        <v>2015</v>
      </c>
      <c r="X1773" s="20"/>
    </row>
    <row r="1774" spans="1:24" s="133" customFormat="1" ht="76.5" customHeight="1" outlineLevel="1" x14ac:dyDescent="0.2">
      <c r="A1774" s="1" t="s">
        <v>2598</v>
      </c>
      <c r="B1774" s="24" t="s">
        <v>5277</v>
      </c>
      <c r="C1774" s="4" t="s">
        <v>1877</v>
      </c>
      <c r="D1774" s="4" t="s">
        <v>6133</v>
      </c>
      <c r="E1774" s="4" t="s">
        <v>6144</v>
      </c>
      <c r="F1774" s="4" t="s">
        <v>997</v>
      </c>
      <c r="G1774" s="4" t="s">
        <v>1888</v>
      </c>
      <c r="H1774" s="22">
        <v>0</v>
      </c>
      <c r="I1774" s="4">
        <v>710000000</v>
      </c>
      <c r="J1774" s="4" t="s">
        <v>1931</v>
      </c>
      <c r="K1774" s="4" t="s">
        <v>5297</v>
      </c>
      <c r="L1774" s="7" t="s">
        <v>1940</v>
      </c>
      <c r="M1774" s="8" t="s">
        <v>3195</v>
      </c>
      <c r="N1774" s="4" t="s">
        <v>1890</v>
      </c>
      <c r="O1774" s="8" t="s">
        <v>1935</v>
      </c>
      <c r="P1774" s="8">
        <v>796</v>
      </c>
      <c r="Q1774" s="8" t="s">
        <v>3196</v>
      </c>
      <c r="R1774" s="10">
        <v>50</v>
      </c>
      <c r="S1774" s="10">
        <v>120</v>
      </c>
      <c r="T1774" s="10">
        <f t="shared" si="880"/>
        <v>6000</v>
      </c>
      <c r="U1774" s="10">
        <f t="shared" si="881"/>
        <v>6720.0000000000009</v>
      </c>
      <c r="V1774" s="1"/>
      <c r="W1774" s="1">
        <v>2015</v>
      </c>
      <c r="X1774" s="20"/>
    </row>
    <row r="1775" spans="1:24" s="133" customFormat="1" ht="76.5" customHeight="1" outlineLevel="1" x14ac:dyDescent="0.2">
      <c r="A1775" s="1" t="s">
        <v>2599</v>
      </c>
      <c r="B1775" s="24" t="s">
        <v>5277</v>
      </c>
      <c r="C1775" s="4" t="s">
        <v>1877</v>
      </c>
      <c r="D1775" s="4" t="s">
        <v>6133</v>
      </c>
      <c r="E1775" s="4" t="s">
        <v>6144</v>
      </c>
      <c r="F1775" s="4" t="s">
        <v>998</v>
      </c>
      <c r="G1775" s="4" t="s">
        <v>1888</v>
      </c>
      <c r="H1775" s="22">
        <v>0</v>
      </c>
      <c r="I1775" s="4">
        <v>710000000</v>
      </c>
      <c r="J1775" s="4" t="s">
        <v>1931</v>
      </c>
      <c r="K1775" s="4" t="s">
        <v>5297</v>
      </c>
      <c r="L1775" s="7" t="s">
        <v>1940</v>
      </c>
      <c r="M1775" s="8" t="s">
        <v>3195</v>
      </c>
      <c r="N1775" s="4" t="s">
        <v>1890</v>
      </c>
      <c r="O1775" s="8" t="s">
        <v>1935</v>
      </c>
      <c r="P1775" s="8">
        <v>796</v>
      </c>
      <c r="Q1775" s="8" t="s">
        <v>3196</v>
      </c>
      <c r="R1775" s="10">
        <v>50</v>
      </c>
      <c r="S1775" s="10">
        <v>190</v>
      </c>
      <c r="T1775" s="10">
        <f t="shared" si="880"/>
        <v>9500</v>
      </c>
      <c r="U1775" s="10">
        <f t="shared" si="881"/>
        <v>10640.000000000002</v>
      </c>
      <c r="V1775" s="1"/>
      <c r="W1775" s="1">
        <v>2015</v>
      </c>
      <c r="X1775" s="20"/>
    </row>
    <row r="1776" spans="1:24" s="133" customFormat="1" ht="76.5" customHeight="1" outlineLevel="1" x14ac:dyDescent="0.2">
      <c r="A1776" s="1" t="s">
        <v>2600</v>
      </c>
      <c r="B1776" s="24" t="s">
        <v>5277</v>
      </c>
      <c r="C1776" s="4" t="s">
        <v>999</v>
      </c>
      <c r="D1776" s="4" t="s">
        <v>1000</v>
      </c>
      <c r="E1776" s="4" t="s">
        <v>1001</v>
      </c>
      <c r="F1776" s="4" t="s">
        <v>1002</v>
      </c>
      <c r="G1776" s="4" t="s">
        <v>1888</v>
      </c>
      <c r="H1776" s="22">
        <v>0</v>
      </c>
      <c r="I1776" s="4">
        <v>710000000</v>
      </c>
      <c r="J1776" s="4" t="s">
        <v>1931</v>
      </c>
      <c r="K1776" s="4" t="s">
        <v>5297</v>
      </c>
      <c r="L1776" s="7" t="s">
        <v>1940</v>
      </c>
      <c r="M1776" s="8" t="s">
        <v>3195</v>
      </c>
      <c r="N1776" s="4" t="s">
        <v>1890</v>
      </c>
      <c r="O1776" s="8" t="s">
        <v>1935</v>
      </c>
      <c r="P1776" s="8">
        <v>796</v>
      </c>
      <c r="Q1776" s="8" t="s">
        <v>3196</v>
      </c>
      <c r="R1776" s="10">
        <v>50</v>
      </c>
      <c r="S1776" s="10">
        <v>50</v>
      </c>
      <c r="T1776" s="10">
        <f t="shared" si="880"/>
        <v>2500</v>
      </c>
      <c r="U1776" s="10">
        <f t="shared" si="881"/>
        <v>2800.0000000000005</v>
      </c>
      <c r="V1776" s="1"/>
      <c r="W1776" s="1">
        <v>2015</v>
      </c>
      <c r="X1776" s="20"/>
    </row>
    <row r="1777" spans="1:24" s="133" customFormat="1" ht="76.5" customHeight="1" outlineLevel="1" x14ac:dyDescent="0.2">
      <c r="A1777" s="1" t="s">
        <v>2601</v>
      </c>
      <c r="B1777" s="24" t="s">
        <v>5277</v>
      </c>
      <c r="C1777" s="4" t="s">
        <v>999</v>
      </c>
      <c r="D1777" s="4" t="s">
        <v>1000</v>
      </c>
      <c r="E1777" s="4" t="s">
        <v>1001</v>
      </c>
      <c r="F1777" s="4" t="s">
        <v>1003</v>
      </c>
      <c r="G1777" s="4" t="s">
        <v>1888</v>
      </c>
      <c r="H1777" s="22">
        <v>0</v>
      </c>
      <c r="I1777" s="4">
        <v>710000000</v>
      </c>
      <c r="J1777" s="4" t="s">
        <v>1931</v>
      </c>
      <c r="K1777" s="4" t="s">
        <v>5297</v>
      </c>
      <c r="L1777" s="7" t="s">
        <v>1940</v>
      </c>
      <c r="M1777" s="8" t="s">
        <v>3195</v>
      </c>
      <c r="N1777" s="4" t="s">
        <v>1890</v>
      </c>
      <c r="O1777" s="8" t="s">
        <v>1935</v>
      </c>
      <c r="P1777" s="8">
        <v>796</v>
      </c>
      <c r="Q1777" s="8" t="s">
        <v>3196</v>
      </c>
      <c r="R1777" s="10">
        <v>50</v>
      </c>
      <c r="S1777" s="10">
        <v>50</v>
      </c>
      <c r="T1777" s="10">
        <f t="shared" si="880"/>
        <v>2500</v>
      </c>
      <c r="U1777" s="10">
        <f t="shared" si="881"/>
        <v>2800.0000000000005</v>
      </c>
      <c r="V1777" s="1"/>
      <c r="W1777" s="1">
        <v>2015</v>
      </c>
      <c r="X1777" s="20"/>
    </row>
    <row r="1778" spans="1:24" s="133" customFormat="1" ht="76.5" customHeight="1" outlineLevel="1" x14ac:dyDescent="0.2">
      <c r="A1778" s="1" t="s">
        <v>2602</v>
      </c>
      <c r="B1778" s="24" t="s">
        <v>5277</v>
      </c>
      <c r="C1778" s="4" t="s">
        <v>999</v>
      </c>
      <c r="D1778" s="4" t="s">
        <v>1000</v>
      </c>
      <c r="E1778" s="4" t="s">
        <v>1001</v>
      </c>
      <c r="F1778" s="4" t="s">
        <v>1004</v>
      </c>
      <c r="G1778" s="4" t="s">
        <v>1888</v>
      </c>
      <c r="H1778" s="22">
        <v>0</v>
      </c>
      <c r="I1778" s="4">
        <v>710000000</v>
      </c>
      <c r="J1778" s="4" t="s">
        <v>1931</v>
      </c>
      <c r="K1778" s="4" t="s">
        <v>5297</v>
      </c>
      <c r="L1778" s="7" t="s">
        <v>1940</v>
      </c>
      <c r="M1778" s="8" t="s">
        <v>3195</v>
      </c>
      <c r="N1778" s="4" t="s">
        <v>1890</v>
      </c>
      <c r="O1778" s="8" t="s">
        <v>1935</v>
      </c>
      <c r="P1778" s="8">
        <v>796</v>
      </c>
      <c r="Q1778" s="8" t="s">
        <v>3196</v>
      </c>
      <c r="R1778" s="10">
        <v>46</v>
      </c>
      <c r="S1778" s="10">
        <v>140</v>
      </c>
      <c r="T1778" s="10">
        <v>0</v>
      </c>
      <c r="U1778" s="10">
        <f t="shared" si="881"/>
        <v>0</v>
      </c>
      <c r="V1778" s="1"/>
      <c r="W1778" s="1">
        <v>2015</v>
      </c>
      <c r="X1778" s="20" t="s">
        <v>6562</v>
      </c>
    </row>
    <row r="1779" spans="1:24" s="133" customFormat="1" ht="76.5" customHeight="1" outlineLevel="1" x14ac:dyDescent="0.2">
      <c r="A1779" s="1" t="s">
        <v>6644</v>
      </c>
      <c r="B1779" s="24" t="s">
        <v>5277</v>
      </c>
      <c r="C1779" s="4" t="s">
        <v>999</v>
      </c>
      <c r="D1779" s="4" t="s">
        <v>1000</v>
      </c>
      <c r="E1779" s="4" t="s">
        <v>1001</v>
      </c>
      <c r="F1779" s="4" t="s">
        <v>1004</v>
      </c>
      <c r="G1779" s="4" t="s">
        <v>1888</v>
      </c>
      <c r="H1779" s="22">
        <v>0</v>
      </c>
      <c r="I1779" s="4">
        <v>710000000</v>
      </c>
      <c r="J1779" s="4" t="s">
        <v>1931</v>
      </c>
      <c r="K1779" s="4" t="s">
        <v>5297</v>
      </c>
      <c r="L1779" s="7" t="s">
        <v>1940</v>
      </c>
      <c r="M1779" s="8" t="s">
        <v>3195</v>
      </c>
      <c r="N1779" s="4" t="s">
        <v>1890</v>
      </c>
      <c r="O1779" s="8" t="s">
        <v>1935</v>
      </c>
      <c r="P1779" s="8">
        <v>796</v>
      </c>
      <c r="Q1779" s="8" t="s">
        <v>3196</v>
      </c>
      <c r="R1779" s="10">
        <f>46-11</f>
        <v>35</v>
      </c>
      <c r="S1779" s="10">
        <v>140</v>
      </c>
      <c r="T1779" s="10">
        <f t="shared" ref="T1779" si="887">S1779*R1779</f>
        <v>4900</v>
      </c>
      <c r="U1779" s="10">
        <f t="shared" si="881"/>
        <v>5488.0000000000009</v>
      </c>
      <c r="V1779" s="1"/>
      <c r="W1779" s="1">
        <v>2015</v>
      </c>
      <c r="X1779" s="20"/>
    </row>
    <row r="1780" spans="1:24" s="133" customFormat="1" ht="76.5" customHeight="1" outlineLevel="1" x14ac:dyDescent="0.2">
      <c r="A1780" s="1" t="s">
        <v>2603</v>
      </c>
      <c r="B1780" s="24" t="s">
        <v>5277</v>
      </c>
      <c r="C1780" s="4" t="s">
        <v>999</v>
      </c>
      <c r="D1780" s="4" t="s">
        <v>1000</v>
      </c>
      <c r="E1780" s="4" t="s">
        <v>1001</v>
      </c>
      <c r="F1780" s="4" t="s">
        <v>1005</v>
      </c>
      <c r="G1780" s="4" t="s">
        <v>1888</v>
      </c>
      <c r="H1780" s="22">
        <v>0</v>
      </c>
      <c r="I1780" s="4">
        <v>710000000</v>
      </c>
      <c r="J1780" s="4" t="s">
        <v>1931</v>
      </c>
      <c r="K1780" s="4" t="s">
        <v>5297</v>
      </c>
      <c r="L1780" s="7" t="s">
        <v>1940</v>
      </c>
      <c r="M1780" s="8" t="s">
        <v>3195</v>
      </c>
      <c r="N1780" s="4" t="s">
        <v>1890</v>
      </c>
      <c r="O1780" s="8" t="s">
        <v>1935</v>
      </c>
      <c r="P1780" s="8">
        <v>796</v>
      </c>
      <c r="Q1780" s="8" t="s">
        <v>3196</v>
      </c>
      <c r="R1780" s="10">
        <v>40</v>
      </c>
      <c r="S1780" s="10">
        <v>160</v>
      </c>
      <c r="T1780" s="10">
        <v>0</v>
      </c>
      <c r="U1780" s="10">
        <f t="shared" si="881"/>
        <v>0</v>
      </c>
      <c r="V1780" s="1"/>
      <c r="W1780" s="1">
        <v>2015</v>
      </c>
      <c r="X1780" s="20" t="s">
        <v>6562</v>
      </c>
    </row>
    <row r="1781" spans="1:24" s="133" customFormat="1" ht="76.5" customHeight="1" outlineLevel="1" x14ac:dyDescent="0.2">
      <c r="A1781" s="1" t="s">
        <v>6645</v>
      </c>
      <c r="B1781" s="24" t="s">
        <v>5277</v>
      </c>
      <c r="C1781" s="4" t="s">
        <v>999</v>
      </c>
      <c r="D1781" s="4" t="s">
        <v>1000</v>
      </c>
      <c r="E1781" s="4" t="s">
        <v>1001</v>
      </c>
      <c r="F1781" s="4" t="s">
        <v>1005</v>
      </c>
      <c r="G1781" s="4" t="s">
        <v>1888</v>
      </c>
      <c r="H1781" s="22">
        <v>0</v>
      </c>
      <c r="I1781" s="4">
        <v>710000000</v>
      </c>
      <c r="J1781" s="4" t="s">
        <v>1931</v>
      </c>
      <c r="K1781" s="4" t="s">
        <v>5297</v>
      </c>
      <c r="L1781" s="7" t="s">
        <v>1940</v>
      </c>
      <c r="M1781" s="8" t="s">
        <v>3195</v>
      </c>
      <c r="N1781" s="4" t="s">
        <v>1890</v>
      </c>
      <c r="O1781" s="8" t="s">
        <v>1935</v>
      </c>
      <c r="P1781" s="8">
        <v>796</v>
      </c>
      <c r="Q1781" s="8" t="s">
        <v>3196</v>
      </c>
      <c r="R1781" s="10">
        <f>40-5</f>
        <v>35</v>
      </c>
      <c r="S1781" s="10">
        <v>160</v>
      </c>
      <c r="T1781" s="10">
        <f t="shared" ref="T1781" si="888">S1781*R1781</f>
        <v>5600</v>
      </c>
      <c r="U1781" s="10">
        <f t="shared" si="881"/>
        <v>6272.0000000000009</v>
      </c>
      <c r="V1781" s="1"/>
      <c r="W1781" s="1">
        <v>2015</v>
      </c>
      <c r="X1781" s="20"/>
    </row>
    <row r="1782" spans="1:24" s="133" customFormat="1" ht="76.5" customHeight="1" outlineLevel="1" x14ac:dyDescent="0.2">
      <c r="A1782" s="1" t="s">
        <v>2604</v>
      </c>
      <c r="B1782" s="24" t="s">
        <v>5277</v>
      </c>
      <c r="C1782" s="4" t="s">
        <v>1861</v>
      </c>
      <c r="D1782" s="4" t="s">
        <v>6132</v>
      </c>
      <c r="E1782" s="4" t="s">
        <v>6514</v>
      </c>
      <c r="F1782" s="4"/>
      <c r="G1782" s="4" t="s">
        <v>1888</v>
      </c>
      <c r="H1782" s="22">
        <v>0</v>
      </c>
      <c r="I1782" s="4">
        <v>710000000</v>
      </c>
      <c r="J1782" s="4" t="s">
        <v>1931</v>
      </c>
      <c r="K1782" s="4" t="s">
        <v>5297</v>
      </c>
      <c r="L1782" s="7" t="s">
        <v>1940</v>
      </c>
      <c r="M1782" s="8" t="s">
        <v>3195</v>
      </c>
      <c r="N1782" s="4" t="s">
        <v>1890</v>
      </c>
      <c r="O1782" s="8" t="s">
        <v>1935</v>
      </c>
      <c r="P1782" s="8">
        <v>796</v>
      </c>
      <c r="Q1782" s="8" t="s">
        <v>3196</v>
      </c>
      <c r="R1782" s="10">
        <v>120</v>
      </c>
      <c r="S1782" s="10">
        <v>2388.39</v>
      </c>
      <c r="T1782" s="10">
        <v>0</v>
      </c>
      <c r="U1782" s="10">
        <f t="shared" si="881"/>
        <v>0</v>
      </c>
      <c r="V1782" s="1"/>
      <c r="W1782" s="1">
        <v>2015</v>
      </c>
      <c r="X1782" s="20" t="s">
        <v>6562</v>
      </c>
    </row>
    <row r="1783" spans="1:24" s="133" customFormat="1" ht="76.5" customHeight="1" outlineLevel="1" x14ac:dyDescent="0.2">
      <c r="A1783" s="1" t="s">
        <v>6646</v>
      </c>
      <c r="B1783" s="24" t="s">
        <v>5277</v>
      </c>
      <c r="C1783" s="4" t="s">
        <v>1861</v>
      </c>
      <c r="D1783" s="4" t="s">
        <v>6132</v>
      </c>
      <c r="E1783" s="4" t="s">
        <v>6514</v>
      </c>
      <c r="F1783" s="4"/>
      <c r="G1783" s="4" t="s">
        <v>1888</v>
      </c>
      <c r="H1783" s="22">
        <v>0</v>
      </c>
      <c r="I1783" s="4">
        <v>710000000</v>
      </c>
      <c r="J1783" s="4" t="s">
        <v>1931</v>
      </c>
      <c r="K1783" s="4" t="s">
        <v>5297</v>
      </c>
      <c r="L1783" s="7" t="s">
        <v>1940</v>
      </c>
      <c r="M1783" s="8" t="s">
        <v>3195</v>
      </c>
      <c r="N1783" s="4" t="s">
        <v>1890</v>
      </c>
      <c r="O1783" s="8" t="s">
        <v>1935</v>
      </c>
      <c r="P1783" s="8">
        <v>796</v>
      </c>
      <c r="Q1783" s="8" t="s">
        <v>3196</v>
      </c>
      <c r="R1783" s="10">
        <f>120-20</f>
        <v>100</v>
      </c>
      <c r="S1783" s="10">
        <v>2388.39</v>
      </c>
      <c r="T1783" s="10">
        <f t="shared" ref="T1783" si="889">S1783*R1783</f>
        <v>238839</v>
      </c>
      <c r="U1783" s="10">
        <f t="shared" si="881"/>
        <v>267499.68000000005</v>
      </c>
      <c r="V1783" s="1"/>
      <c r="W1783" s="1">
        <v>2015</v>
      </c>
      <c r="X1783" s="20"/>
    </row>
    <row r="1784" spans="1:24" s="133" customFormat="1" ht="76.5" customHeight="1" outlineLevel="1" x14ac:dyDescent="0.2">
      <c r="A1784" s="1" t="s">
        <v>2605</v>
      </c>
      <c r="B1784" s="24" t="s">
        <v>5277</v>
      </c>
      <c r="C1784" s="4" t="s">
        <v>1006</v>
      </c>
      <c r="D1784" s="4" t="s">
        <v>1007</v>
      </c>
      <c r="E1784" s="4" t="s">
        <v>6527</v>
      </c>
      <c r="F1784" s="4" t="s">
        <v>1008</v>
      </c>
      <c r="G1784" s="4" t="s">
        <v>1888</v>
      </c>
      <c r="H1784" s="22">
        <v>0</v>
      </c>
      <c r="I1784" s="4">
        <v>710000000</v>
      </c>
      <c r="J1784" s="4" t="s">
        <v>1931</v>
      </c>
      <c r="K1784" s="4" t="s">
        <v>5297</v>
      </c>
      <c r="L1784" s="7" t="s">
        <v>1940</v>
      </c>
      <c r="M1784" s="8" t="s">
        <v>3195</v>
      </c>
      <c r="N1784" s="4" t="s">
        <v>1890</v>
      </c>
      <c r="O1784" s="8" t="s">
        <v>1935</v>
      </c>
      <c r="P1784" s="1" t="s">
        <v>3010</v>
      </c>
      <c r="Q1784" s="4" t="s">
        <v>5142</v>
      </c>
      <c r="R1784" s="10">
        <v>50</v>
      </c>
      <c r="S1784" s="10">
        <v>85</v>
      </c>
      <c r="T1784" s="10">
        <f t="shared" si="880"/>
        <v>4250</v>
      </c>
      <c r="U1784" s="10">
        <f t="shared" si="881"/>
        <v>4760</v>
      </c>
      <c r="V1784" s="1"/>
      <c r="W1784" s="1">
        <v>2015</v>
      </c>
      <c r="X1784" s="20"/>
    </row>
    <row r="1785" spans="1:24" s="133" customFormat="1" ht="76.5" customHeight="1" outlineLevel="1" x14ac:dyDescent="0.2">
      <c r="A1785" s="1" t="s">
        <v>2606</v>
      </c>
      <c r="B1785" s="24" t="s">
        <v>5277</v>
      </c>
      <c r="C1785" s="4" t="s">
        <v>1006</v>
      </c>
      <c r="D1785" s="4" t="s">
        <v>1007</v>
      </c>
      <c r="E1785" s="4" t="s">
        <v>6527</v>
      </c>
      <c r="F1785" s="4" t="s">
        <v>1009</v>
      </c>
      <c r="G1785" s="4" t="s">
        <v>1888</v>
      </c>
      <c r="H1785" s="22">
        <v>0</v>
      </c>
      <c r="I1785" s="4">
        <v>710000000</v>
      </c>
      <c r="J1785" s="4" t="s">
        <v>1931</v>
      </c>
      <c r="K1785" s="4" t="s">
        <v>5297</v>
      </c>
      <c r="L1785" s="7" t="s">
        <v>1940</v>
      </c>
      <c r="M1785" s="8" t="s">
        <v>3195</v>
      </c>
      <c r="N1785" s="4" t="s">
        <v>1890</v>
      </c>
      <c r="O1785" s="8" t="s">
        <v>1935</v>
      </c>
      <c r="P1785" s="1" t="s">
        <v>3010</v>
      </c>
      <c r="Q1785" s="4" t="s">
        <v>5142</v>
      </c>
      <c r="R1785" s="10">
        <v>80</v>
      </c>
      <c r="S1785" s="10">
        <v>240</v>
      </c>
      <c r="T1785" s="10">
        <f t="shared" si="880"/>
        <v>19200</v>
      </c>
      <c r="U1785" s="10">
        <f t="shared" si="881"/>
        <v>21504.000000000004</v>
      </c>
      <c r="V1785" s="1"/>
      <c r="W1785" s="1">
        <v>2015</v>
      </c>
      <c r="X1785" s="20"/>
    </row>
    <row r="1786" spans="1:24" s="133" customFormat="1" ht="76.5" customHeight="1" outlineLevel="1" x14ac:dyDescent="0.2">
      <c r="A1786" s="1" t="s">
        <v>2607</v>
      </c>
      <c r="B1786" s="24" t="s">
        <v>5277</v>
      </c>
      <c r="C1786" s="4" t="s">
        <v>1006</v>
      </c>
      <c r="D1786" s="4" t="s">
        <v>1007</v>
      </c>
      <c r="E1786" s="4" t="s">
        <v>6527</v>
      </c>
      <c r="F1786" s="4" t="s">
        <v>1010</v>
      </c>
      <c r="G1786" s="4" t="s">
        <v>1888</v>
      </c>
      <c r="H1786" s="22">
        <v>0</v>
      </c>
      <c r="I1786" s="4">
        <v>710000000</v>
      </c>
      <c r="J1786" s="4" t="s">
        <v>1931</v>
      </c>
      <c r="K1786" s="4" t="s">
        <v>5297</v>
      </c>
      <c r="L1786" s="7" t="s">
        <v>1940</v>
      </c>
      <c r="M1786" s="8" t="s">
        <v>3195</v>
      </c>
      <c r="N1786" s="4" t="s">
        <v>1890</v>
      </c>
      <c r="O1786" s="8" t="s">
        <v>1935</v>
      </c>
      <c r="P1786" s="1" t="s">
        <v>3010</v>
      </c>
      <c r="Q1786" s="4" t="s">
        <v>5142</v>
      </c>
      <c r="R1786" s="10">
        <v>50</v>
      </c>
      <c r="S1786" s="10">
        <v>275</v>
      </c>
      <c r="T1786" s="10">
        <f t="shared" si="880"/>
        <v>13750</v>
      </c>
      <c r="U1786" s="10">
        <f t="shared" si="881"/>
        <v>15400.000000000002</v>
      </c>
      <c r="V1786" s="1"/>
      <c r="W1786" s="1">
        <v>2015</v>
      </c>
      <c r="X1786" s="20"/>
    </row>
    <row r="1787" spans="1:24" s="133" customFormat="1" ht="76.5" customHeight="1" outlineLevel="1" x14ac:dyDescent="0.2">
      <c r="A1787" s="1" t="s">
        <v>2608</v>
      </c>
      <c r="B1787" s="24" t="s">
        <v>5277</v>
      </c>
      <c r="C1787" s="4" t="s">
        <v>1006</v>
      </c>
      <c r="D1787" s="4" t="s">
        <v>1007</v>
      </c>
      <c r="E1787" s="4" t="s">
        <v>6527</v>
      </c>
      <c r="F1787" s="4" t="s">
        <v>1011</v>
      </c>
      <c r="G1787" s="4" t="s">
        <v>1888</v>
      </c>
      <c r="H1787" s="22">
        <v>0</v>
      </c>
      <c r="I1787" s="4">
        <v>710000000</v>
      </c>
      <c r="J1787" s="4" t="s">
        <v>1931</v>
      </c>
      <c r="K1787" s="4" t="s">
        <v>5297</v>
      </c>
      <c r="L1787" s="7" t="s">
        <v>1940</v>
      </c>
      <c r="M1787" s="8" t="s">
        <v>3195</v>
      </c>
      <c r="N1787" s="4" t="s">
        <v>1890</v>
      </c>
      <c r="O1787" s="8" t="s">
        <v>1935</v>
      </c>
      <c r="P1787" s="1" t="s">
        <v>3010</v>
      </c>
      <c r="Q1787" s="4" t="s">
        <v>5142</v>
      </c>
      <c r="R1787" s="10">
        <v>100</v>
      </c>
      <c r="S1787" s="10">
        <v>75</v>
      </c>
      <c r="T1787" s="10">
        <f t="shared" si="880"/>
        <v>7500</v>
      </c>
      <c r="U1787" s="10">
        <f t="shared" si="881"/>
        <v>8400</v>
      </c>
      <c r="V1787" s="1"/>
      <c r="W1787" s="1">
        <v>2015</v>
      </c>
      <c r="X1787" s="20"/>
    </row>
    <row r="1788" spans="1:24" s="133" customFormat="1" ht="76.5" customHeight="1" outlineLevel="1" x14ac:dyDescent="0.2">
      <c r="A1788" s="1" t="s">
        <v>2609</v>
      </c>
      <c r="B1788" s="24" t="s">
        <v>5277</v>
      </c>
      <c r="C1788" s="4" t="s">
        <v>1012</v>
      </c>
      <c r="D1788" s="4" t="s">
        <v>1013</v>
      </c>
      <c r="E1788" s="4" t="s">
        <v>1014</v>
      </c>
      <c r="F1788" s="4" t="s">
        <v>1015</v>
      </c>
      <c r="G1788" s="4" t="s">
        <v>1888</v>
      </c>
      <c r="H1788" s="22">
        <v>0</v>
      </c>
      <c r="I1788" s="4">
        <v>710000000</v>
      </c>
      <c r="J1788" s="4" t="s">
        <v>1931</v>
      </c>
      <c r="K1788" s="4" t="s">
        <v>5297</v>
      </c>
      <c r="L1788" s="7" t="s">
        <v>1940</v>
      </c>
      <c r="M1788" s="8" t="s">
        <v>3195</v>
      </c>
      <c r="N1788" s="4" t="s">
        <v>1890</v>
      </c>
      <c r="O1788" s="8" t="s">
        <v>1935</v>
      </c>
      <c r="P1788" s="1" t="s">
        <v>3010</v>
      </c>
      <c r="Q1788" s="4" t="s">
        <v>5142</v>
      </c>
      <c r="R1788" s="10">
        <v>200</v>
      </c>
      <c r="S1788" s="10">
        <v>60</v>
      </c>
      <c r="T1788" s="10">
        <v>0</v>
      </c>
      <c r="U1788" s="10">
        <f t="shared" si="881"/>
        <v>0</v>
      </c>
      <c r="V1788" s="1"/>
      <c r="W1788" s="1">
        <v>2015</v>
      </c>
      <c r="X1788" s="20" t="s">
        <v>6562</v>
      </c>
    </row>
    <row r="1789" spans="1:24" s="133" customFormat="1" ht="76.5" customHeight="1" outlineLevel="1" x14ac:dyDescent="0.2">
      <c r="A1789" s="1" t="s">
        <v>6647</v>
      </c>
      <c r="B1789" s="24" t="s">
        <v>5277</v>
      </c>
      <c r="C1789" s="4" t="s">
        <v>1012</v>
      </c>
      <c r="D1789" s="4" t="s">
        <v>1013</v>
      </c>
      <c r="E1789" s="4" t="s">
        <v>1014</v>
      </c>
      <c r="F1789" s="4" t="s">
        <v>1015</v>
      </c>
      <c r="G1789" s="4" t="s">
        <v>1888</v>
      </c>
      <c r="H1789" s="22">
        <v>0</v>
      </c>
      <c r="I1789" s="4">
        <v>710000000</v>
      </c>
      <c r="J1789" s="4" t="s">
        <v>1931</v>
      </c>
      <c r="K1789" s="4" t="s">
        <v>5297</v>
      </c>
      <c r="L1789" s="7" t="s">
        <v>1940</v>
      </c>
      <c r="M1789" s="8" t="s">
        <v>3195</v>
      </c>
      <c r="N1789" s="4" t="s">
        <v>1890</v>
      </c>
      <c r="O1789" s="8" t="s">
        <v>1935</v>
      </c>
      <c r="P1789" s="1" t="s">
        <v>3010</v>
      </c>
      <c r="Q1789" s="4" t="s">
        <v>5142</v>
      </c>
      <c r="R1789" s="10">
        <f>200-50</f>
        <v>150</v>
      </c>
      <c r="S1789" s="10">
        <v>60</v>
      </c>
      <c r="T1789" s="10">
        <f t="shared" si="880"/>
        <v>9000</v>
      </c>
      <c r="U1789" s="10">
        <f t="shared" si="881"/>
        <v>10080.000000000002</v>
      </c>
      <c r="V1789" s="1"/>
      <c r="W1789" s="1">
        <v>2015</v>
      </c>
      <c r="X1789" s="20"/>
    </row>
    <row r="1790" spans="1:24" s="133" customFormat="1" ht="76.5" customHeight="1" outlineLevel="1" x14ac:dyDescent="0.2">
      <c r="A1790" s="1" t="s">
        <v>2610</v>
      </c>
      <c r="B1790" s="24" t="s">
        <v>5277</v>
      </c>
      <c r="C1790" s="4" t="s">
        <v>1877</v>
      </c>
      <c r="D1790" s="4" t="s">
        <v>6133</v>
      </c>
      <c r="E1790" s="4" t="s">
        <v>6144</v>
      </c>
      <c r="F1790" s="4"/>
      <c r="G1790" s="4" t="s">
        <v>1888</v>
      </c>
      <c r="H1790" s="22">
        <v>0</v>
      </c>
      <c r="I1790" s="4">
        <v>710000000</v>
      </c>
      <c r="J1790" s="4" t="s">
        <v>1931</v>
      </c>
      <c r="K1790" s="4" t="s">
        <v>5297</v>
      </c>
      <c r="L1790" s="7" t="s">
        <v>1940</v>
      </c>
      <c r="M1790" s="8" t="s">
        <v>3195</v>
      </c>
      <c r="N1790" s="4" t="s">
        <v>1890</v>
      </c>
      <c r="O1790" s="8" t="s">
        <v>1935</v>
      </c>
      <c r="P1790" s="8">
        <v>796</v>
      </c>
      <c r="Q1790" s="8" t="s">
        <v>3196</v>
      </c>
      <c r="R1790" s="10">
        <v>18</v>
      </c>
      <c r="S1790" s="10">
        <v>621</v>
      </c>
      <c r="T1790" s="10">
        <f t="shared" si="880"/>
        <v>11178</v>
      </c>
      <c r="U1790" s="10">
        <f t="shared" si="881"/>
        <v>12519.36</v>
      </c>
      <c r="V1790" s="1"/>
      <c r="W1790" s="1">
        <v>2015</v>
      </c>
      <c r="X1790" s="20"/>
    </row>
    <row r="1791" spans="1:24" s="133" customFormat="1" ht="76.5" customHeight="1" outlineLevel="1" x14ac:dyDescent="0.2">
      <c r="A1791" s="1" t="s">
        <v>2611</v>
      </c>
      <c r="B1791" s="24" t="s">
        <v>5277</v>
      </c>
      <c r="C1791" s="4" t="s">
        <v>1016</v>
      </c>
      <c r="D1791" s="4" t="s">
        <v>1860</v>
      </c>
      <c r="E1791" s="4" t="s">
        <v>1017</v>
      </c>
      <c r="F1791" s="4" t="s">
        <v>1018</v>
      </c>
      <c r="G1791" s="4" t="s">
        <v>1888</v>
      </c>
      <c r="H1791" s="22">
        <v>0</v>
      </c>
      <c r="I1791" s="4">
        <v>710000000</v>
      </c>
      <c r="J1791" s="4" t="s">
        <v>1931</v>
      </c>
      <c r="K1791" s="4" t="s">
        <v>5297</v>
      </c>
      <c r="L1791" s="7" t="s">
        <v>1940</v>
      </c>
      <c r="M1791" s="8" t="s">
        <v>3195</v>
      </c>
      <c r="N1791" s="4" t="s">
        <v>1890</v>
      </c>
      <c r="O1791" s="8" t="s">
        <v>1935</v>
      </c>
      <c r="P1791" s="8">
        <v>796</v>
      </c>
      <c r="Q1791" s="8" t="s">
        <v>3196</v>
      </c>
      <c r="R1791" s="10">
        <v>301</v>
      </c>
      <c r="S1791" s="10">
        <v>35</v>
      </c>
      <c r="T1791" s="10">
        <v>0</v>
      </c>
      <c r="U1791" s="10">
        <f t="shared" si="881"/>
        <v>0</v>
      </c>
      <c r="V1791" s="1"/>
      <c r="W1791" s="1">
        <v>2015</v>
      </c>
      <c r="X1791" s="20" t="s">
        <v>6562</v>
      </c>
    </row>
    <row r="1792" spans="1:24" s="133" customFormat="1" ht="76.5" customHeight="1" outlineLevel="1" x14ac:dyDescent="0.2">
      <c r="A1792" s="1" t="s">
        <v>6648</v>
      </c>
      <c r="B1792" s="24" t="s">
        <v>5277</v>
      </c>
      <c r="C1792" s="4" t="s">
        <v>1016</v>
      </c>
      <c r="D1792" s="4" t="s">
        <v>1860</v>
      </c>
      <c r="E1792" s="4" t="s">
        <v>1017</v>
      </c>
      <c r="F1792" s="4" t="s">
        <v>1018</v>
      </c>
      <c r="G1792" s="4" t="s">
        <v>1888</v>
      </c>
      <c r="H1792" s="22">
        <v>0</v>
      </c>
      <c r="I1792" s="4">
        <v>710000000</v>
      </c>
      <c r="J1792" s="4" t="s">
        <v>1931</v>
      </c>
      <c r="K1792" s="4" t="s">
        <v>5297</v>
      </c>
      <c r="L1792" s="7" t="s">
        <v>1940</v>
      </c>
      <c r="M1792" s="8" t="s">
        <v>3195</v>
      </c>
      <c r="N1792" s="4" t="s">
        <v>1890</v>
      </c>
      <c r="O1792" s="8" t="s">
        <v>1935</v>
      </c>
      <c r="P1792" s="8">
        <v>796</v>
      </c>
      <c r="Q1792" s="8" t="s">
        <v>3196</v>
      </c>
      <c r="R1792" s="10">
        <f>301-51</f>
        <v>250</v>
      </c>
      <c r="S1792" s="10">
        <v>35</v>
      </c>
      <c r="T1792" s="10">
        <f t="shared" ref="T1792:T1794" si="890">S1792*R1792</f>
        <v>8750</v>
      </c>
      <c r="U1792" s="10">
        <f t="shared" si="881"/>
        <v>9800.0000000000018</v>
      </c>
      <c r="V1792" s="1"/>
      <c r="W1792" s="1">
        <v>2015</v>
      </c>
      <c r="X1792" s="20"/>
    </row>
    <row r="1793" spans="1:25" s="133" customFormat="1" ht="76.5" customHeight="1" outlineLevel="1" x14ac:dyDescent="0.2">
      <c r="A1793" s="1" t="s">
        <v>2612</v>
      </c>
      <c r="B1793" s="24" t="s">
        <v>5277</v>
      </c>
      <c r="C1793" s="4" t="s">
        <v>1019</v>
      </c>
      <c r="D1793" s="4" t="s">
        <v>1020</v>
      </c>
      <c r="E1793" s="4" t="s">
        <v>1021</v>
      </c>
      <c r="F1793" s="4" t="s">
        <v>1022</v>
      </c>
      <c r="G1793" s="4" t="s">
        <v>1888</v>
      </c>
      <c r="H1793" s="22">
        <v>0</v>
      </c>
      <c r="I1793" s="4">
        <v>710000000</v>
      </c>
      <c r="J1793" s="4" t="s">
        <v>1931</v>
      </c>
      <c r="K1793" s="4" t="s">
        <v>5297</v>
      </c>
      <c r="L1793" s="7" t="s">
        <v>1940</v>
      </c>
      <c r="M1793" s="8" t="s">
        <v>3195</v>
      </c>
      <c r="N1793" s="4" t="s">
        <v>1890</v>
      </c>
      <c r="O1793" s="8" t="s">
        <v>1935</v>
      </c>
      <c r="P1793" s="8">
        <v>796</v>
      </c>
      <c r="Q1793" s="8" t="s">
        <v>3196</v>
      </c>
      <c r="R1793" s="10">
        <v>200</v>
      </c>
      <c r="S1793" s="10">
        <v>65</v>
      </c>
      <c r="T1793" s="10">
        <v>0</v>
      </c>
      <c r="U1793" s="10">
        <f t="shared" si="881"/>
        <v>0</v>
      </c>
      <c r="V1793" s="1"/>
      <c r="W1793" s="1">
        <v>2015</v>
      </c>
      <c r="X1793" s="20" t="s">
        <v>6562</v>
      </c>
    </row>
    <row r="1794" spans="1:25" s="133" customFormat="1" ht="76.5" customHeight="1" outlineLevel="1" x14ac:dyDescent="0.2">
      <c r="A1794" s="1" t="s">
        <v>6649</v>
      </c>
      <c r="B1794" s="24" t="s">
        <v>5277</v>
      </c>
      <c r="C1794" s="4" t="s">
        <v>1019</v>
      </c>
      <c r="D1794" s="4" t="s">
        <v>1020</v>
      </c>
      <c r="E1794" s="4" t="s">
        <v>1021</v>
      </c>
      <c r="F1794" s="4" t="s">
        <v>1022</v>
      </c>
      <c r="G1794" s="4" t="s">
        <v>1888</v>
      </c>
      <c r="H1794" s="22">
        <v>0</v>
      </c>
      <c r="I1794" s="4">
        <v>710000000</v>
      </c>
      <c r="J1794" s="4" t="s">
        <v>1931</v>
      </c>
      <c r="K1794" s="4" t="s">
        <v>5297</v>
      </c>
      <c r="L1794" s="7" t="s">
        <v>1940</v>
      </c>
      <c r="M1794" s="8" t="s">
        <v>3195</v>
      </c>
      <c r="N1794" s="4" t="s">
        <v>1890</v>
      </c>
      <c r="O1794" s="8" t="s">
        <v>1935</v>
      </c>
      <c r="P1794" s="8">
        <v>796</v>
      </c>
      <c r="Q1794" s="8" t="s">
        <v>3196</v>
      </c>
      <c r="R1794" s="10">
        <f>200-50</f>
        <v>150</v>
      </c>
      <c r="S1794" s="10">
        <v>65</v>
      </c>
      <c r="T1794" s="10">
        <f t="shared" si="890"/>
        <v>9750</v>
      </c>
      <c r="U1794" s="10">
        <f t="shared" si="881"/>
        <v>10920.000000000002</v>
      </c>
      <c r="V1794" s="1"/>
      <c r="W1794" s="1">
        <v>2015</v>
      </c>
      <c r="X1794" s="20"/>
    </row>
    <row r="1795" spans="1:25" s="133" customFormat="1" ht="76.5" customHeight="1" outlineLevel="1" x14ac:dyDescent="0.2">
      <c r="A1795" s="1" t="s">
        <v>2613</v>
      </c>
      <c r="B1795" s="24" t="s">
        <v>5277</v>
      </c>
      <c r="C1795" s="4" t="s">
        <v>1023</v>
      </c>
      <c r="D1795" s="4" t="s">
        <v>6022</v>
      </c>
      <c r="E1795" s="4" t="s">
        <v>1024</v>
      </c>
      <c r="F1795" s="4" t="s">
        <v>1025</v>
      </c>
      <c r="G1795" s="4" t="s">
        <v>1888</v>
      </c>
      <c r="H1795" s="22">
        <v>0</v>
      </c>
      <c r="I1795" s="4">
        <v>710000000</v>
      </c>
      <c r="J1795" s="4" t="s">
        <v>1931</v>
      </c>
      <c r="K1795" s="4" t="s">
        <v>5297</v>
      </c>
      <c r="L1795" s="7" t="s">
        <v>1940</v>
      </c>
      <c r="M1795" s="8" t="s">
        <v>3195</v>
      </c>
      <c r="N1795" s="4" t="s">
        <v>1890</v>
      </c>
      <c r="O1795" s="8" t="s">
        <v>1935</v>
      </c>
      <c r="P1795" s="8">
        <v>796</v>
      </c>
      <c r="Q1795" s="8" t="s">
        <v>3196</v>
      </c>
      <c r="R1795" s="10">
        <v>49</v>
      </c>
      <c r="S1795" s="10">
        <v>6</v>
      </c>
      <c r="T1795" s="10">
        <f t="shared" si="880"/>
        <v>294</v>
      </c>
      <c r="U1795" s="10">
        <f t="shared" si="881"/>
        <v>329.28000000000003</v>
      </c>
      <c r="V1795" s="1"/>
      <c r="W1795" s="1">
        <v>2015</v>
      </c>
      <c r="X1795" s="20"/>
    </row>
    <row r="1796" spans="1:25" s="133" customFormat="1" ht="76.5" customHeight="1" outlineLevel="1" x14ac:dyDescent="0.2">
      <c r="A1796" s="1" t="s">
        <v>2614</v>
      </c>
      <c r="B1796" s="24" t="s">
        <v>5277</v>
      </c>
      <c r="C1796" s="4" t="s">
        <v>6528</v>
      </c>
      <c r="D1796" s="4" t="s">
        <v>6529</v>
      </c>
      <c r="E1796" s="4" t="s">
        <v>6530</v>
      </c>
      <c r="F1796" s="4"/>
      <c r="G1796" s="4" t="s">
        <v>1888</v>
      </c>
      <c r="H1796" s="22">
        <v>0</v>
      </c>
      <c r="I1796" s="4">
        <v>710000000</v>
      </c>
      <c r="J1796" s="4" t="s">
        <v>1931</v>
      </c>
      <c r="K1796" s="4" t="s">
        <v>5297</v>
      </c>
      <c r="L1796" s="7" t="s">
        <v>1940</v>
      </c>
      <c r="M1796" s="8" t="s">
        <v>3195</v>
      </c>
      <c r="N1796" s="4" t="s">
        <v>1890</v>
      </c>
      <c r="O1796" s="8" t="s">
        <v>1935</v>
      </c>
      <c r="P1796" s="8">
        <v>796</v>
      </c>
      <c r="Q1796" s="8" t="s">
        <v>3196</v>
      </c>
      <c r="R1796" s="10">
        <v>12</v>
      </c>
      <c r="S1796" s="10">
        <v>520</v>
      </c>
      <c r="T1796" s="10">
        <f t="shared" si="880"/>
        <v>6240</v>
      </c>
      <c r="U1796" s="10">
        <f t="shared" si="881"/>
        <v>6988.8000000000011</v>
      </c>
      <c r="V1796" s="1"/>
      <c r="W1796" s="1">
        <v>2015</v>
      </c>
      <c r="X1796" s="20"/>
    </row>
    <row r="1797" spans="1:25" s="133" customFormat="1" ht="76.5" customHeight="1" outlineLevel="1" x14ac:dyDescent="0.2">
      <c r="A1797" s="1" t="s">
        <v>2615</v>
      </c>
      <c r="B1797" s="24" t="s">
        <v>5277</v>
      </c>
      <c r="C1797" s="4" t="s">
        <v>6531</v>
      </c>
      <c r="D1797" s="4" t="s">
        <v>1026</v>
      </c>
      <c r="E1797" s="4" t="s">
        <v>6532</v>
      </c>
      <c r="F1797" s="4"/>
      <c r="G1797" s="4" t="s">
        <v>1888</v>
      </c>
      <c r="H1797" s="22">
        <v>0</v>
      </c>
      <c r="I1797" s="4">
        <v>710000000</v>
      </c>
      <c r="J1797" s="4" t="s">
        <v>1931</v>
      </c>
      <c r="K1797" s="4" t="s">
        <v>5297</v>
      </c>
      <c r="L1797" s="7" t="s">
        <v>1940</v>
      </c>
      <c r="M1797" s="8" t="s">
        <v>3195</v>
      </c>
      <c r="N1797" s="4" t="s">
        <v>1890</v>
      </c>
      <c r="O1797" s="8" t="s">
        <v>1935</v>
      </c>
      <c r="P1797" s="8">
        <v>796</v>
      </c>
      <c r="Q1797" s="8" t="s">
        <v>3196</v>
      </c>
      <c r="R1797" s="10">
        <v>6</v>
      </c>
      <c r="S1797" s="10">
        <v>435</v>
      </c>
      <c r="T1797" s="10">
        <f t="shared" si="880"/>
        <v>2610</v>
      </c>
      <c r="U1797" s="10">
        <f t="shared" si="881"/>
        <v>2923.2000000000003</v>
      </c>
      <c r="V1797" s="1"/>
      <c r="W1797" s="1">
        <v>2015</v>
      </c>
      <c r="X1797" s="20"/>
    </row>
    <row r="1798" spans="1:25" s="133" customFormat="1" ht="76.5" customHeight="1" outlineLevel="1" x14ac:dyDescent="0.2">
      <c r="A1798" s="1" t="s">
        <v>2616</v>
      </c>
      <c r="B1798" s="16" t="s">
        <v>5277</v>
      </c>
      <c r="C1798" s="4" t="s">
        <v>3725</v>
      </c>
      <c r="D1798" s="4" t="s">
        <v>830</v>
      </c>
      <c r="E1798" s="4" t="s">
        <v>6159</v>
      </c>
      <c r="F1798" s="4"/>
      <c r="G1798" s="4" t="s">
        <v>1888</v>
      </c>
      <c r="H1798" s="22">
        <v>0</v>
      </c>
      <c r="I1798" s="4">
        <v>710000000</v>
      </c>
      <c r="J1798" s="4" t="s">
        <v>1931</v>
      </c>
      <c r="K1798" s="4" t="s">
        <v>5297</v>
      </c>
      <c r="L1798" s="4" t="s">
        <v>1027</v>
      </c>
      <c r="M1798" s="8" t="s">
        <v>3195</v>
      </c>
      <c r="N1798" s="4" t="s">
        <v>1890</v>
      </c>
      <c r="O1798" s="8" t="s">
        <v>1935</v>
      </c>
      <c r="P1798" s="8">
        <v>796</v>
      </c>
      <c r="Q1798" s="8" t="s">
        <v>3196</v>
      </c>
      <c r="R1798" s="10">
        <v>21</v>
      </c>
      <c r="S1798" s="10">
        <v>55</v>
      </c>
      <c r="T1798" s="10">
        <v>0</v>
      </c>
      <c r="U1798" s="10">
        <f t="shared" si="881"/>
        <v>0</v>
      </c>
      <c r="V1798" s="4"/>
      <c r="W1798" s="1">
        <v>2015</v>
      </c>
      <c r="X1798" s="66">
        <v>11</v>
      </c>
      <c r="Y1798" s="217"/>
    </row>
    <row r="1799" spans="1:25" s="133" customFormat="1" ht="76.5" customHeight="1" outlineLevel="1" x14ac:dyDescent="0.2">
      <c r="A1799" s="1" t="s">
        <v>8295</v>
      </c>
      <c r="B1799" s="16" t="s">
        <v>5277</v>
      </c>
      <c r="C1799" s="4" t="s">
        <v>3725</v>
      </c>
      <c r="D1799" s="4" t="s">
        <v>830</v>
      </c>
      <c r="E1799" s="4" t="s">
        <v>6159</v>
      </c>
      <c r="F1799" s="4"/>
      <c r="G1799" s="4" t="s">
        <v>1888</v>
      </c>
      <c r="H1799" s="22">
        <v>0</v>
      </c>
      <c r="I1799" s="4">
        <v>710000000</v>
      </c>
      <c r="J1799" s="4" t="s">
        <v>1931</v>
      </c>
      <c r="K1799" s="4" t="s">
        <v>756</v>
      </c>
      <c r="L1799" s="4" t="s">
        <v>1027</v>
      </c>
      <c r="M1799" s="8" t="s">
        <v>3195</v>
      </c>
      <c r="N1799" s="4" t="s">
        <v>1890</v>
      </c>
      <c r="O1799" s="8" t="s">
        <v>1935</v>
      </c>
      <c r="P1799" s="8">
        <v>796</v>
      </c>
      <c r="Q1799" s="8" t="s">
        <v>3196</v>
      </c>
      <c r="R1799" s="10">
        <v>21</v>
      </c>
      <c r="S1799" s="10">
        <v>55</v>
      </c>
      <c r="T1799" s="10">
        <f t="shared" ref="T1799" si="891">S1799*R1799</f>
        <v>1155</v>
      </c>
      <c r="U1799" s="10">
        <f t="shared" ref="U1799" si="892">T1799*1.12</f>
        <v>1293.6000000000001</v>
      </c>
      <c r="V1799" s="4"/>
      <c r="W1799" s="1">
        <v>2015</v>
      </c>
      <c r="X1799" s="67"/>
      <c r="Y1799" s="217"/>
    </row>
    <row r="1800" spans="1:25" s="133" customFormat="1" ht="76.5" customHeight="1" outlineLevel="1" x14ac:dyDescent="0.2">
      <c r="A1800" s="1" t="s">
        <v>2617</v>
      </c>
      <c r="B1800" s="16" t="s">
        <v>5277</v>
      </c>
      <c r="C1800" s="4" t="s">
        <v>1844</v>
      </c>
      <c r="D1800" s="4" t="s">
        <v>830</v>
      </c>
      <c r="E1800" s="4" t="s">
        <v>6161</v>
      </c>
      <c r="F1800" s="4"/>
      <c r="G1800" s="4" t="s">
        <v>1888</v>
      </c>
      <c r="H1800" s="22">
        <v>0</v>
      </c>
      <c r="I1800" s="4">
        <v>710000000</v>
      </c>
      <c r="J1800" s="4" t="s">
        <v>1931</v>
      </c>
      <c r="K1800" s="4" t="s">
        <v>5297</v>
      </c>
      <c r="L1800" s="4" t="s">
        <v>1027</v>
      </c>
      <c r="M1800" s="8" t="s">
        <v>3195</v>
      </c>
      <c r="N1800" s="4" t="s">
        <v>1890</v>
      </c>
      <c r="O1800" s="8" t="s">
        <v>1935</v>
      </c>
      <c r="P1800" s="8">
        <v>796</v>
      </c>
      <c r="Q1800" s="8" t="s">
        <v>3196</v>
      </c>
      <c r="R1800" s="10">
        <v>10</v>
      </c>
      <c r="S1800" s="10">
        <v>65</v>
      </c>
      <c r="T1800" s="10">
        <v>0</v>
      </c>
      <c r="U1800" s="10">
        <f t="shared" si="881"/>
        <v>0</v>
      </c>
      <c r="V1800" s="4"/>
      <c r="W1800" s="1">
        <v>2015</v>
      </c>
      <c r="X1800" s="66">
        <v>11</v>
      </c>
      <c r="Y1800" s="217"/>
    </row>
    <row r="1801" spans="1:25" s="133" customFormat="1" ht="76.5" customHeight="1" outlineLevel="1" x14ac:dyDescent="0.2">
      <c r="A1801" s="1" t="s">
        <v>8296</v>
      </c>
      <c r="B1801" s="16" t="s">
        <v>5277</v>
      </c>
      <c r="C1801" s="4" t="s">
        <v>1844</v>
      </c>
      <c r="D1801" s="4" t="s">
        <v>830</v>
      </c>
      <c r="E1801" s="4" t="s">
        <v>6161</v>
      </c>
      <c r="F1801" s="4"/>
      <c r="G1801" s="4" t="s">
        <v>1888</v>
      </c>
      <c r="H1801" s="22">
        <v>0</v>
      </c>
      <c r="I1801" s="4">
        <v>710000000</v>
      </c>
      <c r="J1801" s="4" t="s">
        <v>1931</v>
      </c>
      <c r="K1801" s="4" t="s">
        <v>756</v>
      </c>
      <c r="L1801" s="4" t="s">
        <v>1027</v>
      </c>
      <c r="M1801" s="8" t="s">
        <v>3195</v>
      </c>
      <c r="N1801" s="4" t="s">
        <v>1890</v>
      </c>
      <c r="O1801" s="8" t="s">
        <v>1935</v>
      </c>
      <c r="P1801" s="8">
        <v>796</v>
      </c>
      <c r="Q1801" s="8" t="s">
        <v>3196</v>
      </c>
      <c r="R1801" s="10">
        <v>10</v>
      </c>
      <c r="S1801" s="10">
        <v>65</v>
      </c>
      <c r="T1801" s="10">
        <f t="shared" ref="T1801" si="893">S1801*R1801</f>
        <v>650</v>
      </c>
      <c r="U1801" s="10">
        <f t="shared" ref="U1801" si="894">T1801*1.12</f>
        <v>728.00000000000011</v>
      </c>
      <c r="V1801" s="4"/>
      <c r="W1801" s="1">
        <v>2015</v>
      </c>
      <c r="X1801" s="67"/>
      <c r="Y1801" s="217"/>
    </row>
    <row r="1802" spans="1:25" s="133" customFormat="1" ht="76.5" customHeight="1" outlineLevel="1" x14ac:dyDescent="0.2">
      <c r="A1802" s="1" t="s">
        <v>2618</v>
      </c>
      <c r="B1802" s="16" t="s">
        <v>5277</v>
      </c>
      <c r="C1802" s="4" t="s">
        <v>1028</v>
      </c>
      <c r="D1802" s="4" t="s">
        <v>830</v>
      </c>
      <c r="E1802" s="4" t="s">
        <v>1029</v>
      </c>
      <c r="F1802" s="4"/>
      <c r="G1802" s="4" t="s">
        <v>1888</v>
      </c>
      <c r="H1802" s="22">
        <v>0</v>
      </c>
      <c r="I1802" s="4">
        <v>710000000</v>
      </c>
      <c r="J1802" s="4" t="s">
        <v>1931</v>
      </c>
      <c r="K1802" s="4" t="s">
        <v>5297</v>
      </c>
      <c r="L1802" s="4" t="s">
        <v>1027</v>
      </c>
      <c r="M1802" s="8" t="s">
        <v>3195</v>
      </c>
      <c r="N1802" s="4" t="s">
        <v>1890</v>
      </c>
      <c r="O1802" s="8" t="s">
        <v>1935</v>
      </c>
      <c r="P1802" s="8">
        <v>796</v>
      </c>
      <c r="Q1802" s="8" t="s">
        <v>3196</v>
      </c>
      <c r="R1802" s="10">
        <v>5</v>
      </c>
      <c r="S1802" s="10">
        <v>500</v>
      </c>
      <c r="T1802" s="10">
        <v>0</v>
      </c>
      <c r="U1802" s="10">
        <f t="shared" si="881"/>
        <v>0</v>
      </c>
      <c r="V1802" s="4"/>
      <c r="W1802" s="1">
        <v>2015</v>
      </c>
      <c r="X1802" s="66">
        <v>11</v>
      </c>
      <c r="Y1802" s="217"/>
    </row>
    <row r="1803" spans="1:25" s="133" customFormat="1" ht="76.5" customHeight="1" outlineLevel="1" x14ac:dyDescent="0.2">
      <c r="A1803" s="1" t="s">
        <v>8297</v>
      </c>
      <c r="B1803" s="16" t="s">
        <v>5277</v>
      </c>
      <c r="C1803" s="4" t="s">
        <v>1028</v>
      </c>
      <c r="D1803" s="4" t="s">
        <v>830</v>
      </c>
      <c r="E1803" s="4" t="s">
        <v>1029</v>
      </c>
      <c r="F1803" s="4"/>
      <c r="G1803" s="4" t="s">
        <v>1888</v>
      </c>
      <c r="H1803" s="22">
        <v>0</v>
      </c>
      <c r="I1803" s="4">
        <v>710000000</v>
      </c>
      <c r="J1803" s="4" t="s">
        <v>1931</v>
      </c>
      <c r="K1803" s="4" t="s">
        <v>756</v>
      </c>
      <c r="L1803" s="4" t="s">
        <v>1027</v>
      </c>
      <c r="M1803" s="8" t="s">
        <v>3195</v>
      </c>
      <c r="N1803" s="4" t="s">
        <v>1890</v>
      </c>
      <c r="O1803" s="8" t="s">
        <v>1935</v>
      </c>
      <c r="P1803" s="8">
        <v>796</v>
      </c>
      <c r="Q1803" s="8" t="s">
        <v>3196</v>
      </c>
      <c r="R1803" s="10">
        <v>5</v>
      </c>
      <c r="S1803" s="10">
        <v>500</v>
      </c>
      <c r="T1803" s="10">
        <f t="shared" ref="T1803" si="895">S1803*R1803</f>
        <v>2500</v>
      </c>
      <c r="U1803" s="10">
        <f t="shared" ref="U1803" si="896">T1803*1.12</f>
        <v>2800.0000000000005</v>
      </c>
      <c r="V1803" s="4"/>
      <c r="W1803" s="1">
        <v>2015</v>
      </c>
      <c r="X1803" s="67"/>
      <c r="Y1803" s="217"/>
    </row>
    <row r="1804" spans="1:25" s="133" customFormat="1" ht="76.5" customHeight="1" outlineLevel="1" x14ac:dyDescent="0.2">
      <c r="A1804" s="1" t="s">
        <v>2619</v>
      </c>
      <c r="B1804" s="16" t="s">
        <v>5277</v>
      </c>
      <c r="C1804" s="4" t="s">
        <v>1030</v>
      </c>
      <c r="D1804" s="4" t="s">
        <v>830</v>
      </c>
      <c r="E1804" s="4" t="s">
        <v>1031</v>
      </c>
      <c r="F1804" s="4" t="s">
        <v>1032</v>
      </c>
      <c r="G1804" s="4" t="s">
        <v>1888</v>
      </c>
      <c r="H1804" s="22">
        <v>0</v>
      </c>
      <c r="I1804" s="4">
        <v>710000000</v>
      </c>
      <c r="J1804" s="4" t="s">
        <v>1931</v>
      </c>
      <c r="K1804" s="4" t="s">
        <v>5297</v>
      </c>
      <c r="L1804" s="4" t="s">
        <v>1027</v>
      </c>
      <c r="M1804" s="8" t="s">
        <v>3195</v>
      </c>
      <c r="N1804" s="4" t="s">
        <v>1890</v>
      </c>
      <c r="O1804" s="8" t="s">
        <v>1935</v>
      </c>
      <c r="P1804" s="8">
        <v>796</v>
      </c>
      <c r="Q1804" s="8" t="s">
        <v>3196</v>
      </c>
      <c r="R1804" s="10">
        <v>2</v>
      </c>
      <c r="S1804" s="10">
        <v>250</v>
      </c>
      <c r="T1804" s="10">
        <v>0</v>
      </c>
      <c r="U1804" s="10">
        <f t="shared" si="881"/>
        <v>0</v>
      </c>
      <c r="V1804" s="4"/>
      <c r="W1804" s="1">
        <v>2015</v>
      </c>
      <c r="X1804" s="66">
        <v>11</v>
      </c>
      <c r="Y1804" s="217"/>
    </row>
    <row r="1805" spans="1:25" s="133" customFormat="1" ht="76.5" customHeight="1" outlineLevel="1" x14ac:dyDescent="0.2">
      <c r="A1805" s="1" t="s">
        <v>8298</v>
      </c>
      <c r="B1805" s="16" t="s">
        <v>5277</v>
      </c>
      <c r="C1805" s="4" t="s">
        <v>1030</v>
      </c>
      <c r="D1805" s="4" t="s">
        <v>830</v>
      </c>
      <c r="E1805" s="4" t="s">
        <v>1031</v>
      </c>
      <c r="F1805" s="4" t="s">
        <v>1032</v>
      </c>
      <c r="G1805" s="4" t="s">
        <v>1888</v>
      </c>
      <c r="H1805" s="22">
        <v>0</v>
      </c>
      <c r="I1805" s="4">
        <v>710000000</v>
      </c>
      <c r="J1805" s="4" t="s">
        <v>1931</v>
      </c>
      <c r="K1805" s="4" t="s">
        <v>756</v>
      </c>
      <c r="L1805" s="4" t="s">
        <v>1027</v>
      </c>
      <c r="M1805" s="8" t="s">
        <v>3195</v>
      </c>
      <c r="N1805" s="4" t="s">
        <v>1890</v>
      </c>
      <c r="O1805" s="8" t="s">
        <v>1935</v>
      </c>
      <c r="P1805" s="8">
        <v>796</v>
      </c>
      <c r="Q1805" s="8" t="s">
        <v>3196</v>
      </c>
      <c r="R1805" s="10">
        <v>2</v>
      </c>
      <c r="S1805" s="10">
        <v>250</v>
      </c>
      <c r="T1805" s="10">
        <f t="shared" ref="T1805" si="897">S1805*R1805</f>
        <v>500</v>
      </c>
      <c r="U1805" s="10">
        <f t="shared" ref="U1805" si="898">T1805*1.12</f>
        <v>560</v>
      </c>
      <c r="V1805" s="4"/>
      <c r="W1805" s="1">
        <v>2015</v>
      </c>
      <c r="X1805" s="67"/>
      <c r="Y1805" s="217"/>
    </row>
    <row r="1806" spans="1:25" s="133" customFormat="1" ht="76.5" customHeight="1" outlineLevel="1" x14ac:dyDescent="0.2">
      <c r="A1806" s="1" t="s">
        <v>2620</v>
      </c>
      <c r="B1806" s="16" t="s">
        <v>5277</v>
      </c>
      <c r="C1806" s="4" t="s">
        <v>1030</v>
      </c>
      <c r="D1806" s="4" t="s">
        <v>830</v>
      </c>
      <c r="E1806" s="4" t="s">
        <v>1031</v>
      </c>
      <c r="F1806" s="4" t="s">
        <v>1033</v>
      </c>
      <c r="G1806" s="4" t="s">
        <v>1888</v>
      </c>
      <c r="H1806" s="22">
        <v>0</v>
      </c>
      <c r="I1806" s="4">
        <v>710000000</v>
      </c>
      <c r="J1806" s="4" t="s">
        <v>1931</v>
      </c>
      <c r="K1806" s="4" t="s">
        <v>5297</v>
      </c>
      <c r="L1806" s="4" t="s">
        <v>1027</v>
      </c>
      <c r="M1806" s="8" t="s">
        <v>3195</v>
      </c>
      <c r="N1806" s="4" t="s">
        <v>1890</v>
      </c>
      <c r="O1806" s="8" t="s">
        <v>1935</v>
      </c>
      <c r="P1806" s="8">
        <v>796</v>
      </c>
      <c r="Q1806" s="8" t="s">
        <v>3196</v>
      </c>
      <c r="R1806" s="10">
        <v>2</v>
      </c>
      <c r="S1806" s="10">
        <v>350</v>
      </c>
      <c r="T1806" s="10">
        <v>0</v>
      </c>
      <c r="U1806" s="10">
        <f t="shared" si="881"/>
        <v>0</v>
      </c>
      <c r="V1806" s="4"/>
      <c r="W1806" s="1">
        <v>2015</v>
      </c>
      <c r="X1806" s="66">
        <v>11</v>
      </c>
      <c r="Y1806" s="217"/>
    </row>
    <row r="1807" spans="1:25" s="133" customFormat="1" ht="76.5" customHeight="1" outlineLevel="1" x14ac:dyDescent="0.2">
      <c r="A1807" s="1" t="s">
        <v>8299</v>
      </c>
      <c r="B1807" s="16" t="s">
        <v>5277</v>
      </c>
      <c r="C1807" s="4" t="s">
        <v>1030</v>
      </c>
      <c r="D1807" s="4" t="s">
        <v>830</v>
      </c>
      <c r="E1807" s="4" t="s">
        <v>1031</v>
      </c>
      <c r="F1807" s="4" t="s">
        <v>1033</v>
      </c>
      <c r="G1807" s="4" t="s">
        <v>1888</v>
      </c>
      <c r="H1807" s="22">
        <v>0</v>
      </c>
      <c r="I1807" s="4">
        <v>710000000</v>
      </c>
      <c r="J1807" s="4" t="s">
        <v>1931</v>
      </c>
      <c r="K1807" s="4" t="s">
        <v>756</v>
      </c>
      <c r="L1807" s="4" t="s">
        <v>1027</v>
      </c>
      <c r="M1807" s="8" t="s">
        <v>3195</v>
      </c>
      <c r="N1807" s="4" t="s">
        <v>1890</v>
      </c>
      <c r="O1807" s="8" t="s">
        <v>1935</v>
      </c>
      <c r="P1807" s="8">
        <v>796</v>
      </c>
      <c r="Q1807" s="8" t="s">
        <v>3196</v>
      </c>
      <c r="R1807" s="10">
        <v>2</v>
      </c>
      <c r="S1807" s="10">
        <v>350</v>
      </c>
      <c r="T1807" s="10">
        <f t="shared" ref="T1807" si="899">S1807*R1807</f>
        <v>700</v>
      </c>
      <c r="U1807" s="10">
        <f t="shared" ref="U1807" si="900">T1807*1.12</f>
        <v>784.00000000000011</v>
      </c>
      <c r="V1807" s="4"/>
      <c r="W1807" s="1">
        <v>2015</v>
      </c>
      <c r="X1807" s="67"/>
      <c r="Y1807" s="217"/>
    </row>
    <row r="1808" spans="1:25" s="133" customFormat="1" ht="76.5" customHeight="1" outlineLevel="1" x14ac:dyDescent="0.2">
      <c r="A1808" s="1" t="s">
        <v>2621</v>
      </c>
      <c r="B1808" s="16" t="s">
        <v>5277</v>
      </c>
      <c r="C1808" s="4" t="s">
        <v>1034</v>
      </c>
      <c r="D1808" s="4" t="s">
        <v>830</v>
      </c>
      <c r="E1808" s="4" t="s">
        <v>1035</v>
      </c>
      <c r="F1808" s="4"/>
      <c r="G1808" s="4" t="s">
        <v>1888</v>
      </c>
      <c r="H1808" s="22">
        <v>0</v>
      </c>
      <c r="I1808" s="4">
        <v>710000000</v>
      </c>
      <c r="J1808" s="4" t="s">
        <v>1931</v>
      </c>
      <c r="K1808" s="4" t="s">
        <v>5297</v>
      </c>
      <c r="L1808" s="4" t="s">
        <v>1027</v>
      </c>
      <c r="M1808" s="8" t="s">
        <v>3195</v>
      </c>
      <c r="N1808" s="4" t="s">
        <v>1890</v>
      </c>
      <c r="O1808" s="8" t="s">
        <v>1935</v>
      </c>
      <c r="P1808" s="8">
        <v>796</v>
      </c>
      <c r="Q1808" s="8" t="s">
        <v>3196</v>
      </c>
      <c r="R1808" s="10">
        <v>3</v>
      </c>
      <c r="S1808" s="10">
        <v>60</v>
      </c>
      <c r="T1808" s="10">
        <v>0</v>
      </c>
      <c r="U1808" s="10">
        <f t="shared" si="881"/>
        <v>0</v>
      </c>
      <c r="V1808" s="4"/>
      <c r="W1808" s="1">
        <v>2015</v>
      </c>
      <c r="X1808" s="66">
        <v>11</v>
      </c>
      <c r="Y1808" s="217"/>
    </row>
    <row r="1809" spans="1:25" s="133" customFormat="1" ht="76.5" customHeight="1" outlineLevel="1" x14ac:dyDescent="0.2">
      <c r="A1809" s="1" t="s">
        <v>8300</v>
      </c>
      <c r="B1809" s="16" t="s">
        <v>5277</v>
      </c>
      <c r="C1809" s="4" t="s">
        <v>1034</v>
      </c>
      <c r="D1809" s="4" t="s">
        <v>830</v>
      </c>
      <c r="E1809" s="4" t="s">
        <v>1035</v>
      </c>
      <c r="F1809" s="4"/>
      <c r="G1809" s="4" t="s">
        <v>1888</v>
      </c>
      <c r="H1809" s="22">
        <v>0</v>
      </c>
      <c r="I1809" s="4">
        <v>710000000</v>
      </c>
      <c r="J1809" s="4" t="s">
        <v>1931</v>
      </c>
      <c r="K1809" s="4" t="s">
        <v>756</v>
      </c>
      <c r="L1809" s="4" t="s">
        <v>1027</v>
      </c>
      <c r="M1809" s="8" t="s">
        <v>3195</v>
      </c>
      <c r="N1809" s="4" t="s">
        <v>1890</v>
      </c>
      <c r="O1809" s="8" t="s">
        <v>1935</v>
      </c>
      <c r="P1809" s="8">
        <v>796</v>
      </c>
      <c r="Q1809" s="8" t="s">
        <v>3196</v>
      </c>
      <c r="R1809" s="10">
        <v>3</v>
      </c>
      <c r="S1809" s="10">
        <v>60</v>
      </c>
      <c r="T1809" s="10">
        <f t="shared" ref="T1809" si="901">S1809*R1809</f>
        <v>180</v>
      </c>
      <c r="U1809" s="10">
        <f t="shared" ref="U1809" si="902">T1809*1.12</f>
        <v>201.60000000000002</v>
      </c>
      <c r="V1809" s="4"/>
      <c r="W1809" s="1">
        <v>2015</v>
      </c>
      <c r="X1809" s="67"/>
      <c r="Y1809" s="217"/>
    </row>
    <row r="1810" spans="1:25" s="133" customFormat="1" ht="76.5" customHeight="1" outlineLevel="1" x14ac:dyDescent="0.2">
      <c r="A1810" s="1" t="s">
        <v>2622</v>
      </c>
      <c r="B1810" s="16" t="s">
        <v>5277</v>
      </c>
      <c r="C1810" s="4" t="s">
        <v>1036</v>
      </c>
      <c r="D1810" s="4" t="s">
        <v>831</v>
      </c>
      <c r="E1810" s="4" t="s">
        <v>1037</v>
      </c>
      <c r="F1810" s="4"/>
      <c r="G1810" s="4" t="s">
        <v>1888</v>
      </c>
      <c r="H1810" s="22">
        <v>0</v>
      </c>
      <c r="I1810" s="4">
        <v>710000000</v>
      </c>
      <c r="J1810" s="4" t="s">
        <v>1931</v>
      </c>
      <c r="K1810" s="4" t="s">
        <v>5297</v>
      </c>
      <c r="L1810" s="4" t="s">
        <v>1027</v>
      </c>
      <c r="M1810" s="8" t="s">
        <v>3195</v>
      </c>
      <c r="N1810" s="4" t="s">
        <v>1890</v>
      </c>
      <c r="O1810" s="8" t="s">
        <v>1935</v>
      </c>
      <c r="P1810" s="8">
        <v>796</v>
      </c>
      <c r="Q1810" s="8" t="s">
        <v>3196</v>
      </c>
      <c r="R1810" s="10">
        <v>80</v>
      </c>
      <c r="S1810" s="10">
        <v>195</v>
      </c>
      <c r="T1810" s="10">
        <v>0</v>
      </c>
      <c r="U1810" s="10">
        <f t="shared" si="881"/>
        <v>0</v>
      </c>
      <c r="V1810" s="4"/>
      <c r="W1810" s="1">
        <v>2015</v>
      </c>
      <c r="X1810" s="66">
        <v>11</v>
      </c>
      <c r="Y1810" s="217"/>
    </row>
    <row r="1811" spans="1:25" s="133" customFormat="1" ht="76.5" customHeight="1" outlineLevel="1" x14ac:dyDescent="0.2">
      <c r="A1811" s="1" t="s">
        <v>8301</v>
      </c>
      <c r="B1811" s="16" t="s">
        <v>5277</v>
      </c>
      <c r="C1811" s="4" t="s">
        <v>1036</v>
      </c>
      <c r="D1811" s="4" t="s">
        <v>831</v>
      </c>
      <c r="E1811" s="4" t="s">
        <v>1037</v>
      </c>
      <c r="F1811" s="4"/>
      <c r="G1811" s="4" t="s">
        <v>1888</v>
      </c>
      <c r="H1811" s="22">
        <v>0</v>
      </c>
      <c r="I1811" s="4">
        <v>710000000</v>
      </c>
      <c r="J1811" s="4" t="s">
        <v>1931</v>
      </c>
      <c r="K1811" s="4" t="s">
        <v>756</v>
      </c>
      <c r="L1811" s="4" t="s">
        <v>1027</v>
      </c>
      <c r="M1811" s="8" t="s">
        <v>3195</v>
      </c>
      <c r="N1811" s="4" t="s">
        <v>1890</v>
      </c>
      <c r="O1811" s="8" t="s">
        <v>1935</v>
      </c>
      <c r="P1811" s="8">
        <v>796</v>
      </c>
      <c r="Q1811" s="8" t="s">
        <v>3196</v>
      </c>
      <c r="R1811" s="10">
        <v>80</v>
      </c>
      <c r="S1811" s="10">
        <v>195</v>
      </c>
      <c r="T1811" s="10">
        <f t="shared" ref="T1811" si="903">S1811*R1811</f>
        <v>15600</v>
      </c>
      <c r="U1811" s="10">
        <f t="shared" ref="U1811" si="904">T1811*1.12</f>
        <v>17472</v>
      </c>
      <c r="V1811" s="4"/>
      <c r="W1811" s="1">
        <v>2015</v>
      </c>
      <c r="X1811" s="68"/>
      <c r="Y1811" s="217"/>
    </row>
    <row r="1812" spans="1:25" s="133" customFormat="1" ht="76.5" customHeight="1" outlineLevel="1" x14ac:dyDescent="0.2">
      <c r="A1812" s="1" t="s">
        <v>2623</v>
      </c>
      <c r="B1812" s="16" t="s">
        <v>5277</v>
      </c>
      <c r="C1812" s="4" t="s">
        <v>1038</v>
      </c>
      <c r="D1812" s="4" t="s">
        <v>831</v>
      </c>
      <c r="E1812" s="4" t="s">
        <v>1039</v>
      </c>
      <c r="F1812" s="4"/>
      <c r="G1812" s="4" t="s">
        <v>1888</v>
      </c>
      <c r="H1812" s="22">
        <v>0</v>
      </c>
      <c r="I1812" s="4">
        <v>710000000</v>
      </c>
      <c r="J1812" s="4" t="s">
        <v>1931</v>
      </c>
      <c r="K1812" s="4" t="s">
        <v>5297</v>
      </c>
      <c r="L1812" s="4" t="s">
        <v>1027</v>
      </c>
      <c r="M1812" s="8" t="s">
        <v>3195</v>
      </c>
      <c r="N1812" s="4" t="s">
        <v>1890</v>
      </c>
      <c r="O1812" s="8" t="s">
        <v>1935</v>
      </c>
      <c r="P1812" s="8">
        <v>796</v>
      </c>
      <c r="Q1812" s="8" t="s">
        <v>3196</v>
      </c>
      <c r="R1812" s="10">
        <v>627</v>
      </c>
      <c r="S1812" s="10">
        <v>155</v>
      </c>
      <c r="T1812" s="10">
        <v>0</v>
      </c>
      <c r="U1812" s="10">
        <f t="shared" ref="U1812:U1920" si="905">T1812*1.12</f>
        <v>0</v>
      </c>
      <c r="V1812" s="4"/>
      <c r="W1812" s="1">
        <v>2015</v>
      </c>
      <c r="X1812" s="66">
        <v>11</v>
      </c>
      <c r="Y1812" s="217"/>
    </row>
    <row r="1813" spans="1:25" s="133" customFormat="1" ht="76.5" customHeight="1" outlineLevel="1" x14ac:dyDescent="0.2">
      <c r="A1813" s="1" t="s">
        <v>8302</v>
      </c>
      <c r="B1813" s="16" t="s">
        <v>5277</v>
      </c>
      <c r="C1813" s="4" t="s">
        <v>1038</v>
      </c>
      <c r="D1813" s="4" t="s">
        <v>831</v>
      </c>
      <c r="E1813" s="4" t="s">
        <v>1039</v>
      </c>
      <c r="F1813" s="4"/>
      <c r="G1813" s="4" t="s">
        <v>1888</v>
      </c>
      <c r="H1813" s="22">
        <v>0</v>
      </c>
      <c r="I1813" s="4">
        <v>710000000</v>
      </c>
      <c r="J1813" s="4" t="s">
        <v>1931</v>
      </c>
      <c r="K1813" s="4" t="s">
        <v>756</v>
      </c>
      <c r="L1813" s="4" t="s">
        <v>1027</v>
      </c>
      <c r="M1813" s="8" t="s">
        <v>3195</v>
      </c>
      <c r="N1813" s="4" t="s">
        <v>1890</v>
      </c>
      <c r="O1813" s="8" t="s">
        <v>1935</v>
      </c>
      <c r="P1813" s="8">
        <v>796</v>
      </c>
      <c r="Q1813" s="8" t="s">
        <v>3196</v>
      </c>
      <c r="R1813" s="10">
        <v>627</v>
      </c>
      <c r="S1813" s="10">
        <v>155</v>
      </c>
      <c r="T1813" s="10">
        <f t="shared" ref="T1813" si="906">S1813*R1813</f>
        <v>97185</v>
      </c>
      <c r="U1813" s="10">
        <f t="shared" ref="U1813" si="907">T1813*1.12</f>
        <v>108847.20000000001</v>
      </c>
      <c r="V1813" s="4"/>
      <c r="W1813" s="1">
        <v>2015</v>
      </c>
      <c r="X1813" s="68"/>
      <c r="Y1813" s="217"/>
    </row>
    <row r="1814" spans="1:25" s="133" customFormat="1" ht="76.5" customHeight="1" outlineLevel="1" x14ac:dyDescent="0.2">
      <c r="A1814" s="1" t="s">
        <v>2624</v>
      </c>
      <c r="B1814" s="16" t="s">
        <v>5277</v>
      </c>
      <c r="C1814" s="4" t="s">
        <v>1866</v>
      </c>
      <c r="D1814" s="4" t="s">
        <v>1867</v>
      </c>
      <c r="E1814" s="4" t="s">
        <v>6135</v>
      </c>
      <c r="F1814" s="4" t="s">
        <v>1040</v>
      </c>
      <c r="G1814" s="4" t="s">
        <v>1888</v>
      </c>
      <c r="H1814" s="22">
        <v>0</v>
      </c>
      <c r="I1814" s="4">
        <v>710000000</v>
      </c>
      <c r="J1814" s="4" t="s">
        <v>1931</v>
      </c>
      <c r="K1814" s="4" t="s">
        <v>5297</v>
      </c>
      <c r="L1814" s="4" t="s">
        <v>1027</v>
      </c>
      <c r="M1814" s="8" t="s">
        <v>3195</v>
      </c>
      <c r="N1814" s="4" t="s">
        <v>1890</v>
      </c>
      <c r="O1814" s="8" t="s">
        <v>1935</v>
      </c>
      <c r="P1814" s="8">
        <v>796</v>
      </c>
      <c r="Q1814" s="8" t="s">
        <v>3196</v>
      </c>
      <c r="R1814" s="10">
        <v>65</v>
      </c>
      <c r="S1814" s="10">
        <v>795</v>
      </c>
      <c r="T1814" s="10">
        <v>0</v>
      </c>
      <c r="U1814" s="10">
        <f t="shared" si="905"/>
        <v>0</v>
      </c>
      <c r="V1814" s="4"/>
      <c r="W1814" s="1">
        <v>2015</v>
      </c>
      <c r="X1814" s="66">
        <v>11</v>
      </c>
      <c r="Y1814" s="217"/>
    </row>
    <row r="1815" spans="1:25" s="133" customFormat="1" ht="76.5" customHeight="1" outlineLevel="1" x14ac:dyDescent="0.2">
      <c r="A1815" s="1" t="s">
        <v>8303</v>
      </c>
      <c r="B1815" s="16" t="s">
        <v>5277</v>
      </c>
      <c r="C1815" s="4" t="s">
        <v>1866</v>
      </c>
      <c r="D1815" s="4" t="s">
        <v>1867</v>
      </c>
      <c r="E1815" s="4" t="s">
        <v>6135</v>
      </c>
      <c r="F1815" s="4" t="s">
        <v>1040</v>
      </c>
      <c r="G1815" s="4" t="s">
        <v>1888</v>
      </c>
      <c r="H1815" s="22">
        <v>0</v>
      </c>
      <c r="I1815" s="4">
        <v>710000000</v>
      </c>
      <c r="J1815" s="4" t="s">
        <v>1931</v>
      </c>
      <c r="K1815" s="4" t="s">
        <v>756</v>
      </c>
      <c r="L1815" s="4" t="s">
        <v>1027</v>
      </c>
      <c r="M1815" s="8" t="s">
        <v>3195</v>
      </c>
      <c r="N1815" s="4" t="s">
        <v>1890</v>
      </c>
      <c r="O1815" s="8" t="s">
        <v>1935</v>
      </c>
      <c r="P1815" s="8">
        <v>796</v>
      </c>
      <c r="Q1815" s="8" t="s">
        <v>3196</v>
      </c>
      <c r="R1815" s="10">
        <v>65</v>
      </c>
      <c r="S1815" s="10">
        <v>795</v>
      </c>
      <c r="T1815" s="10">
        <f t="shared" ref="T1815" si="908">S1815*R1815</f>
        <v>51675</v>
      </c>
      <c r="U1815" s="10">
        <f t="shared" ref="U1815" si="909">T1815*1.12</f>
        <v>57876.000000000007</v>
      </c>
      <c r="V1815" s="4"/>
      <c r="W1815" s="1">
        <v>2015</v>
      </c>
      <c r="X1815" s="68"/>
      <c r="Y1815" s="217"/>
    </row>
    <row r="1816" spans="1:25" s="133" customFormat="1" ht="76.5" customHeight="1" outlineLevel="1" x14ac:dyDescent="0.2">
      <c r="A1816" s="1" t="s">
        <v>2625</v>
      </c>
      <c r="B1816" s="16" t="s">
        <v>5277</v>
      </c>
      <c r="C1816" s="4" t="s">
        <v>1866</v>
      </c>
      <c r="D1816" s="4" t="s">
        <v>1867</v>
      </c>
      <c r="E1816" s="4" t="s">
        <v>6135</v>
      </c>
      <c r="F1816" s="4" t="s">
        <v>1041</v>
      </c>
      <c r="G1816" s="4" t="s">
        <v>1888</v>
      </c>
      <c r="H1816" s="22">
        <v>0</v>
      </c>
      <c r="I1816" s="4">
        <v>710000000</v>
      </c>
      <c r="J1816" s="4" t="s">
        <v>1931</v>
      </c>
      <c r="K1816" s="4" t="s">
        <v>5297</v>
      </c>
      <c r="L1816" s="4" t="s">
        <v>1027</v>
      </c>
      <c r="M1816" s="8" t="s">
        <v>3195</v>
      </c>
      <c r="N1816" s="4" t="s">
        <v>1890</v>
      </c>
      <c r="O1816" s="8" t="s">
        <v>1935</v>
      </c>
      <c r="P1816" s="8">
        <v>796</v>
      </c>
      <c r="Q1816" s="8" t="s">
        <v>3196</v>
      </c>
      <c r="R1816" s="10">
        <v>7</v>
      </c>
      <c r="S1816" s="10">
        <v>978</v>
      </c>
      <c r="T1816" s="10">
        <v>0</v>
      </c>
      <c r="U1816" s="10">
        <f t="shared" si="905"/>
        <v>0</v>
      </c>
      <c r="V1816" s="4"/>
      <c r="W1816" s="1">
        <v>2015</v>
      </c>
      <c r="X1816" s="66">
        <v>11</v>
      </c>
      <c r="Y1816" s="217"/>
    </row>
    <row r="1817" spans="1:25" s="133" customFormat="1" ht="76.5" customHeight="1" outlineLevel="1" x14ac:dyDescent="0.2">
      <c r="A1817" s="1" t="s">
        <v>8304</v>
      </c>
      <c r="B1817" s="16" t="s">
        <v>5277</v>
      </c>
      <c r="C1817" s="4" t="s">
        <v>1866</v>
      </c>
      <c r="D1817" s="4" t="s">
        <v>1867</v>
      </c>
      <c r="E1817" s="4" t="s">
        <v>6135</v>
      </c>
      <c r="F1817" s="4" t="s">
        <v>1041</v>
      </c>
      <c r="G1817" s="4" t="s">
        <v>1888</v>
      </c>
      <c r="H1817" s="22">
        <v>0</v>
      </c>
      <c r="I1817" s="4">
        <v>710000000</v>
      </c>
      <c r="J1817" s="4" t="s">
        <v>1931</v>
      </c>
      <c r="K1817" s="4" t="s">
        <v>756</v>
      </c>
      <c r="L1817" s="4" t="s">
        <v>1027</v>
      </c>
      <c r="M1817" s="8" t="s">
        <v>3195</v>
      </c>
      <c r="N1817" s="4" t="s">
        <v>1890</v>
      </c>
      <c r="O1817" s="8" t="s">
        <v>1935</v>
      </c>
      <c r="P1817" s="8">
        <v>796</v>
      </c>
      <c r="Q1817" s="8" t="s">
        <v>3196</v>
      </c>
      <c r="R1817" s="10">
        <v>7</v>
      </c>
      <c r="S1817" s="10">
        <v>978</v>
      </c>
      <c r="T1817" s="10">
        <f t="shared" ref="T1817" si="910">S1817*R1817</f>
        <v>6846</v>
      </c>
      <c r="U1817" s="10">
        <f t="shared" ref="U1817" si="911">T1817*1.12</f>
        <v>7667.52</v>
      </c>
      <c r="V1817" s="4"/>
      <c r="W1817" s="1">
        <v>2015</v>
      </c>
      <c r="X1817" s="68"/>
      <c r="Y1817" s="217"/>
    </row>
    <row r="1818" spans="1:25" s="133" customFormat="1" ht="76.5" customHeight="1" outlineLevel="1" x14ac:dyDescent="0.2">
      <c r="A1818" s="1" t="s">
        <v>2626</v>
      </c>
      <c r="B1818" s="16" t="s">
        <v>5277</v>
      </c>
      <c r="C1818" s="4" t="s">
        <v>1849</v>
      </c>
      <c r="D1818" s="4" t="s">
        <v>3250</v>
      </c>
      <c r="E1818" s="4" t="s">
        <v>6122</v>
      </c>
      <c r="F1818" s="4" t="s">
        <v>833</v>
      </c>
      <c r="G1818" s="4" t="s">
        <v>1888</v>
      </c>
      <c r="H1818" s="22">
        <v>0</v>
      </c>
      <c r="I1818" s="4">
        <v>710000000</v>
      </c>
      <c r="J1818" s="4" t="s">
        <v>1931</v>
      </c>
      <c r="K1818" s="4" t="s">
        <v>5297</v>
      </c>
      <c r="L1818" s="4" t="s">
        <v>1027</v>
      </c>
      <c r="M1818" s="8" t="s">
        <v>3195</v>
      </c>
      <c r="N1818" s="4" t="s">
        <v>1890</v>
      </c>
      <c r="O1818" s="8" t="s">
        <v>1935</v>
      </c>
      <c r="P1818" s="8">
        <v>796</v>
      </c>
      <c r="Q1818" s="8" t="s">
        <v>3196</v>
      </c>
      <c r="R1818" s="10">
        <v>203</v>
      </c>
      <c r="S1818" s="10">
        <v>50</v>
      </c>
      <c r="T1818" s="10">
        <v>0</v>
      </c>
      <c r="U1818" s="10">
        <f t="shared" si="905"/>
        <v>0</v>
      </c>
      <c r="V1818" s="4"/>
      <c r="W1818" s="1">
        <v>2015</v>
      </c>
      <c r="X1818" s="66">
        <v>11</v>
      </c>
      <c r="Y1818" s="217"/>
    </row>
    <row r="1819" spans="1:25" s="133" customFormat="1" ht="76.5" customHeight="1" outlineLevel="1" x14ac:dyDescent="0.2">
      <c r="A1819" s="1" t="s">
        <v>8305</v>
      </c>
      <c r="B1819" s="16" t="s">
        <v>5277</v>
      </c>
      <c r="C1819" s="4" t="s">
        <v>1849</v>
      </c>
      <c r="D1819" s="4" t="s">
        <v>3250</v>
      </c>
      <c r="E1819" s="4" t="s">
        <v>6122</v>
      </c>
      <c r="F1819" s="4" t="s">
        <v>833</v>
      </c>
      <c r="G1819" s="4" t="s">
        <v>1888</v>
      </c>
      <c r="H1819" s="22">
        <v>0</v>
      </c>
      <c r="I1819" s="4">
        <v>710000000</v>
      </c>
      <c r="J1819" s="4" t="s">
        <v>1931</v>
      </c>
      <c r="K1819" s="4" t="s">
        <v>756</v>
      </c>
      <c r="L1819" s="4" t="s">
        <v>1027</v>
      </c>
      <c r="M1819" s="8" t="s">
        <v>3195</v>
      </c>
      <c r="N1819" s="4" t="s">
        <v>1890</v>
      </c>
      <c r="O1819" s="8" t="s">
        <v>1935</v>
      </c>
      <c r="P1819" s="8">
        <v>796</v>
      </c>
      <c r="Q1819" s="8" t="s">
        <v>3196</v>
      </c>
      <c r="R1819" s="10">
        <v>203</v>
      </c>
      <c r="S1819" s="10">
        <v>50</v>
      </c>
      <c r="T1819" s="10">
        <f t="shared" ref="T1819" si="912">S1819*R1819</f>
        <v>10150</v>
      </c>
      <c r="U1819" s="10">
        <f t="shared" ref="U1819" si="913">T1819*1.12</f>
        <v>11368.000000000002</v>
      </c>
      <c r="V1819" s="4"/>
      <c r="W1819" s="1">
        <v>2015</v>
      </c>
      <c r="X1819" s="68"/>
      <c r="Y1819" s="217"/>
    </row>
    <row r="1820" spans="1:25" s="133" customFormat="1" ht="76.5" customHeight="1" outlineLevel="1" x14ac:dyDescent="0.2">
      <c r="A1820" s="1" t="s">
        <v>2627</v>
      </c>
      <c r="B1820" s="16" t="s">
        <v>5277</v>
      </c>
      <c r="C1820" s="4" t="s">
        <v>1850</v>
      </c>
      <c r="D1820" s="4" t="s">
        <v>3250</v>
      </c>
      <c r="E1820" s="4" t="s">
        <v>6123</v>
      </c>
      <c r="F1820" s="4" t="s">
        <v>832</v>
      </c>
      <c r="G1820" s="4" t="s">
        <v>1888</v>
      </c>
      <c r="H1820" s="22">
        <v>0</v>
      </c>
      <c r="I1820" s="4">
        <v>710000000</v>
      </c>
      <c r="J1820" s="4" t="s">
        <v>1931</v>
      </c>
      <c r="K1820" s="4" t="s">
        <v>5297</v>
      </c>
      <c r="L1820" s="4" t="s">
        <v>1027</v>
      </c>
      <c r="M1820" s="8" t="s">
        <v>3195</v>
      </c>
      <c r="N1820" s="4" t="s">
        <v>1890</v>
      </c>
      <c r="O1820" s="8" t="s">
        <v>1935</v>
      </c>
      <c r="P1820" s="8">
        <v>796</v>
      </c>
      <c r="Q1820" s="8" t="s">
        <v>3196</v>
      </c>
      <c r="R1820" s="10">
        <v>16</v>
      </c>
      <c r="S1820" s="10">
        <v>50</v>
      </c>
      <c r="T1820" s="10">
        <v>0</v>
      </c>
      <c r="U1820" s="10">
        <f t="shared" si="905"/>
        <v>0</v>
      </c>
      <c r="V1820" s="4"/>
      <c r="W1820" s="1">
        <v>2015</v>
      </c>
      <c r="X1820" s="66">
        <v>11</v>
      </c>
      <c r="Y1820" s="217"/>
    </row>
    <row r="1821" spans="1:25" s="133" customFormat="1" ht="76.5" customHeight="1" outlineLevel="1" x14ac:dyDescent="0.2">
      <c r="A1821" s="1" t="s">
        <v>8306</v>
      </c>
      <c r="B1821" s="16" t="s">
        <v>5277</v>
      </c>
      <c r="C1821" s="4" t="s">
        <v>1850</v>
      </c>
      <c r="D1821" s="4" t="s">
        <v>3250</v>
      </c>
      <c r="E1821" s="4" t="s">
        <v>6123</v>
      </c>
      <c r="F1821" s="4" t="s">
        <v>832</v>
      </c>
      <c r="G1821" s="4" t="s">
        <v>1888</v>
      </c>
      <c r="H1821" s="22">
        <v>0</v>
      </c>
      <c r="I1821" s="4">
        <v>710000000</v>
      </c>
      <c r="J1821" s="4" t="s">
        <v>1931</v>
      </c>
      <c r="K1821" s="4" t="s">
        <v>756</v>
      </c>
      <c r="L1821" s="4" t="s">
        <v>1027</v>
      </c>
      <c r="M1821" s="8" t="s">
        <v>3195</v>
      </c>
      <c r="N1821" s="4" t="s">
        <v>1890</v>
      </c>
      <c r="O1821" s="8" t="s">
        <v>1935</v>
      </c>
      <c r="P1821" s="8">
        <v>796</v>
      </c>
      <c r="Q1821" s="8" t="s">
        <v>3196</v>
      </c>
      <c r="R1821" s="10">
        <v>16</v>
      </c>
      <c r="S1821" s="10">
        <v>50</v>
      </c>
      <c r="T1821" s="10">
        <f t="shared" ref="T1821" si="914">S1821*R1821</f>
        <v>800</v>
      </c>
      <c r="U1821" s="10">
        <f t="shared" ref="U1821" si="915">T1821*1.12</f>
        <v>896.00000000000011</v>
      </c>
      <c r="V1821" s="4"/>
      <c r="W1821" s="1">
        <v>2015</v>
      </c>
      <c r="X1821" s="68"/>
      <c r="Y1821" s="217"/>
    </row>
    <row r="1822" spans="1:25" s="133" customFormat="1" ht="76.5" customHeight="1" outlineLevel="1" x14ac:dyDescent="0.2">
      <c r="A1822" s="1" t="s">
        <v>2628</v>
      </c>
      <c r="B1822" s="16" t="s">
        <v>5277</v>
      </c>
      <c r="C1822" s="4" t="s">
        <v>1042</v>
      </c>
      <c r="D1822" s="4" t="s">
        <v>6132</v>
      </c>
      <c r="E1822" s="4" t="s">
        <v>6153</v>
      </c>
      <c r="F1822" s="4" t="s">
        <v>1043</v>
      </c>
      <c r="G1822" s="4" t="s">
        <v>1888</v>
      </c>
      <c r="H1822" s="22">
        <v>0</v>
      </c>
      <c r="I1822" s="4">
        <v>710000000</v>
      </c>
      <c r="J1822" s="4" t="s">
        <v>1931</v>
      </c>
      <c r="K1822" s="4" t="s">
        <v>5297</v>
      </c>
      <c r="L1822" s="4" t="s">
        <v>1027</v>
      </c>
      <c r="M1822" s="8" t="s">
        <v>3195</v>
      </c>
      <c r="N1822" s="4" t="s">
        <v>1890</v>
      </c>
      <c r="O1822" s="8" t="s">
        <v>1935</v>
      </c>
      <c r="P1822" s="8">
        <v>796</v>
      </c>
      <c r="Q1822" s="8" t="s">
        <v>3196</v>
      </c>
      <c r="R1822" s="10">
        <v>2</v>
      </c>
      <c r="S1822" s="10">
        <v>3000</v>
      </c>
      <c r="T1822" s="10">
        <v>0</v>
      </c>
      <c r="U1822" s="10">
        <f t="shared" si="905"/>
        <v>0</v>
      </c>
      <c r="V1822" s="4"/>
      <c r="W1822" s="1">
        <v>2015</v>
      </c>
      <c r="X1822" s="66">
        <v>11</v>
      </c>
      <c r="Y1822" s="217"/>
    </row>
    <row r="1823" spans="1:25" s="133" customFormat="1" ht="76.5" customHeight="1" outlineLevel="1" x14ac:dyDescent="0.2">
      <c r="A1823" s="1" t="s">
        <v>8307</v>
      </c>
      <c r="B1823" s="16" t="s">
        <v>5277</v>
      </c>
      <c r="C1823" s="4" t="s">
        <v>1042</v>
      </c>
      <c r="D1823" s="4" t="s">
        <v>6132</v>
      </c>
      <c r="E1823" s="4" t="s">
        <v>6153</v>
      </c>
      <c r="F1823" s="4" t="s">
        <v>1043</v>
      </c>
      <c r="G1823" s="4" t="s">
        <v>1888</v>
      </c>
      <c r="H1823" s="22">
        <v>0</v>
      </c>
      <c r="I1823" s="4">
        <v>710000000</v>
      </c>
      <c r="J1823" s="4" t="s">
        <v>1931</v>
      </c>
      <c r="K1823" s="4" t="s">
        <v>756</v>
      </c>
      <c r="L1823" s="4" t="s">
        <v>1027</v>
      </c>
      <c r="M1823" s="8" t="s">
        <v>3195</v>
      </c>
      <c r="N1823" s="4" t="s">
        <v>1890</v>
      </c>
      <c r="O1823" s="8" t="s">
        <v>1935</v>
      </c>
      <c r="P1823" s="8">
        <v>796</v>
      </c>
      <c r="Q1823" s="8" t="s">
        <v>3196</v>
      </c>
      <c r="R1823" s="10">
        <v>2</v>
      </c>
      <c r="S1823" s="10">
        <v>3000</v>
      </c>
      <c r="T1823" s="10">
        <f t="shared" ref="T1823" si="916">S1823*R1823</f>
        <v>6000</v>
      </c>
      <c r="U1823" s="10">
        <f t="shared" ref="U1823" si="917">T1823*1.12</f>
        <v>6720.0000000000009</v>
      </c>
      <c r="V1823" s="4"/>
      <c r="W1823" s="1">
        <v>2015</v>
      </c>
      <c r="X1823" s="68"/>
      <c r="Y1823" s="217"/>
    </row>
    <row r="1824" spans="1:25" s="133" customFormat="1" ht="76.5" customHeight="1" outlineLevel="1" x14ac:dyDescent="0.2">
      <c r="A1824" s="1" t="s">
        <v>2629</v>
      </c>
      <c r="B1824" s="16" t="s">
        <v>5277</v>
      </c>
      <c r="C1824" s="4" t="s">
        <v>3246</v>
      </c>
      <c r="D1824" s="4" t="s">
        <v>6132</v>
      </c>
      <c r="E1824" s="4" t="s">
        <v>6151</v>
      </c>
      <c r="F1824" s="4" t="s">
        <v>1044</v>
      </c>
      <c r="G1824" s="4" t="s">
        <v>1888</v>
      </c>
      <c r="H1824" s="22">
        <v>0</v>
      </c>
      <c r="I1824" s="4">
        <v>710000000</v>
      </c>
      <c r="J1824" s="4" t="s">
        <v>1931</v>
      </c>
      <c r="K1824" s="4" t="s">
        <v>5297</v>
      </c>
      <c r="L1824" s="4" t="s">
        <v>1027</v>
      </c>
      <c r="M1824" s="8" t="s">
        <v>3195</v>
      </c>
      <c r="N1824" s="4" t="s">
        <v>1890</v>
      </c>
      <c r="O1824" s="8" t="s">
        <v>1935</v>
      </c>
      <c r="P1824" s="8">
        <v>796</v>
      </c>
      <c r="Q1824" s="8" t="s">
        <v>3196</v>
      </c>
      <c r="R1824" s="10">
        <v>30</v>
      </c>
      <c r="S1824" s="10">
        <v>10000</v>
      </c>
      <c r="T1824" s="10">
        <v>0</v>
      </c>
      <c r="U1824" s="10">
        <f t="shared" si="905"/>
        <v>0</v>
      </c>
      <c r="V1824" s="4"/>
      <c r="W1824" s="1">
        <v>2015</v>
      </c>
      <c r="X1824" s="66">
        <v>11</v>
      </c>
      <c r="Y1824" s="217"/>
    </row>
    <row r="1825" spans="1:25" s="133" customFormat="1" ht="76.5" customHeight="1" outlineLevel="1" x14ac:dyDescent="0.2">
      <c r="A1825" s="1" t="s">
        <v>8308</v>
      </c>
      <c r="B1825" s="16" t="s">
        <v>5277</v>
      </c>
      <c r="C1825" s="4" t="s">
        <v>3246</v>
      </c>
      <c r="D1825" s="4" t="s">
        <v>6132</v>
      </c>
      <c r="E1825" s="4" t="s">
        <v>6151</v>
      </c>
      <c r="F1825" s="4" t="s">
        <v>1044</v>
      </c>
      <c r="G1825" s="4" t="s">
        <v>1888</v>
      </c>
      <c r="H1825" s="22">
        <v>0</v>
      </c>
      <c r="I1825" s="4">
        <v>710000000</v>
      </c>
      <c r="J1825" s="4" t="s">
        <v>1931</v>
      </c>
      <c r="K1825" s="4" t="s">
        <v>756</v>
      </c>
      <c r="L1825" s="4" t="s">
        <v>1027</v>
      </c>
      <c r="M1825" s="8" t="s">
        <v>3195</v>
      </c>
      <c r="N1825" s="4" t="s">
        <v>1890</v>
      </c>
      <c r="O1825" s="8" t="s">
        <v>1935</v>
      </c>
      <c r="P1825" s="8">
        <v>796</v>
      </c>
      <c r="Q1825" s="8" t="s">
        <v>3196</v>
      </c>
      <c r="R1825" s="10">
        <v>30</v>
      </c>
      <c r="S1825" s="10">
        <v>10000</v>
      </c>
      <c r="T1825" s="10">
        <f t="shared" ref="T1825" si="918">S1825*R1825</f>
        <v>300000</v>
      </c>
      <c r="U1825" s="10">
        <f t="shared" ref="U1825" si="919">T1825*1.12</f>
        <v>336000.00000000006</v>
      </c>
      <c r="V1825" s="4"/>
      <c r="W1825" s="1">
        <v>2015</v>
      </c>
      <c r="X1825" s="68"/>
      <c r="Y1825" s="217"/>
    </row>
    <row r="1826" spans="1:25" s="133" customFormat="1" ht="76.5" customHeight="1" outlineLevel="1" x14ac:dyDescent="0.2">
      <c r="A1826" s="1" t="s">
        <v>2630</v>
      </c>
      <c r="B1826" s="16" t="s">
        <v>5277</v>
      </c>
      <c r="C1826" s="4" t="s">
        <v>1879</v>
      </c>
      <c r="D1826" s="4" t="s">
        <v>2996</v>
      </c>
      <c r="E1826" s="4" t="s">
        <v>1880</v>
      </c>
      <c r="F1826" s="4" t="s">
        <v>1045</v>
      </c>
      <c r="G1826" s="4" t="s">
        <v>1888</v>
      </c>
      <c r="H1826" s="22">
        <v>0</v>
      </c>
      <c r="I1826" s="4">
        <v>710000000</v>
      </c>
      <c r="J1826" s="4" t="s">
        <v>1931</v>
      </c>
      <c r="K1826" s="4" t="s">
        <v>5297</v>
      </c>
      <c r="L1826" s="4" t="s">
        <v>1027</v>
      </c>
      <c r="M1826" s="8" t="s">
        <v>3195</v>
      </c>
      <c r="N1826" s="4" t="s">
        <v>1890</v>
      </c>
      <c r="O1826" s="8" t="s">
        <v>1935</v>
      </c>
      <c r="P1826" s="8">
        <v>796</v>
      </c>
      <c r="Q1826" s="8" t="s">
        <v>3196</v>
      </c>
      <c r="R1826" s="10">
        <v>401</v>
      </c>
      <c r="S1826" s="10">
        <v>450</v>
      </c>
      <c r="T1826" s="10">
        <v>0</v>
      </c>
      <c r="U1826" s="10">
        <f t="shared" si="905"/>
        <v>0</v>
      </c>
      <c r="V1826" s="4"/>
      <c r="W1826" s="1">
        <v>2015</v>
      </c>
      <c r="X1826" s="66">
        <v>11</v>
      </c>
      <c r="Y1826" s="217"/>
    </row>
    <row r="1827" spans="1:25" s="133" customFormat="1" ht="76.5" customHeight="1" outlineLevel="1" x14ac:dyDescent="0.2">
      <c r="A1827" s="1" t="s">
        <v>8309</v>
      </c>
      <c r="B1827" s="16" t="s">
        <v>5277</v>
      </c>
      <c r="C1827" s="4" t="s">
        <v>1879</v>
      </c>
      <c r="D1827" s="4" t="s">
        <v>2996</v>
      </c>
      <c r="E1827" s="4" t="s">
        <v>1880</v>
      </c>
      <c r="F1827" s="4" t="s">
        <v>1045</v>
      </c>
      <c r="G1827" s="4" t="s">
        <v>1888</v>
      </c>
      <c r="H1827" s="22">
        <v>0</v>
      </c>
      <c r="I1827" s="4">
        <v>710000000</v>
      </c>
      <c r="J1827" s="4" t="s">
        <v>1931</v>
      </c>
      <c r="K1827" s="4" t="s">
        <v>756</v>
      </c>
      <c r="L1827" s="4" t="s">
        <v>1027</v>
      </c>
      <c r="M1827" s="8" t="s">
        <v>3195</v>
      </c>
      <c r="N1827" s="4" t="s">
        <v>1890</v>
      </c>
      <c r="O1827" s="8" t="s">
        <v>1935</v>
      </c>
      <c r="P1827" s="8">
        <v>796</v>
      </c>
      <c r="Q1827" s="8" t="s">
        <v>3196</v>
      </c>
      <c r="R1827" s="10">
        <v>401</v>
      </c>
      <c r="S1827" s="10">
        <v>450</v>
      </c>
      <c r="T1827" s="10">
        <f t="shared" ref="T1827" si="920">S1827*R1827</f>
        <v>180450</v>
      </c>
      <c r="U1827" s="10">
        <f t="shared" ref="U1827" si="921">T1827*1.12</f>
        <v>202104.00000000003</v>
      </c>
      <c r="V1827" s="4"/>
      <c r="W1827" s="1">
        <v>2015</v>
      </c>
      <c r="X1827" s="68"/>
      <c r="Y1827" s="217"/>
    </row>
    <row r="1828" spans="1:25" s="133" customFormat="1" ht="76.5" customHeight="1" outlineLevel="1" x14ac:dyDescent="0.2">
      <c r="A1828" s="1" t="s">
        <v>2631</v>
      </c>
      <c r="B1828" s="16" t="s">
        <v>5277</v>
      </c>
      <c r="C1828" s="4" t="s">
        <v>1046</v>
      </c>
      <c r="D1828" s="4" t="s">
        <v>1047</v>
      </c>
      <c r="E1828" s="4" t="s">
        <v>1048</v>
      </c>
      <c r="F1828" s="4"/>
      <c r="G1828" s="4" t="s">
        <v>1888</v>
      </c>
      <c r="H1828" s="22">
        <v>0</v>
      </c>
      <c r="I1828" s="4">
        <v>710000000</v>
      </c>
      <c r="J1828" s="4" t="s">
        <v>1931</v>
      </c>
      <c r="K1828" s="4" t="s">
        <v>5297</v>
      </c>
      <c r="L1828" s="4" t="s">
        <v>1027</v>
      </c>
      <c r="M1828" s="8" t="s">
        <v>3195</v>
      </c>
      <c r="N1828" s="4" t="s">
        <v>1890</v>
      </c>
      <c r="O1828" s="8" t="s">
        <v>1935</v>
      </c>
      <c r="P1828" s="8">
        <v>796</v>
      </c>
      <c r="Q1828" s="8" t="s">
        <v>3196</v>
      </c>
      <c r="R1828" s="10">
        <v>29</v>
      </c>
      <c r="S1828" s="10">
        <v>200</v>
      </c>
      <c r="T1828" s="10">
        <v>0</v>
      </c>
      <c r="U1828" s="10">
        <f t="shared" si="905"/>
        <v>0</v>
      </c>
      <c r="V1828" s="4"/>
      <c r="W1828" s="1">
        <v>2015</v>
      </c>
      <c r="X1828" s="66">
        <v>11</v>
      </c>
      <c r="Y1828" s="217"/>
    </row>
    <row r="1829" spans="1:25" s="133" customFormat="1" ht="76.5" customHeight="1" outlineLevel="1" x14ac:dyDescent="0.2">
      <c r="A1829" s="1" t="s">
        <v>8310</v>
      </c>
      <c r="B1829" s="16" t="s">
        <v>5277</v>
      </c>
      <c r="C1829" s="4" t="s">
        <v>1046</v>
      </c>
      <c r="D1829" s="4" t="s">
        <v>1047</v>
      </c>
      <c r="E1829" s="4" t="s">
        <v>1048</v>
      </c>
      <c r="F1829" s="4"/>
      <c r="G1829" s="4" t="s">
        <v>1888</v>
      </c>
      <c r="H1829" s="22">
        <v>0</v>
      </c>
      <c r="I1829" s="4">
        <v>710000000</v>
      </c>
      <c r="J1829" s="4" t="s">
        <v>1931</v>
      </c>
      <c r="K1829" s="4" t="s">
        <v>756</v>
      </c>
      <c r="L1829" s="4" t="s">
        <v>1027</v>
      </c>
      <c r="M1829" s="8" t="s">
        <v>3195</v>
      </c>
      <c r="N1829" s="4" t="s">
        <v>1890</v>
      </c>
      <c r="O1829" s="8" t="s">
        <v>1935</v>
      </c>
      <c r="P1829" s="8">
        <v>796</v>
      </c>
      <c r="Q1829" s="8" t="s">
        <v>3196</v>
      </c>
      <c r="R1829" s="10">
        <v>29</v>
      </c>
      <c r="S1829" s="10">
        <v>200</v>
      </c>
      <c r="T1829" s="10">
        <f t="shared" ref="T1829" si="922">S1829*R1829</f>
        <v>5800</v>
      </c>
      <c r="U1829" s="10">
        <f t="shared" ref="U1829" si="923">T1829*1.12</f>
        <v>6496.0000000000009</v>
      </c>
      <c r="V1829" s="4"/>
      <c r="W1829" s="1">
        <v>2015</v>
      </c>
      <c r="X1829" s="68"/>
      <c r="Y1829" s="217"/>
    </row>
    <row r="1830" spans="1:25" s="133" customFormat="1" ht="76.5" customHeight="1" outlineLevel="1" x14ac:dyDescent="0.2">
      <c r="A1830" s="1" t="s">
        <v>2632</v>
      </c>
      <c r="B1830" s="16" t="s">
        <v>5277</v>
      </c>
      <c r="C1830" s="4" t="s">
        <v>1049</v>
      </c>
      <c r="D1830" s="4" t="s">
        <v>6133</v>
      </c>
      <c r="E1830" s="4" t="s">
        <v>1050</v>
      </c>
      <c r="F1830" s="4" t="s">
        <v>1051</v>
      </c>
      <c r="G1830" s="4" t="s">
        <v>1888</v>
      </c>
      <c r="H1830" s="22">
        <v>0</v>
      </c>
      <c r="I1830" s="4">
        <v>710000000</v>
      </c>
      <c r="J1830" s="4" t="s">
        <v>1931</v>
      </c>
      <c r="K1830" s="4" t="s">
        <v>5297</v>
      </c>
      <c r="L1830" s="4" t="s">
        <v>1027</v>
      </c>
      <c r="M1830" s="8" t="s">
        <v>3195</v>
      </c>
      <c r="N1830" s="4" t="s">
        <v>1890</v>
      </c>
      <c r="O1830" s="8" t="s">
        <v>1935</v>
      </c>
      <c r="P1830" s="8">
        <v>796</v>
      </c>
      <c r="Q1830" s="8" t="s">
        <v>3196</v>
      </c>
      <c r="R1830" s="10">
        <v>68</v>
      </c>
      <c r="S1830" s="10">
        <v>500</v>
      </c>
      <c r="T1830" s="10">
        <v>0</v>
      </c>
      <c r="U1830" s="10">
        <f t="shared" si="905"/>
        <v>0</v>
      </c>
      <c r="V1830" s="4"/>
      <c r="W1830" s="1">
        <v>2015</v>
      </c>
      <c r="X1830" s="66">
        <v>11</v>
      </c>
      <c r="Y1830" s="217"/>
    </row>
    <row r="1831" spans="1:25" s="133" customFormat="1" ht="76.5" customHeight="1" outlineLevel="1" x14ac:dyDescent="0.2">
      <c r="A1831" s="1" t="s">
        <v>8311</v>
      </c>
      <c r="B1831" s="16" t="s">
        <v>5277</v>
      </c>
      <c r="C1831" s="4" t="s">
        <v>1049</v>
      </c>
      <c r="D1831" s="4" t="s">
        <v>6133</v>
      </c>
      <c r="E1831" s="4" t="s">
        <v>1050</v>
      </c>
      <c r="F1831" s="4" t="s">
        <v>1051</v>
      </c>
      <c r="G1831" s="4" t="s">
        <v>1888</v>
      </c>
      <c r="H1831" s="22">
        <v>0</v>
      </c>
      <c r="I1831" s="4">
        <v>710000000</v>
      </c>
      <c r="J1831" s="4" t="s">
        <v>1931</v>
      </c>
      <c r="K1831" s="4" t="s">
        <v>756</v>
      </c>
      <c r="L1831" s="4" t="s">
        <v>1027</v>
      </c>
      <c r="M1831" s="8" t="s">
        <v>3195</v>
      </c>
      <c r="N1831" s="4" t="s">
        <v>1890</v>
      </c>
      <c r="O1831" s="8" t="s">
        <v>1935</v>
      </c>
      <c r="P1831" s="8">
        <v>796</v>
      </c>
      <c r="Q1831" s="8" t="s">
        <v>3196</v>
      </c>
      <c r="R1831" s="10">
        <v>68</v>
      </c>
      <c r="S1831" s="10">
        <v>500</v>
      </c>
      <c r="T1831" s="10">
        <f t="shared" ref="T1831" si="924">S1831*R1831</f>
        <v>34000</v>
      </c>
      <c r="U1831" s="10">
        <f t="shared" ref="U1831" si="925">T1831*1.12</f>
        <v>38080</v>
      </c>
      <c r="V1831" s="4"/>
      <c r="W1831" s="1">
        <v>2015</v>
      </c>
      <c r="X1831" s="68"/>
      <c r="Y1831" s="217"/>
    </row>
    <row r="1832" spans="1:25" s="133" customFormat="1" ht="76.5" customHeight="1" outlineLevel="1" x14ac:dyDescent="0.2">
      <c r="A1832" s="1" t="s">
        <v>2633</v>
      </c>
      <c r="B1832" s="16" t="s">
        <v>5277</v>
      </c>
      <c r="C1832" s="4" t="s">
        <v>1052</v>
      </c>
      <c r="D1832" s="4" t="s">
        <v>6133</v>
      </c>
      <c r="E1832" s="4" t="s">
        <v>1053</v>
      </c>
      <c r="F1832" s="4"/>
      <c r="G1832" s="4" t="s">
        <v>1888</v>
      </c>
      <c r="H1832" s="22">
        <v>0</v>
      </c>
      <c r="I1832" s="4">
        <v>710000000</v>
      </c>
      <c r="J1832" s="4" t="s">
        <v>1931</v>
      </c>
      <c r="K1832" s="4" t="s">
        <v>5297</v>
      </c>
      <c r="L1832" s="4" t="s">
        <v>1027</v>
      </c>
      <c r="M1832" s="8" t="s">
        <v>3195</v>
      </c>
      <c r="N1832" s="4" t="s">
        <v>1890</v>
      </c>
      <c r="O1832" s="8" t="s">
        <v>1935</v>
      </c>
      <c r="P1832" s="8">
        <v>796</v>
      </c>
      <c r="Q1832" s="8" t="s">
        <v>3196</v>
      </c>
      <c r="R1832" s="10">
        <v>68</v>
      </c>
      <c r="S1832" s="10">
        <v>500</v>
      </c>
      <c r="T1832" s="10">
        <v>0</v>
      </c>
      <c r="U1832" s="10">
        <f t="shared" si="905"/>
        <v>0</v>
      </c>
      <c r="V1832" s="4"/>
      <c r="W1832" s="1">
        <v>2015</v>
      </c>
      <c r="X1832" s="66">
        <v>11</v>
      </c>
      <c r="Y1832" s="217"/>
    </row>
    <row r="1833" spans="1:25" s="133" customFormat="1" ht="76.5" customHeight="1" outlineLevel="1" x14ac:dyDescent="0.2">
      <c r="A1833" s="1" t="s">
        <v>8312</v>
      </c>
      <c r="B1833" s="16" t="s">
        <v>5277</v>
      </c>
      <c r="C1833" s="4" t="s">
        <v>1052</v>
      </c>
      <c r="D1833" s="4" t="s">
        <v>6133</v>
      </c>
      <c r="E1833" s="4" t="s">
        <v>1053</v>
      </c>
      <c r="F1833" s="4"/>
      <c r="G1833" s="4" t="s">
        <v>1888</v>
      </c>
      <c r="H1833" s="22">
        <v>0</v>
      </c>
      <c r="I1833" s="4">
        <v>710000000</v>
      </c>
      <c r="J1833" s="4" t="s">
        <v>1931</v>
      </c>
      <c r="K1833" s="4" t="s">
        <v>756</v>
      </c>
      <c r="L1833" s="4" t="s">
        <v>1027</v>
      </c>
      <c r="M1833" s="8" t="s">
        <v>3195</v>
      </c>
      <c r="N1833" s="4" t="s">
        <v>1890</v>
      </c>
      <c r="O1833" s="8" t="s">
        <v>1935</v>
      </c>
      <c r="P1833" s="8">
        <v>796</v>
      </c>
      <c r="Q1833" s="8" t="s">
        <v>3196</v>
      </c>
      <c r="R1833" s="10">
        <v>68</v>
      </c>
      <c r="S1833" s="10">
        <v>500</v>
      </c>
      <c r="T1833" s="10">
        <f t="shared" ref="T1833" si="926">S1833*R1833</f>
        <v>34000</v>
      </c>
      <c r="U1833" s="10">
        <f t="shared" ref="U1833" si="927">T1833*1.12</f>
        <v>38080</v>
      </c>
      <c r="V1833" s="4"/>
      <c r="W1833" s="1">
        <v>2015</v>
      </c>
      <c r="X1833" s="68"/>
      <c r="Y1833" s="217"/>
    </row>
    <row r="1834" spans="1:25" s="133" customFormat="1" ht="89.25" customHeight="1" outlineLevel="1" x14ac:dyDescent="0.2">
      <c r="A1834" s="1" t="s">
        <v>2634</v>
      </c>
      <c r="B1834" s="16" t="s">
        <v>5277</v>
      </c>
      <c r="C1834" s="4" t="s">
        <v>1054</v>
      </c>
      <c r="D1834" s="4" t="s">
        <v>866</v>
      </c>
      <c r="E1834" s="4" t="s">
        <v>1055</v>
      </c>
      <c r="F1834" s="4"/>
      <c r="G1834" s="4" t="s">
        <v>1888</v>
      </c>
      <c r="H1834" s="22">
        <v>0</v>
      </c>
      <c r="I1834" s="4">
        <v>710000000</v>
      </c>
      <c r="J1834" s="4" t="s">
        <v>1931</v>
      </c>
      <c r="K1834" s="4" t="s">
        <v>5297</v>
      </c>
      <c r="L1834" s="4" t="s">
        <v>1027</v>
      </c>
      <c r="M1834" s="8" t="s">
        <v>3195</v>
      </c>
      <c r="N1834" s="4" t="s">
        <v>1890</v>
      </c>
      <c r="O1834" s="8" t="s">
        <v>1935</v>
      </c>
      <c r="P1834" s="8">
        <v>796</v>
      </c>
      <c r="Q1834" s="8" t="s">
        <v>3196</v>
      </c>
      <c r="R1834" s="10">
        <v>120</v>
      </c>
      <c r="S1834" s="10">
        <v>250</v>
      </c>
      <c r="T1834" s="10">
        <v>0</v>
      </c>
      <c r="U1834" s="10">
        <f t="shared" si="905"/>
        <v>0</v>
      </c>
      <c r="V1834" s="4"/>
      <c r="W1834" s="1">
        <v>2015</v>
      </c>
      <c r="X1834" s="66">
        <v>11</v>
      </c>
    </row>
    <row r="1835" spans="1:25" s="133" customFormat="1" ht="89.25" customHeight="1" outlineLevel="1" x14ac:dyDescent="0.2">
      <c r="A1835" s="1" t="s">
        <v>8313</v>
      </c>
      <c r="B1835" s="16" t="s">
        <v>5277</v>
      </c>
      <c r="C1835" s="4" t="s">
        <v>1054</v>
      </c>
      <c r="D1835" s="4" t="s">
        <v>866</v>
      </c>
      <c r="E1835" s="4" t="s">
        <v>1055</v>
      </c>
      <c r="F1835" s="4"/>
      <c r="G1835" s="4" t="s">
        <v>1888</v>
      </c>
      <c r="H1835" s="22">
        <v>0</v>
      </c>
      <c r="I1835" s="4">
        <v>710000000</v>
      </c>
      <c r="J1835" s="4" t="s">
        <v>1931</v>
      </c>
      <c r="K1835" s="4" t="s">
        <v>756</v>
      </c>
      <c r="L1835" s="4" t="s">
        <v>1027</v>
      </c>
      <c r="M1835" s="8" t="s">
        <v>3195</v>
      </c>
      <c r="N1835" s="4" t="s">
        <v>1890</v>
      </c>
      <c r="O1835" s="8" t="s">
        <v>1935</v>
      </c>
      <c r="P1835" s="8">
        <v>796</v>
      </c>
      <c r="Q1835" s="8" t="s">
        <v>3196</v>
      </c>
      <c r="R1835" s="10">
        <v>120</v>
      </c>
      <c r="S1835" s="10">
        <v>250</v>
      </c>
      <c r="T1835" s="10">
        <f t="shared" ref="T1835" si="928">S1835*R1835</f>
        <v>30000</v>
      </c>
      <c r="U1835" s="10">
        <f t="shared" ref="U1835" si="929">T1835*1.12</f>
        <v>33600</v>
      </c>
      <c r="V1835" s="4"/>
      <c r="W1835" s="1">
        <v>2015</v>
      </c>
      <c r="X1835" s="68"/>
    </row>
    <row r="1836" spans="1:25" s="133" customFormat="1" ht="76.5" customHeight="1" outlineLevel="1" x14ac:dyDescent="0.2">
      <c r="A1836" s="1" t="s">
        <v>2635</v>
      </c>
      <c r="B1836" s="16" t="s">
        <v>5277</v>
      </c>
      <c r="C1836" s="4" t="s">
        <v>3729</v>
      </c>
      <c r="D1836" s="4" t="s">
        <v>6164</v>
      </c>
      <c r="E1836" s="4" t="s">
        <v>6165</v>
      </c>
      <c r="F1836" s="4"/>
      <c r="G1836" s="4" t="s">
        <v>1888</v>
      </c>
      <c r="H1836" s="22">
        <v>0</v>
      </c>
      <c r="I1836" s="4">
        <v>710000000</v>
      </c>
      <c r="J1836" s="4" t="s">
        <v>1931</v>
      </c>
      <c r="K1836" s="4" t="s">
        <v>5297</v>
      </c>
      <c r="L1836" s="4" t="s">
        <v>1027</v>
      </c>
      <c r="M1836" s="8" t="s">
        <v>3195</v>
      </c>
      <c r="N1836" s="4" t="s">
        <v>1890</v>
      </c>
      <c r="O1836" s="8" t="s">
        <v>1935</v>
      </c>
      <c r="P1836" s="8">
        <v>796</v>
      </c>
      <c r="Q1836" s="8" t="s">
        <v>3196</v>
      </c>
      <c r="R1836" s="10">
        <v>17</v>
      </c>
      <c r="S1836" s="10">
        <v>100</v>
      </c>
      <c r="T1836" s="10">
        <v>0</v>
      </c>
      <c r="U1836" s="10">
        <f t="shared" si="905"/>
        <v>0</v>
      </c>
      <c r="V1836" s="4"/>
      <c r="W1836" s="1">
        <v>2015</v>
      </c>
      <c r="X1836" s="66">
        <v>11</v>
      </c>
    </row>
    <row r="1837" spans="1:25" s="133" customFormat="1" ht="76.5" customHeight="1" outlineLevel="1" x14ac:dyDescent="0.2">
      <c r="A1837" s="1" t="s">
        <v>8314</v>
      </c>
      <c r="B1837" s="16" t="s">
        <v>5277</v>
      </c>
      <c r="C1837" s="4" t="s">
        <v>3729</v>
      </c>
      <c r="D1837" s="4" t="s">
        <v>6164</v>
      </c>
      <c r="E1837" s="4" t="s">
        <v>6165</v>
      </c>
      <c r="F1837" s="4"/>
      <c r="G1837" s="4" t="s">
        <v>1888</v>
      </c>
      <c r="H1837" s="22">
        <v>0</v>
      </c>
      <c r="I1837" s="4">
        <v>710000000</v>
      </c>
      <c r="J1837" s="4" t="s">
        <v>1931</v>
      </c>
      <c r="K1837" s="4" t="s">
        <v>756</v>
      </c>
      <c r="L1837" s="4" t="s">
        <v>1027</v>
      </c>
      <c r="M1837" s="8" t="s">
        <v>3195</v>
      </c>
      <c r="N1837" s="4" t="s">
        <v>1890</v>
      </c>
      <c r="O1837" s="8" t="s">
        <v>1935</v>
      </c>
      <c r="P1837" s="8">
        <v>796</v>
      </c>
      <c r="Q1837" s="8" t="s">
        <v>3196</v>
      </c>
      <c r="R1837" s="10">
        <v>17</v>
      </c>
      <c r="S1837" s="10">
        <v>100</v>
      </c>
      <c r="T1837" s="10">
        <f t="shared" ref="T1837" si="930">S1837*R1837</f>
        <v>1700</v>
      </c>
      <c r="U1837" s="10">
        <f t="shared" ref="U1837" si="931">T1837*1.12</f>
        <v>1904.0000000000002</v>
      </c>
      <c r="V1837" s="4"/>
      <c r="W1837" s="1">
        <v>2015</v>
      </c>
      <c r="X1837" s="68"/>
    </row>
    <row r="1838" spans="1:25" s="133" customFormat="1" ht="76.5" customHeight="1" outlineLevel="1" x14ac:dyDescent="0.2">
      <c r="A1838" s="1" t="s">
        <v>2636</v>
      </c>
      <c r="B1838" s="16" t="s">
        <v>5277</v>
      </c>
      <c r="C1838" s="4" t="s">
        <v>1056</v>
      </c>
      <c r="D1838" s="4" t="s">
        <v>6164</v>
      </c>
      <c r="E1838" s="4" t="s">
        <v>1057</v>
      </c>
      <c r="F1838" s="4"/>
      <c r="G1838" s="4" t="s">
        <v>1888</v>
      </c>
      <c r="H1838" s="22">
        <v>0</v>
      </c>
      <c r="I1838" s="4">
        <v>710000000</v>
      </c>
      <c r="J1838" s="4" t="s">
        <v>1931</v>
      </c>
      <c r="K1838" s="4" t="s">
        <v>5297</v>
      </c>
      <c r="L1838" s="4" t="s">
        <v>1027</v>
      </c>
      <c r="M1838" s="8" t="s">
        <v>3195</v>
      </c>
      <c r="N1838" s="4" t="s">
        <v>1890</v>
      </c>
      <c r="O1838" s="8" t="s">
        <v>1935</v>
      </c>
      <c r="P1838" s="8">
        <v>796</v>
      </c>
      <c r="Q1838" s="8" t="s">
        <v>3196</v>
      </c>
      <c r="R1838" s="10">
        <v>90</v>
      </c>
      <c r="S1838" s="10">
        <v>150</v>
      </c>
      <c r="T1838" s="10">
        <v>0</v>
      </c>
      <c r="U1838" s="10">
        <f t="shared" si="905"/>
        <v>0</v>
      </c>
      <c r="V1838" s="4"/>
      <c r="W1838" s="1">
        <v>2015</v>
      </c>
      <c r="X1838" s="66">
        <v>11</v>
      </c>
    </row>
    <row r="1839" spans="1:25" s="133" customFormat="1" ht="76.5" customHeight="1" outlineLevel="1" x14ac:dyDescent="0.2">
      <c r="A1839" s="1" t="s">
        <v>8315</v>
      </c>
      <c r="B1839" s="16" t="s">
        <v>5277</v>
      </c>
      <c r="C1839" s="4" t="s">
        <v>1056</v>
      </c>
      <c r="D1839" s="4" t="s">
        <v>6164</v>
      </c>
      <c r="E1839" s="4" t="s">
        <v>1057</v>
      </c>
      <c r="F1839" s="4"/>
      <c r="G1839" s="4" t="s">
        <v>1888</v>
      </c>
      <c r="H1839" s="22">
        <v>0</v>
      </c>
      <c r="I1839" s="4">
        <v>710000000</v>
      </c>
      <c r="J1839" s="4" t="s">
        <v>1931</v>
      </c>
      <c r="K1839" s="4" t="s">
        <v>756</v>
      </c>
      <c r="L1839" s="4" t="s">
        <v>1027</v>
      </c>
      <c r="M1839" s="8" t="s">
        <v>3195</v>
      </c>
      <c r="N1839" s="4" t="s">
        <v>1890</v>
      </c>
      <c r="O1839" s="8" t="s">
        <v>1935</v>
      </c>
      <c r="P1839" s="8">
        <v>796</v>
      </c>
      <c r="Q1839" s="8" t="s">
        <v>3196</v>
      </c>
      <c r="R1839" s="10">
        <v>90</v>
      </c>
      <c r="S1839" s="10">
        <v>150</v>
      </c>
      <c r="T1839" s="10">
        <f t="shared" ref="T1839" si="932">S1839*R1839</f>
        <v>13500</v>
      </c>
      <c r="U1839" s="10">
        <f t="shared" ref="U1839" si="933">T1839*1.12</f>
        <v>15120.000000000002</v>
      </c>
      <c r="V1839" s="4"/>
      <c r="W1839" s="1">
        <v>2015</v>
      </c>
      <c r="X1839" s="68"/>
    </row>
    <row r="1840" spans="1:25" s="133" customFormat="1" ht="76.5" customHeight="1" outlineLevel="1" x14ac:dyDescent="0.2">
      <c r="A1840" s="1" t="s">
        <v>2637</v>
      </c>
      <c r="B1840" s="16" t="s">
        <v>5277</v>
      </c>
      <c r="C1840" s="4" t="s">
        <v>1863</v>
      </c>
      <c r="D1840" s="4" t="s">
        <v>866</v>
      </c>
      <c r="E1840" s="4" t="s">
        <v>6134</v>
      </c>
      <c r="F1840" s="4" t="s">
        <v>1058</v>
      </c>
      <c r="G1840" s="4" t="s">
        <v>1888</v>
      </c>
      <c r="H1840" s="22">
        <v>0</v>
      </c>
      <c r="I1840" s="4">
        <v>710000000</v>
      </c>
      <c r="J1840" s="4" t="s">
        <v>1931</v>
      </c>
      <c r="K1840" s="4" t="s">
        <v>5297</v>
      </c>
      <c r="L1840" s="4" t="s">
        <v>1027</v>
      </c>
      <c r="M1840" s="8" t="s">
        <v>3195</v>
      </c>
      <c r="N1840" s="4" t="s">
        <v>1890</v>
      </c>
      <c r="O1840" s="8" t="s">
        <v>1935</v>
      </c>
      <c r="P1840" s="8">
        <v>796</v>
      </c>
      <c r="Q1840" s="8" t="s">
        <v>3196</v>
      </c>
      <c r="R1840" s="10">
        <v>14</v>
      </c>
      <c r="S1840" s="10">
        <v>280</v>
      </c>
      <c r="T1840" s="10">
        <v>0</v>
      </c>
      <c r="U1840" s="10">
        <f t="shared" si="905"/>
        <v>0</v>
      </c>
      <c r="V1840" s="4"/>
      <c r="W1840" s="1">
        <v>2015</v>
      </c>
      <c r="X1840" s="66">
        <v>11</v>
      </c>
    </row>
    <row r="1841" spans="1:24" s="133" customFormat="1" ht="76.5" customHeight="1" outlineLevel="1" x14ac:dyDescent="0.2">
      <c r="A1841" s="1" t="s">
        <v>8316</v>
      </c>
      <c r="B1841" s="16" t="s">
        <v>5277</v>
      </c>
      <c r="C1841" s="4" t="s">
        <v>1863</v>
      </c>
      <c r="D1841" s="4" t="s">
        <v>866</v>
      </c>
      <c r="E1841" s="4" t="s">
        <v>6134</v>
      </c>
      <c r="F1841" s="4" t="s">
        <v>1058</v>
      </c>
      <c r="G1841" s="4" t="s">
        <v>1888</v>
      </c>
      <c r="H1841" s="22">
        <v>0</v>
      </c>
      <c r="I1841" s="4">
        <v>710000000</v>
      </c>
      <c r="J1841" s="4" t="s">
        <v>1931</v>
      </c>
      <c r="K1841" s="4" t="s">
        <v>756</v>
      </c>
      <c r="L1841" s="4" t="s">
        <v>1027</v>
      </c>
      <c r="M1841" s="8" t="s">
        <v>3195</v>
      </c>
      <c r="N1841" s="4" t="s">
        <v>1890</v>
      </c>
      <c r="O1841" s="8" t="s">
        <v>1935</v>
      </c>
      <c r="P1841" s="8">
        <v>796</v>
      </c>
      <c r="Q1841" s="8" t="s">
        <v>3196</v>
      </c>
      <c r="R1841" s="10">
        <v>14</v>
      </c>
      <c r="S1841" s="10">
        <v>280</v>
      </c>
      <c r="T1841" s="10">
        <f t="shared" ref="T1841" si="934">S1841*R1841</f>
        <v>3920</v>
      </c>
      <c r="U1841" s="10">
        <f t="shared" ref="U1841" si="935">T1841*1.12</f>
        <v>4390.4000000000005</v>
      </c>
      <c r="V1841" s="4"/>
      <c r="W1841" s="1">
        <v>2015</v>
      </c>
      <c r="X1841" s="68"/>
    </row>
    <row r="1842" spans="1:24" s="133" customFormat="1" ht="76.5" customHeight="1" outlineLevel="1" x14ac:dyDescent="0.2">
      <c r="A1842" s="1" t="s">
        <v>2638</v>
      </c>
      <c r="B1842" s="16" t="s">
        <v>5277</v>
      </c>
      <c r="C1842" s="4" t="s">
        <v>1863</v>
      </c>
      <c r="D1842" s="4" t="s">
        <v>866</v>
      </c>
      <c r="E1842" s="4" t="s">
        <v>6134</v>
      </c>
      <c r="F1842" s="4" t="s">
        <v>1059</v>
      </c>
      <c r="G1842" s="4" t="s">
        <v>1888</v>
      </c>
      <c r="H1842" s="22">
        <v>0</v>
      </c>
      <c r="I1842" s="4">
        <v>710000000</v>
      </c>
      <c r="J1842" s="4" t="s">
        <v>1931</v>
      </c>
      <c r="K1842" s="4" t="s">
        <v>5297</v>
      </c>
      <c r="L1842" s="4" t="s">
        <v>1027</v>
      </c>
      <c r="M1842" s="8" t="s">
        <v>3195</v>
      </c>
      <c r="N1842" s="4" t="s">
        <v>1890</v>
      </c>
      <c r="O1842" s="8" t="s">
        <v>1935</v>
      </c>
      <c r="P1842" s="8">
        <v>796</v>
      </c>
      <c r="Q1842" s="8" t="s">
        <v>3196</v>
      </c>
      <c r="R1842" s="10">
        <v>4</v>
      </c>
      <c r="S1842" s="10">
        <v>300</v>
      </c>
      <c r="T1842" s="10">
        <v>0</v>
      </c>
      <c r="U1842" s="10">
        <f t="shared" si="905"/>
        <v>0</v>
      </c>
      <c r="V1842" s="4"/>
      <c r="W1842" s="1">
        <v>2015</v>
      </c>
      <c r="X1842" s="66">
        <v>11</v>
      </c>
    </row>
    <row r="1843" spans="1:24" s="133" customFormat="1" ht="76.5" customHeight="1" outlineLevel="1" x14ac:dyDescent="0.2">
      <c r="A1843" s="1" t="s">
        <v>8317</v>
      </c>
      <c r="B1843" s="16" t="s">
        <v>5277</v>
      </c>
      <c r="C1843" s="4" t="s">
        <v>1863</v>
      </c>
      <c r="D1843" s="4" t="s">
        <v>866</v>
      </c>
      <c r="E1843" s="4" t="s">
        <v>6134</v>
      </c>
      <c r="F1843" s="4" t="s">
        <v>1059</v>
      </c>
      <c r="G1843" s="4" t="s">
        <v>1888</v>
      </c>
      <c r="H1843" s="22">
        <v>0</v>
      </c>
      <c r="I1843" s="4">
        <v>710000000</v>
      </c>
      <c r="J1843" s="4" t="s">
        <v>1931</v>
      </c>
      <c r="K1843" s="4" t="s">
        <v>756</v>
      </c>
      <c r="L1843" s="4" t="s">
        <v>1027</v>
      </c>
      <c r="M1843" s="8" t="s">
        <v>3195</v>
      </c>
      <c r="N1843" s="4" t="s">
        <v>1890</v>
      </c>
      <c r="O1843" s="8" t="s">
        <v>1935</v>
      </c>
      <c r="P1843" s="8">
        <v>796</v>
      </c>
      <c r="Q1843" s="8" t="s">
        <v>3196</v>
      </c>
      <c r="R1843" s="10">
        <v>4</v>
      </c>
      <c r="S1843" s="10">
        <v>300</v>
      </c>
      <c r="T1843" s="10">
        <f t="shared" ref="T1843" si="936">S1843*R1843</f>
        <v>1200</v>
      </c>
      <c r="U1843" s="10">
        <f t="shared" ref="U1843" si="937">T1843*1.12</f>
        <v>1344.0000000000002</v>
      </c>
      <c r="V1843" s="4"/>
      <c r="W1843" s="1">
        <v>2015</v>
      </c>
      <c r="X1843" s="68"/>
    </row>
    <row r="1844" spans="1:24" s="133" customFormat="1" ht="76.5" customHeight="1" outlineLevel="1" x14ac:dyDescent="0.2">
      <c r="A1844" s="1" t="s">
        <v>2639</v>
      </c>
      <c r="B1844" s="16" t="s">
        <v>5277</v>
      </c>
      <c r="C1844" s="4" t="s">
        <v>1863</v>
      </c>
      <c r="D1844" s="4" t="s">
        <v>866</v>
      </c>
      <c r="E1844" s="4" t="s">
        <v>6134</v>
      </c>
      <c r="F1844" s="4" t="s">
        <v>1060</v>
      </c>
      <c r="G1844" s="4" t="s">
        <v>1888</v>
      </c>
      <c r="H1844" s="22">
        <v>0</v>
      </c>
      <c r="I1844" s="4">
        <v>710000000</v>
      </c>
      <c r="J1844" s="4" t="s">
        <v>1931</v>
      </c>
      <c r="K1844" s="4" t="s">
        <v>5297</v>
      </c>
      <c r="L1844" s="4" t="s">
        <v>1027</v>
      </c>
      <c r="M1844" s="8" t="s">
        <v>3195</v>
      </c>
      <c r="N1844" s="4" t="s">
        <v>1890</v>
      </c>
      <c r="O1844" s="8" t="s">
        <v>1935</v>
      </c>
      <c r="P1844" s="8">
        <v>796</v>
      </c>
      <c r="Q1844" s="8" t="s">
        <v>3196</v>
      </c>
      <c r="R1844" s="10">
        <v>4</v>
      </c>
      <c r="S1844" s="10">
        <v>800</v>
      </c>
      <c r="T1844" s="10">
        <v>0</v>
      </c>
      <c r="U1844" s="10">
        <f t="shared" si="905"/>
        <v>0</v>
      </c>
      <c r="V1844" s="4"/>
      <c r="W1844" s="1">
        <v>2015</v>
      </c>
      <c r="X1844" s="66">
        <v>11</v>
      </c>
    </row>
    <row r="1845" spans="1:24" s="133" customFormat="1" ht="76.5" customHeight="1" outlineLevel="1" x14ac:dyDescent="0.2">
      <c r="A1845" s="1" t="s">
        <v>8318</v>
      </c>
      <c r="B1845" s="16" t="s">
        <v>5277</v>
      </c>
      <c r="C1845" s="4" t="s">
        <v>1863</v>
      </c>
      <c r="D1845" s="4" t="s">
        <v>866</v>
      </c>
      <c r="E1845" s="4" t="s">
        <v>6134</v>
      </c>
      <c r="F1845" s="4" t="s">
        <v>1060</v>
      </c>
      <c r="G1845" s="4" t="s">
        <v>1888</v>
      </c>
      <c r="H1845" s="22">
        <v>0</v>
      </c>
      <c r="I1845" s="4">
        <v>710000000</v>
      </c>
      <c r="J1845" s="4" t="s">
        <v>1931</v>
      </c>
      <c r="K1845" s="4" t="s">
        <v>756</v>
      </c>
      <c r="L1845" s="4" t="s">
        <v>1027</v>
      </c>
      <c r="M1845" s="8" t="s">
        <v>3195</v>
      </c>
      <c r="N1845" s="4" t="s">
        <v>1890</v>
      </c>
      <c r="O1845" s="8" t="s">
        <v>1935</v>
      </c>
      <c r="P1845" s="8">
        <v>796</v>
      </c>
      <c r="Q1845" s="8" t="s">
        <v>3196</v>
      </c>
      <c r="R1845" s="10">
        <v>4</v>
      </c>
      <c r="S1845" s="10">
        <v>800</v>
      </c>
      <c r="T1845" s="10">
        <f t="shared" ref="T1845" si="938">S1845*R1845</f>
        <v>3200</v>
      </c>
      <c r="U1845" s="10">
        <f t="shared" ref="U1845" si="939">T1845*1.12</f>
        <v>3584.0000000000005</v>
      </c>
      <c r="V1845" s="4"/>
      <c r="W1845" s="1">
        <v>2015</v>
      </c>
      <c r="X1845" s="68"/>
    </row>
    <row r="1846" spans="1:24" s="133" customFormat="1" ht="76.5" customHeight="1" outlineLevel="1" x14ac:dyDescent="0.2">
      <c r="A1846" s="1" t="s">
        <v>2640</v>
      </c>
      <c r="B1846" s="16" t="s">
        <v>5277</v>
      </c>
      <c r="C1846" s="4" t="s">
        <v>1863</v>
      </c>
      <c r="D1846" s="4" t="s">
        <v>866</v>
      </c>
      <c r="E1846" s="4" t="s">
        <v>6134</v>
      </c>
      <c r="F1846" s="4" t="s">
        <v>1061</v>
      </c>
      <c r="G1846" s="4" t="s">
        <v>1888</v>
      </c>
      <c r="H1846" s="22">
        <v>0</v>
      </c>
      <c r="I1846" s="4">
        <v>710000000</v>
      </c>
      <c r="J1846" s="4" t="s">
        <v>1931</v>
      </c>
      <c r="K1846" s="4" t="s">
        <v>5297</v>
      </c>
      <c r="L1846" s="4" t="s">
        <v>1027</v>
      </c>
      <c r="M1846" s="8" t="s">
        <v>3195</v>
      </c>
      <c r="N1846" s="4" t="s">
        <v>1890</v>
      </c>
      <c r="O1846" s="8" t="s">
        <v>1935</v>
      </c>
      <c r="P1846" s="8">
        <v>796</v>
      </c>
      <c r="Q1846" s="8" t="s">
        <v>3196</v>
      </c>
      <c r="R1846" s="10">
        <v>3</v>
      </c>
      <c r="S1846" s="10">
        <v>8685</v>
      </c>
      <c r="T1846" s="10">
        <v>0</v>
      </c>
      <c r="U1846" s="10">
        <f t="shared" si="905"/>
        <v>0</v>
      </c>
      <c r="V1846" s="4"/>
      <c r="W1846" s="1">
        <v>2015</v>
      </c>
      <c r="X1846" s="66">
        <v>11</v>
      </c>
    </row>
    <row r="1847" spans="1:24" s="133" customFormat="1" ht="76.5" customHeight="1" outlineLevel="1" x14ac:dyDescent="0.2">
      <c r="A1847" s="1" t="s">
        <v>8319</v>
      </c>
      <c r="B1847" s="16" t="s">
        <v>5277</v>
      </c>
      <c r="C1847" s="4" t="s">
        <v>1863</v>
      </c>
      <c r="D1847" s="4" t="s">
        <v>866</v>
      </c>
      <c r="E1847" s="4" t="s">
        <v>6134</v>
      </c>
      <c r="F1847" s="4" t="s">
        <v>1061</v>
      </c>
      <c r="G1847" s="4" t="s">
        <v>1888</v>
      </c>
      <c r="H1847" s="22">
        <v>0</v>
      </c>
      <c r="I1847" s="4">
        <v>710000000</v>
      </c>
      <c r="J1847" s="4" t="s">
        <v>1931</v>
      </c>
      <c r="K1847" s="4" t="s">
        <v>756</v>
      </c>
      <c r="L1847" s="4" t="s">
        <v>1027</v>
      </c>
      <c r="M1847" s="8" t="s">
        <v>3195</v>
      </c>
      <c r="N1847" s="4" t="s">
        <v>1890</v>
      </c>
      <c r="O1847" s="8" t="s">
        <v>1935</v>
      </c>
      <c r="P1847" s="8">
        <v>796</v>
      </c>
      <c r="Q1847" s="8" t="s">
        <v>3196</v>
      </c>
      <c r="R1847" s="10">
        <v>3</v>
      </c>
      <c r="S1847" s="10">
        <v>8685</v>
      </c>
      <c r="T1847" s="10">
        <f t="shared" ref="T1847" si="940">S1847*R1847</f>
        <v>26055</v>
      </c>
      <c r="U1847" s="10">
        <f t="shared" ref="U1847" si="941">T1847*1.12</f>
        <v>29181.600000000002</v>
      </c>
      <c r="V1847" s="4"/>
      <c r="W1847" s="1">
        <v>2015</v>
      </c>
      <c r="X1847" s="68"/>
    </row>
    <row r="1848" spans="1:24" s="133" customFormat="1" ht="76.5" customHeight="1" outlineLevel="1" x14ac:dyDescent="0.2">
      <c r="A1848" s="1" t="s">
        <v>2641</v>
      </c>
      <c r="B1848" s="16" t="s">
        <v>5277</v>
      </c>
      <c r="C1848" s="4" t="s">
        <v>1863</v>
      </c>
      <c r="D1848" s="4" t="s">
        <v>866</v>
      </c>
      <c r="E1848" s="4" t="s">
        <v>6134</v>
      </c>
      <c r="F1848" s="4" t="s">
        <v>1062</v>
      </c>
      <c r="G1848" s="4" t="s">
        <v>1888</v>
      </c>
      <c r="H1848" s="22">
        <v>0</v>
      </c>
      <c r="I1848" s="4">
        <v>710000000</v>
      </c>
      <c r="J1848" s="4" t="s">
        <v>1931</v>
      </c>
      <c r="K1848" s="4" t="s">
        <v>5297</v>
      </c>
      <c r="L1848" s="4" t="s">
        <v>1027</v>
      </c>
      <c r="M1848" s="8" t="s">
        <v>3195</v>
      </c>
      <c r="N1848" s="4" t="s">
        <v>1890</v>
      </c>
      <c r="O1848" s="8" t="s">
        <v>1935</v>
      </c>
      <c r="P1848" s="8">
        <v>796</v>
      </c>
      <c r="Q1848" s="8" t="s">
        <v>3196</v>
      </c>
      <c r="R1848" s="10">
        <v>1</v>
      </c>
      <c r="S1848" s="10">
        <v>900</v>
      </c>
      <c r="T1848" s="10">
        <v>0</v>
      </c>
      <c r="U1848" s="10">
        <f t="shared" si="905"/>
        <v>0</v>
      </c>
      <c r="V1848" s="4"/>
      <c r="W1848" s="1">
        <v>2015</v>
      </c>
      <c r="X1848" s="66">
        <v>11</v>
      </c>
    </row>
    <row r="1849" spans="1:24" s="133" customFormat="1" ht="76.5" customHeight="1" outlineLevel="1" x14ac:dyDescent="0.2">
      <c r="A1849" s="1" t="s">
        <v>8320</v>
      </c>
      <c r="B1849" s="16" t="s">
        <v>5277</v>
      </c>
      <c r="C1849" s="4" t="s">
        <v>1863</v>
      </c>
      <c r="D1849" s="4" t="s">
        <v>866</v>
      </c>
      <c r="E1849" s="4" t="s">
        <v>6134</v>
      </c>
      <c r="F1849" s="4" t="s">
        <v>1062</v>
      </c>
      <c r="G1849" s="4" t="s">
        <v>1888</v>
      </c>
      <c r="H1849" s="22">
        <v>0</v>
      </c>
      <c r="I1849" s="4">
        <v>710000000</v>
      </c>
      <c r="J1849" s="4" t="s">
        <v>1931</v>
      </c>
      <c r="K1849" s="4" t="s">
        <v>756</v>
      </c>
      <c r="L1849" s="4" t="s">
        <v>1027</v>
      </c>
      <c r="M1849" s="8" t="s">
        <v>3195</v>
      </c>
      <c r="N1849" s="4" t="s">
        <v>1890</v>
      </c>
      <c r="O1849" s="8" t="s">
        <v>1935</v>
      </c>
      <c r="P1849" s="8">
        <v>796</v>
      </c>
      <c r="Q1849" s="8" t="s">
        <v>3196</v>
      </c>
      <c r="R1849" s="10">
        <v>1</v>
      </c>
      <c r="S1849" s="10">
        <v>900</v>
      </c>
      <c r="T1849" s="10">
        <f t="shared" ref="T1849" si="942">S1849*R1849</f>
        <v>900</v>
      </c>
      <c r="U1849" s="10">
        <f t="shared" ref="U1849" si="943">T1849*1.12</f>
        <v>1008.0000000000001</v>
      </c>
      <c r="V1849" s="4"/>
      <c r="W1849" s="1">
        <v>2015</v>
      </c>
      <c r="X1849" s="68"/>
    </row>
    <row r="1850" spans="1:24" s="133" customFormat="1" ht="76.5" customHeight="1" outlineLevel="1" x14ac:dyDescent="0.2">
      <c r="A1850" s="1" t="s">
        <v>2642</v>
      </c>
      <c r="B1850" s="16" t="s">
        <v>5277</v>
      </c>
      <c r="C1850" s="4" t="s">
        <v>1863</v>
      </c>
      <c r="D1850" s="4" t="s">
        <v>866</v>
      </c>
      <c r="E1850" s="4" t="s">
        <v>6134</v>
      </c>
      <c r="F1850" s="4" t="s">
        <v>1063</v>
      </c>
      <c r="G1850" s="4" t="s">
        <v>1888</v>
      </c>
      <c r="H1850" s="22">
        <v>0</v>
      </c>
      <c r="I1850" s="4">
        <v>710000000</v>
      </c>
      <c r="J1850" s="4" t="s">
        <v>1931</v>
      </c>
      <c r="K1850" s="4" t="s">
        <v>5297</v>
      </c>
      <c r="L1850" s="4" t="s">
        <v>1027</v>
      </c>
      <c r="M1850" s="8" t="s">
        <v>3195</v>
      </c>
      <c r="N1850" s="4" t="s">
        <v>1890</v>
      </c>
      <c r="O1850" s="8" t="s">
        <v>1935</v>
      </c>
      <c r="P1850" s="8">
        <v>796</v>
      </c>
      <c r="Q1850" s="8" t="s">
        <v>3196</v>
      </c>
      <c r="R1850" s="10">
        <v>21</v>
      </c>
      <c r="S1850" s="10">
        <v>280</v>
      </c>
      <c r="T1850" s="10">
        <v>0</v>
      </c>
      <c r="U1850" s="10">
        <f t="shared" si="905"/>
        <v>0</v>
      </c>
      <c r="V1850" s="4"/>
      <c r="W1850" s="1">
        <v>2015</v>
      </c>
      <c r="X1850" s="66">
        <v>11</v>
      </c>
    </row>
    <row r="1851" spans="1:24" s="133" customFormat="1" ht="76.5" customHeight="1" outlineLevel="1" x14ac:dyDescent="0.2">
      <c r="A1851" s="1" t="s">
        <v>8321</v>
      </c>
      <c r="B1851" s="16" t="s">
        <v>5277</v>
      </c>
      <c r="C1851" s="4" t="s">
        <v>1863</v>
      </c>
      <c r="D1851" s="4" t="s">
        <v>866</v>
      </c>
      <c r="E1851" s="4" t="s">
        <v>6134</v>
      </c>
      <c r="F1851" s="4" t="s">
        <v>1063</v>
      </c>
      <c r="G1851" s="4" t="s">
        <v>1888</v>
      </c>
      <c r="H1851" s="22">
        <v>0</v>
      </c>
      <c r="I1851" s="4">
        <v>710000000</v>
      </c>
      <c r="J1851" s="4" t="s">
        <v>1931</v>
      </c>
      <c r="K1851" s="4" t="s">
        <v>756</v>
      </c>
      <c r="L1851" s="4" t="s">
        <v>1027</v>
      </c>
      <c r="M1851" s="8" t="s">
        <v>3195</v>
      </c>
      <c r="N1851" s="4" t="s">
        <v>1890</v>
      </c>
      <c r="O1851" s="8" t="s">
        <v>1935</v>
      </c>
      <c r="P1851" s="8">
        <v>796</v>
      </c>
      <c r="Q1851" s="8" t="s">
        <v>3196</v>
      </c>
      <c r="R1851" s="10">
        <v>21</v>
      </c>
      <c r="S1851" s="10">
        <v>280</v>
      </c>
      <c r="T1851" s="10">
        <f t="shared" ref="T1851" si="944">S1851*R1851</f>
        <v>5880</v>
      </c>
      <c r="U1851" s="10">
        <f t="shared" ref="U1851" si="945">T1851*1.12</f>
        <v>6585.6</v>
      </c>
      <c r="V1851" s="4"/>
      <c r="W1851" s="1">
        <v>2015</v>
      </c>
      <c r="X1851" s="68"/>
    </row>
    <row r="1852" spans="1:24" s="133" customFormat="1" ht="76.5" customHeight="1" outlineLevel="1" x14ac:dyDescent="0.2">
      <c r="A1852" s="1" t="s">
        <v>2643</v>
      </c>
      <c r="B1852" s="16" t="s">
        <v>5277</v>
      </c>
      <c r="C1852" s="4" t="s">
        <v>1863</v>
      </c>
      <c r="D1852" s="4" t="s">
        <v>866</v>
      </c>
      <c r="E1852" s="4" t="s">
        <v>6134</v>
      </c>
      <c r="F1852" s="4" t="s">
        <v>1064</v>
      </c>
      <c r="G1852" s="4" t="s">
        <v>1888</v>
      </c>
      <c r="H1852" s="22">
        <v>0</v>
      </c>
      <c r="I1852" s="4">
        <v>710000000</v>
      </c>
      <c r="J1852" s="4" t="s">
        <v>1931</v>
      </c>
      <c r="K1852" s="4" t="s">
        <v>5297</v>
      </c>
      <c r="L1852" s="4" t="s">
        <v>1027</v>
      </c>
      <c r="M1852" s="8" t="s">
        <v>3195</v>
      </c>
      <c r="N1852" s="4" t="s">
        <v>1890</v>
      </c>
      <c r="O1852" s="8" t="s">
        <v>1935</v>
      </c>
      <c r="P1852" s="8">
        <v>796</v>
      </c>
      <c r="Q1852" s="8" t="s">
        <v>3196</v>
      </c>
      <c r="R1852" s="10">
        <v>1</v>
      </c>
      <c r="S1852" s="10">
        <v>850</v>
      </c>
      <c r="T1852" s="10">
        <v>0</v>
      </c>
      <c r="U1852" s="10">
        <f t="shared" si="905"/>
        <v>0</v>
      </c>
      <c r="V1852" s="4"/>
      <c r="W1852" s="1">
        <v>2015</v>
      </c>
      <c r="X1852" s="66">
        <v>11</v>
      </c>
    </row>
    <row r="1853" spans="1:24" s="133" customFormat="1" ht="76.5" customHeight="1" outlineLevel="1" x14ac:dyDescent="0.2">
      <c r="A1853" s="1" t="s">
        <v>8322</v>
      </c>
      <c r="B1853" s="16" t="s">
        <v>5277</v>
      </c>
      <c r="C1853" s="4" t="s">
        <v>1863</v>
      </c>
      <c r="D1853" s="4" t="s">
        <v>866</v>
      </c>
      <c r="E1853" s="4" t="s">
        <v>6134</v>
      </c>
      <c r="F1853" s="4" t="s">
        <v>1064</v>
      </c>
      <c r="G1853" s="4" t="s">
        <v>1888</v>
      </c>
      <c r="H1853" s="22">
        <v>0</v>
      </c>
      <c r="I1853" s="4">
        <v>710000000</v>
      </c>
      <c r="J1853" s="4" t="s">
        <v>1931</v>
      </c>
      <c r="K1853" s="4" t="s">
        <v>756</v>
      </c>
      <c r="L1853" s="4" t="s">
        <v>1027</v>
      </c>
      <c r="M1853" s="8" t="s">
        <v>3195</v>
      </c>
      <c r="N1853" s="4" t="s">
        <v>1890</v>
      </c>
      <c r="O1853" s="8" t="s">
        <v>1935</v>
      </c>
      <c r="P1853" s="8">
        <v>796</v>
      </c>
      <c r="Q1853" s="8" t="s">
        <v>3196</v>
      </c>
      <c r="R1853" s="10">
        <v>1</v>
      </c>
      <c r="S1853" s="10">
        <v>850</v>
      </c>
      <c r="T1853" s="10">
        <f t="shared" ref="T1853" si="946">S1853*R1853</f>
        <v>850</v>
      </c>
      <c r="U1853" s="10">
        <f t="shared" ref="U1853" si="947">T1853*1.12</f>
        <v>952.00000000000011</v>
      </c>
      <c r="V1853" s="4"/>
      <c r="W1853" s="1">
        <v>2015</v>
      </c>
      <c r="X1853" s="68"/>
    </row>
    <row r="1854" spans="1:24" s="133" customFormat="1" ht="76.5" customHeight="1" outlineLevel="1" x14ac:dyDescent="0.2">
      <c r="A1854" s="1" t="s">
        <v>2644</v>
      </c>
      <c r="B1854" s="16" t="s">
        <v>5277</v>
      </c>
      <c r="C1854" s="4" t="s">
        <v>1863</v>
      </c>
      <c r="D1854" s="4" t="s">
        <v>866</v>
      </c>
      <c r="E1854" s="4" t="s">
        <v>6134</v>
      </c>
      <c r="F1854" s="4" t="s">
        <v>1065</v>
      </c>
      <c r="G1854" s="4" t="s">
        <v>1888</v>
      </c>
      <c r="H1854" s="22">
        <v>0</v>
      </c>
      <c r="I1854" s="4">
        <v>710000000</v>
      </c>
      <c r="J1854" s="4" t="s">
        <v>1931</v>
      </c>
      <c r="K1854" s="4" t="s">
        <v>5297</v>
      </c>
      <c r="L1854" s="4" t="s">
        <v>1027</v>
      </c>
      <c r="M1854" s="8" t="s">
        <v>3195</v>
      </c>
      <c r="N1854" s="4" t="s">
        <v>1890</v>
      </c>
      <c r="O1854" s="8" t="s">
        <v>1935</v>
      </c>
      <c r="P1854" s="8">
        <v>796</v>
      </c>
      <c r="Q1854" s="8" t="s">
        <v>3196</v>
      </c>
      <c r="R1854" s="10">
        <v>6</v>
      </c>
      <c r="S1854" s="10">
        <v>250</v>
      </c>
      <c r="T1854" s="10">
        <v>0</v>
      </c>
      <c r="U1854" s="10">
        <f t="shared" si="905"/>
        <v>0</v>
      </c>
      <c r="V1854" s="4"/>
      <c r="W1854" s="1">
        <v>2015</v>
      </c>
      <c r="X1854" s="66">
        <v>11</v>
      </c>
    </row>
    <row r="1855" spans="1:24" s="133" customFormat="1" ht="76.5" customHeight="1" outlineLevel="1" x14ac:dyDescent="0.2">
      <c r="A1855" s="1" t="s">
        <v>8323</v>
      </c>
      <c r="B1855" s="16" t="s">
        <v>5277</v>
      </c>
      <c r="C1855" s="4" t="s">
        <v>1863</v>
      </c>
      <c r="D1855" s="4" t="s">
        <v>866</v>
      </c>
      <c r="E1855" s="4" t="s">
        <v>6134</v>
      </c>
      <c r="F1855" s="4" t="s">
        <v>1065</v>
      </c>
      <c r="G1855" s="4" t="s">
        <v>1888</v>
      </c>
      <c r="H1855" s="22">
        <v>0</v>
      </c>
      <c r="I1855" s="4">
        <v>710000000</v>
      </c>
      <c r="J1855" s="4" t="s">
        <v>1931</v>
      </c>
      <c r="K1855" s="4" t="s">
        <v>5297</v>
      </c>
      <c r="L1855" s="4" t="s">
        <v>1027</v>
      </c>
      <c r="M1855" s="8" t="s">
        <v>3195</v>
      </c>
      <c r="N1855" s="4" t="s">
        <v>1890</v>
      </c>
      <c r="O1855" s="8" t="s">
        <v>1935</v>
      </c>
      <c r="P1855" s="8">
        <v>796</v>
      </c>
      <c r="Q1855" s="8" t="s">
        <v>3196</v>
      </c>
      <c r="R1855" s="10">
        <v>6</v>
      </c>
      <c r="S1855" s="10">
        <v>250</v>
      </c>
      <c r="T1855" s="10">
        <f t="shared" ref="T1855" si="948">S1855*R1855</f>
        <v>1500</v>
      </c>
      <c r="U1855" s="10">
        <f t="shared" ref="U1855" si="949">T1855*1.12</f>
        <v>1680.0000000000002</v>
      </c>
      <c r="V1855" s="4"/>
      <c r="W1855" s="1">
        <v>2015</v>
      </c>
      <c r="X1855" s="68"/>
    </row>
    <row r="1856" spans="1:24" s="133" customFormat="1" ht="76.5" customHeight="1" outlineLevel="1" x14ac:dyDescent="0.2">
      <c r="A1856" s="1" t="s">
        <v>2645</v>
      </c>
      <c r="B1856" s="16" t="s">
        <v>5277</v>
      </c>
      <c r="C1856" s="4" t="s">
        <v>3246</v>
      </c>
      <c r="D1856" s="4" t="s">
        <v>6132</v>
      </c>
      <c r="E1856" s="4" t="s">
        <v>6151</v>
      </c>
      <c r="F1856" s="4" t="s">
        <v>1066</v>
      </c>
      <c r="G1856" s="4" t="s">
        <v>1888</v>
      </c>
      <c r="H1856" s="22">
        <v>0</v>
      </c>
      <c r="I1856" s="4">
        <v>710000000</v>
      </c>
      <c r="J1856" s="4" t="s">
        <v>1931</v>
      </c>
      <c r="K1856" s="4" t="s">
        <v>5297</v>
      </c>
      <c r="L1856" s="4" t="s">
        <v>1027</v>
      </c>
      <c r="M1856" s="8" t="s">
        <v>3195</v>
      </c>
      <c r="N1856" s="4" t="s">
        <v>1890</v>
      </c>
      <c r="O1856" s="8" t="s">
        <v>1935</v>
      </c>
      <c r="P1856" s="8">
        <v>796</v>
      </c>
      <c r="Q1856" s="8" t="s">
        <v>3196</v>
      </c>
      <c r="R1856" s="10">
        <v>96</v>
      </c>
      <c r="S1856" s="10">
        <v>10000</v>
      </c>
      <c r="T1856" s="10">
        <v>0</v>
      </c>
      <c r="U1856" s="10">
        <f t="shared" si="905"/>
        <v>0</v>
      </c>
      <c r="V1856" s="4"/>
      <c r="W1856" s="1">
        <v>2015</v>
      </c>
      <c r="X1856" s="66">
        <v>11</v>
      </c>
    </row>
    <row r="1857" spans="1:25" s="133" customFormat="1" ht="76.5" customHeight="1" outlineLevel="1" x14ac:dyDescent="0.2">
      <c r="A1857" s="1" t="s">
        <v>8324</v>
      </c>
      <c r="B1857" s="16" t="s">
        <v>5277</v>
      </c>
      <c r="C1857" s="4" t="s">
        <v>3246</v>
      </c>
      <c r="D1857" s="4" t="s">
        <v>6132</v>
      </c>
      <c r="E1857" s="4" t="s">
        <v>6151</v>
      </c>
      <c r="F1857" s="4" t="s">
        <v>1066</v>
      </c>
      <c r="G1857" s="4" t="s">
        <v>1888</v>
      </c>
      <c r="H1857" s="22">
        <v>0</v>
      </c>
      <c r="I1857" s="4">
        <v>710000000</v>
      </c>
      <c r="J1857" s="4" t="s">
        <v>1931</v>
      </c>
      <c r="K1857" s="4" t="s">
        <v>756</v>
      </c>
      <c r="L1857" s="4" t="s">
        <v>1027</v>
      </c>
      <c r="M1857" s="8" t="s">
        <v>3195</v>
      </c>
      <c r="N1857" s="4" t="s">
        <v>1890</v>
      </c>
      <c r="O1857" s="8" t="s">
        <v>1935</v>
      </c>
      <c r="P1857" s="8">
        <v>796</v>
      </c>
      <c r="Q1857" s="8" t="s">
        <v>3196</v>
      </c>
      <c r="R1857" s="10">
        <v>96</v>
      </c>
      <c r="S1857" s="10">
        <v>10000</v>
      </c>
      <c r="T1857" s="10">
        <f t="shared" ref="T1857" si="950">S1857*R1857</f>
        <v>960000</v>
      </c>
      <c r="U1857" s="10">
        <f t="shared" ref="U1857" si="951">T1857*1.12</f>
        <v>1075200</v>
      </c>
      <c r="V1857" s="4"/>
      <c r="W1857" s="1">
        <v>2015</v>
      </c>
      <c r="X1857" s="68"/>
    </row>
    <row r="1858" spans="1:25" s="133" customFormat="1" ht="76.5" customHeight="1" outlineLevel="1" x14ac:dyDescent="0.2">
      <c r="A1858" s="1" t="s">
        <v>2646</v>
      </c>
      <c r="B1858" s="16" t="s">
        <v>5277</v>
      </c>
      <c r="C1858" s="4" t="s">
        <v>3246</v>
      </c>
      <c r="D1858" s="4" t="s">
        <v>6132</v>
      </c>
      <c r="E1858" s="4" t="s">
        <v>6151</v>
      </c>
      <c r="F1858" s="4" t="s">
        <v>1067</v>
      </c>
      <c r="G1858" s="4" t="s">
        <v>1888</v>
      </c>
      <c r="H1858" s="22">
        <v>0</v>
      </c>
      <c r="I1858" s="4">
        <v>710000000</v>
      </c>
      <c r="J1858" s="4" t="s">
        <v>1931</v>
      </c>
      <c r="K1858" s="4" t="s">
        <v>5297</v>
      </c>
      <c r="L1858" s="4" t="s">
        <v>1027</v>
      </c>
      <c r="M1858" s="8" t="s">
        <v>3195</v>
      </c>
      <c r="N1858" s="4" t="s">
        <v>1890</v>
      </c>
      <c r="O1858" s="8" t="s">
        <v>1935</v>
      </c>
      <c r="P1858" s="8">
        <v>796</v>
      </c>
      <c r="Q1858" s="8" t="s">
        <v>3196</v>
      </c>
      <c r="R1858" s="10">
        <v>12</v>
      </c>
      <c r="S1858" s="10">
        <v>5800</v>
      </c>
      <c r="T1858" s="10">
        <v>0</v>
      </c>
      <c r="U1858" s="10">
        <f t="shared" si="905"/>
        <v>0</v>
      </c>
      <c r="V1858" s="4"/>
      <c r="W1858" s="1">
        <v>2015</v>
      </c>
      <c r="X1858" s="66">
        <v>11</v>
      </c>
    </row>
    <row r="1859" spans="1:25" s="133" customFormat="1" ht="76.5" customHeight="1" outlineLevel="1" x14ac:dyDescent="0.2">
      <c r="A1859" s="1" t="s">
        <v>8325</v>
      </c>
      <c r="B1859" s="16" t="s">
        <v>5277</v>
      </c>
      <c r="C1859" s="4" t="s">
        <v>3246</v>
      </c>
      <c r="D1859" s="4" t="s">
        <v>6132</v>
      </c>
      <c r="E1859" s="4" t="s">
        <v>6151</v>
      </c>
      <c r="F1859" s="4" t="s">
        <v>1067</v>
      </c>
      <c r="G1859" s="4" t="s">
        <v>1888</v>
      </c>
      <c r="H1859" s="22">
        <v>0</v>
      </c>
      <c r="I1859" s="4">
        <v>710000000</v>
      </c>
      <c r="J1859" s="4" t="s">
        <v>1931</v>
      </c>
      <c r="K1859" s="4" t="s">
        <v>756</v>
      </c>
      <c r="L1859" s="4" t="s">
        <v>1027</v>
      </c>
      <c r="M1859" s="8" t="s">
        <v>3195</v>
      </c>
      <c r="N1859" s="4" t="s">
        <v>1890</v>
      </c>
      <c r="O1859" s="8" t="s">
        <v>1935</v>
      </c>
      <c r="P1859" s="8">
        <v>796</v>
      </c>
      <c r="Q1859" s="8" t="s">
        <v>3196</v>
      </c>
      <c r="R1859" s="10">
        <v>12</v>
      </c>
      <c r="S1859" s="10">
        <v>5800</v>
      </c>
      <c r="T1859" s="10">
        <f t="shared" ref="T1859" si="952">S1859*R1859</f>
        <v>69600</v>
      </c>
      <c r="U1859" s="10">
        <f t="shared" ref="U1859" si="953">T1859*1.12</f>
        <v>77952.000000000015</v>
      </c>
      <c r="V1859" s="4"/>
      <c r="W1859" s="1">
        <v>2015</v>
      </c>
      <c r="X1859" s="68"/>
    </row>
    <row r="1860" spans="1:25" s="133" customFormat="1" ht="76.5" customHeight="1" outlineLevel="1" x14ac:dyDescent="0.2">
      <c r="A1860" s="1" t="s">
        <v>2647</v>
      </c>
      <c r="B1860" s="16" t="s">
        <v>5277</v>
      </c>
      <c r="C1860" s="4" t="s">
        <v>1068</v>
      </c>
      <c r="D1860" s="4" t="s">
        <v>6133</v>
      </c>
      <c r="E1860" s="4" t="s">
        <v>1069</v>
      </c>
      <c r="F1860" s="4" t="s">
        <v>1070</v>
      </c>
      <c r="G1860" s="4" t="s">
        <v>1888</v>
      </c>
      <c r="H1860" s="22">
        <v>0</v>
      </c>
      <c r="I1860" s="4">
        <v>710000000</v>
      </c>
      <c r="J1860" s="4" t="s">
        <v>1931</v>
      </c>
      <c r="K1860" s="4" t="s">
        <v>5297</v>
      </c>
      <c r="L1860" s="4" t="s">
        <v>1027</v>
      </c>
      <c r="M1860" s="8" t="s">
        <v>3195</v>
      </c>
      <c r="N1860" s="4" t="s">
        <v>1890</v>
      </c>
      <c r="O1860" s="8" t="s">
        <v>1935</v>
      </c>
      <c r="P1860" s="8">
        <v>796</v>
      </c>
      <c r="Q1860" s="8" t="s">
        <v>3196</v>
      </c>
      <c r="R1860" s="10">
        <v>58</v>
      </c>
      <c r="S1860" s="10">
        <v>500</v>
      </c>
      <c r="T1860" s="10">
        <v>0</v>
      </c>
      <c r="U1860" s="10">
        <f t="shared" si="905"/>
        <v>0</v>
      </c>
      <c r="V1860" s="4"/>
      <c r="W1860" s="1">
        <v>2015</v>
      </c>
      <c r="X1860" s="66">
        <v>11</v>
      </c>
    </row>
    <row r="1861" spans="1:25" s="133" customFormat="1" ht="76.5" customHeight="1" outlineLevel="1" x14ac:dyDescent="0.2">
      <c r="A1861" s="1" t="s">
        <v>8326</v>
      </c>
      <c r="B1861" s="16" t="s">
        <v>5277</v>
      </c>
      <c r="C1861" s="4" t="s">
        <v>1068</v>
      </c>
      <c r="D1861" s="4" t="s">
        <v>6133</v>
      </c>
      <c r="E1861" s="4" t="s">
        <v>1069</v>
      </c>
      <c r="F1861" s="4" t="s">
        <v>1070</v>
      </c>
      <c r="G1861" s="4" t="s">
        <v>1888</v>
      </c>
      <c r="H1861" s="22">
        <v>0</v>
      </c>
      <c r="I1861" s="4">
        <v>710000000</v>
      </c>
      <c r="J1861" s="4" t="s">
        <v>1931</v>
      </c>
      <c r="K1861" s="4" t="s">
        <v>756</v>
      </c>
      <c r="L1861" s="4" t="s">
        <v>1027</v>
      </c>
      <c r="M1861" s="8" t="s">
        <v>3195</v>
      </c>
      <c r="N1861" s="4" t="s">
        <v>1890</v>
      </c>
      <c r="O1861" s="8" t="s">
        <v>1935</v>
      </c>
      <c r="P1861" s="8">
        <v>796</v>
      </c>
      <c r="Q1861" s="8" t="s">
        <v>3196</v>
      </c>
      <c r="R1861" s="10">
        <v>58</v>
      </c>
      <c r="S1861" s="10">
        <v>500</v>
      </c>
      <c r="T1861" s="10">
        <f t="shared" ref="T1861" si="954">S1861*R1861</f>
        <v>29000</v>
      </c>
      <c r="U1861" s="10">
        <f t="shared" ref="U1861" si="955">T1861*1.12</f>
        <v>32480.000000000004</v>
      </c>
      <c r="V1861" s="4"/>
      <c r="W1861" s="1">
        <v>2015</v>
      </c>
      <c r="X1861" s="68"/>
    </row>
    <row r="1862" spans="1:25" s="133" customFormat="1" ht="76.5" customHeight="1" outlineLevel="1" x14ac:dyDescent="0.2">
      <c r="A1862" s="1" t="s">
        <v>2648</v>
      </c>
      <c r="B1862" s="16" t="s">
        <v>5277</v>
      </c>
      <c r="C1862" s="4" t="s">
        <v>1071</v>
      </c>
      <c r="D1862" s="4" t="s">
        <v>831</v>
      </c>
      <c r="E1862" s="4" t="s">
        <v>1072</v>
      </c>
      <c r="F1862" s="4" t="s">
        <v>1073</v>
      </c>
      <c r="G1862" s="4" t="s">
        <v>1888</v>
      </c>
      <c r="H1862" s="22">
        <v>0</v>
      </c>
      <c r="I1862" s="4">
        <v>710000000</v>
      </c>
      <c r="J1862" s="4" t="s">
        <v>1931</v>
      </c>
      <c r="K1862" s="4" t="s">
        <v>5297</v>
      </c>
      <c r="L1862" s="4" t="s">
        <v>1027</v>
      </c>
      <c r="M1862" s="8" t="s">
        <v>3195</v>
      </c>
      <c r="N1862" s="4" t="s">
        <v>1890</v>
      </c>
      <c r="O1862" s="8" t="s">
        <v>1935</v>
      </c>
      <c r="P1862" s="8">
        <v>796</v>
      </c>
      <c r="Q1862" s="8" t="s">
        <v>3196</v>
      </c>
      <c r="R1862" s="10">
        <v>19</v>
      </c>
      <c r="S1862" s="10">
        <v>240</v>
      </c>
      <c r="T1862" s="10">
        <f t="shared" ref="T1862:T1915" si="956">S1862*R1862</f>
        <v>4560</v>
      </c>
      <c r="U1862" s="10">
        <f t="shared" si="905"/>
        <v>5107.2000000000007</v>
      </c>
      <c r="V1862" s="4"/>
      <c r="W1862" s="1">
        <v>2015</v>
      </c>
      <c r="X1862" s="66">
        <v>11</v>
      </c>
    </row>
    <row r="1863" spans="1:25" s="133" customFormat="1" ht="76.5" customHeight="1" outlineLevel="1" x14ac:dyDescent="0.2">
      <c r="A1863" s="1" t="s">
        <v>8327</v>
      </c>
      <c r="B1863" s="16" t="s">
        <v>5277</v>
      </c>
      <c r="C1863" s="4" t="s">
        <v>1071</v>
      </c>
      <c r="D1863" s="4" t="s">
        <v>831</v>
      </c>
      <c r="E1863" s="4" t="s">
        <v>1072</v>
      </c>
      <c r="F1863" s="4" t="s">
        <v>1073</v>
      </c>
      <c r="G1863" s="4" t="s">
        <v>1888</v>
      </c>
      <c r="H1863" s="22">
        <v>0</v>
      </c>
      <c r="I1863" s="4">
        <v>710000000</v>
      </c>
      <c r="J1863" s="4" t="s">
        <v>1931</v>
      </c>
      <c r="K1863" s="4" t="s">
        <v>756</v>
      </c>
      <c r="L1863" s="4" t="s">
        <v>1027</v>
      </c>
      <c r="M1863" s="8" t="s">
        <v>3195</v>
      </c>
      <c r="N1863" s="4" t="s">
        <v>1890</v>
      </c>
      <c r="O1863" s="8" t="s">
        <v>1935</v>
      </c>
      <c r="P1863" s="8">
        <v>796</v>
      </c>
      <c r="Q1863" s="8" t="s">
        <v>3196</v>
      </c>
      <c r="R1863" s="10">
        <v>19</v>
      </c>
      <c r="S1863" s="10">
        <v>240</v>
      </c>
      <c r="T1863" s="10">
        <f t="shared" ref="T1863" si="957">S1863*R1863</f>
        <v>4560</v>
      </c>
      <c r="U1863" s="10">
        <f t="shared" ref="U1863" si="958">T1863*1.12</f>
        <v>5107.2000000000007</v>
      </c>
      <c r="V1863" s="4"/>
      <c r="W1863" s="1">
        <v>2015</v>
      </c>
      <c r="X1863" s="68"/>
    </row>
    <row r="1864" spans="1:25" s="133" customFormat="1" ht="76.5" customHeight="1" outlineLevel="1" x14ac:dyDescent="0.2">
      <c r="A1864" s="1" t="s">
        <v>2649</v>
      </c>
      <c r="B1864" s="16" t="s">
        <v>5277</v>
      </c>
      <c r="C1864" s="4" t="s">
        <v>1074</v>
      </c>
      <c r="D1864" s="4" t="s">
        <v>831</v>
      </c>
      <c r="E1864" s="4" t="s">
        <v>1075</v>
      </c>
      <c r="F1864" s="4"/>
      <c r="G1864" s="4" t="s">
        <v>1888</v>
      </c>
      <c r="H1864" s="22">
        <v>0</v>
      </c>
      <c r="I1864" s="4">
        <v>710000000</v>
      </c>
      <c r="J1864" s="4" t="s">
        <v>1931</v>
      </c>
      <c r="K1864" s="4" t="s">
        <v>5297</v>
      </c>
      <c r="L1864" s="4" t="s">
        <v>1027</v>
      </c>
      <c r="M1864" s="8" t="s">
        <v>3195</v>
      </c>
      <c r="N1864" s="4" t="s">
        <v>1890</v>
      </c>
      <c r="O1864" s="8" t="s">
        <v>1935</v>
      </c>
      <c r="P1864" s="8">
        <v>796</v>
      </c>
      <c r="Q1864" s="8" t="s">
        <v>3196</v>
      </c>
      <c r="R1864" s="10">
        <v>13</v>
      </c>
      <c r="S1864" s="10">
        <v>145</v>
      </c>
      <c r="T1864" s="10">
        <v>0</v>
      </c>
      <c r="U1864" s="10">
        <f t="shared" si="905"/>
        <v>0</v>
      </c>
      <c r="V1864" s="4"/>
      <c r="W1864" s="1">
        <v>2015</v>
      </c>
      <c r="X1864" s="66">
        <v>11</v>
      </c>
      <c r="Y1864" s="218"/>
    </row>
    <row r="1865" spans="1:25" s="133" customFormat="1" ht="76.5" customHeight="1" outlineLevel="1" x14ac:dyDescent="0.2">
      <c r="A1865" s="1" t="s">
        <v>8328</v>
      </c>
      <c r="B1865" s="16" t="s">
        <v>5277</v>
      </c>
      <c r="C1865" s="4" t="s">
        <v>1074</v>
      </c>
      <c r="D1865" s="4" t="s">
        <v>831</v>
      </c>
      <c r="E1865" s="4" t="s">
        <v>1075</v>
      </c>
      <c r="F1865" s="4"/>
      <c r="G1865" s="4" t="s">
        <v>1888</v>
      </c>
      <c r="H1865" s="22">
        <v>0</v>
      </c>
      <c r="I1865" s="4">
        <v>710000000</v>
      </c>
      <c r="J1865" s="4" t="s">
        <v>1931</v>
      </c>
      <c r="K1865" s="4" t="s">
        <v>756</v>
      </c>
      <c r="L1865" s="4" t="s">
        <v>1027</v>
      </c>
      <c r="M1865" s="8" t="s">
        <v>3195</v>
      </c>
      <c r="N1865" s="4" t="s">
        <v>1890</v>
      </c>
      <c r="O1865" s="8" t="s">
        <v>1935</v>
      </c>
      <c r="P1865" s="8">
        <v>796</v>
      </c>
      <c r="Q1865" s="8" t="s">
        <v>3196</v>
      </c>
      <c r="R1865" s="10">
        <v>13</v>
      </c>
      <c r="S1865" s="10">
        <v>145</v>
      </c>
      <c r="T1865" s="10">
        <f t="shared" ref="T1865" si="959">S1865*R1865</f>
        <v>1885</v>
      </c>
      <c r="U1865" s="10">
        <f t="shared" ref="U1865" si="960">T1865*1.12</f>
        <v>2111.2000000000003</v>
      </c>
      <c r="V1865" s="4"/>
      <c r="W1865" s="1">
        <v>2015</v>
      </c>
      <c r="X1865" s="68"/>
    </row>
    <row r="1866" spans="1:25" s="133" customFormat="1" ht="76.5" customHeight="1" outlineLevel="1" x14ac:dyDescent="0.2">
      <c r="A1866" s="1" t="s">
        <v>2650</v>
      </c>
      <c r="B1866" s="16" t="s">
        <v>5277</v>
      </c>
      <c r="C1866" s="4" t="s">
        <v>1076</v>
      </c>
      <c r="D1866" s="4" t="s">
        <v>831</v>
      </c>
      <c r="E1866" s="4" t="s">
        <v>1077</v>
      </c>
      <c r="F1866" s="4"/>
      <c r="G1866" s="4" t="s">
        <v>1888</v>
      </c>
      <c r="H1866" s="22">
        <v>0</v>
      </c>
      <c r="I1866" s="4">
        <v>710000000</v>
      </c>
      <c r="J1866" s="4" t="s">
        <v>1931</v>
      </c>
      <c r="K1866" s="4" t="s">
        <v>5297</v>
      </c>
      <c r="L1866" s="4" t="s">
        <v>1027</v>
      </c>
      <c r="M1866" s="8" t="s">
        <v>3195</v>
      </c>
      <c r="N1866" s="4" t="s">
        <v>1890</v>
      </c>
      <c r="O1866" s="8" t="s">
        <v>1935</v>
      </c>
      <c r="P1866" s="8">
        <v>796</v>
      </c>
      <c r="Q1866" s="8" t="s">
        <v>3196</v>
      </c>
      <c r="R1866" s="10">
        <v>3</v>
      </c>
      <c r="S1866" s="10">
        <v>120</v>
      </c>
      <c r="T1866" s="10">
        <v>0</v>
      </c>
      <c r="U1866" s="10">
        <f t="shared" si="905"/>
        <v>0</v>
      </c>
      <c r="V1866" s="4"/>
      <c r="W1866" s="1">
        <v>2015</v>
      </c>
      <c r="X1866" s="66">
        <v>11</v>
      </c>
    </row>
    <row r="1867" spans="1:25" s="133" customFormat="1" ht="76.5" customHeight="1" outlineLevel="1" x14ac:dyDescent="0.2">
      <c r="A1867" s="1" t="s">
        <v>8329</v>
      </c>
      <c r="B1867" s="16" t="s">
        <v>5277</v>
      </c>
      <c r="C1867" s="4" t="s">
        <v>1076</v>
      </c>
      <c r="D1867" s="4" t="s">
        <v>831</v>
      </c>
      <c r="E1867" s="4" t="s">
        <v>1077</v>
      </c>
      <c r="F1867" s="4"/>
      <c r="G1867" s="4" t="s">
        <v>1888</v>
      </c>
      <c r="H1867" s="22">
        <v>0</v>
      </c>
      <c r="I1867" s="4">
        <v>710000000</v>
      </c>
      <c r="J1867" s="4" t="s">
        <v>1931</v>
      </c>
      <c r="K1867" s="4" t="s">
        <v>756</v>
      </c>
      <c r="L1867" s="4" t="s">
        <v>1027</v>
      </c>
      <c r="M1867" s="8" t="s">
        <v>3195</v>
      </c>
      <c r="N1867" s="4" t="s">
        <v>1890</v>
      </c>
      <c r="O1867" s="8" t="s">
        <v>1935</v>
      </c>
      <c r="P1867" s="8">
        <v>796</v>
      </c>
      <c r="Q1867" s="8" t="s">
        <v>3196</v>
      </c>
      <c r="R1867" s="10">
        <v>3</v>
      </c>
      <c r="S1867" s="10">
        <v>120</v>
      </c>
      <c r="T1867" s="10">
        <f t="shared" ref="T1867" si="961">S1867*R1867</f>
        <v>360</v>
      </c>
      <c r="U1867" s="10">
        <f t="shared" ref="U1867" si="962">T1867*1.12</f>
        <v>403.20000000000005</v>
      </c>
      <c r="V1867" s="4"/>
      <c r="W1867" s="1">
        <v>2015</v>
      </c>
      <c r="X1867" s="68"/>
    </row>
    <row r="1868" spans="1:25" s="133" customFormat="1" ht="76.5" customHeight="1" outlineLevel="1" x14ac:dyDescent="0.2">
      <c r="A1868" s="1" t="s">
        <v>2651</v>
      </c>
      <c r="B1868" s="16" t="s">
        <v>5277</v>
      </c>
      <c r="C1868" s="4" t="s">
        <v>1078</v>
      </c>
      <c r="D1868" s="4" t="s">
        <v>830</v>
      </c>
      <c r="E1868" s="4" t="s">
        <v>1079</v>
      </c>
      <c r="F1868" s="4"/>
      <c r="G1868" s="4" t="s">
        <v>1888</v>
      </c>
      <c r="H1868" s="22">
        <v>0</v>
      </c>
      <c r="I1868" s="4">
        <v>710000000</v>
      </c>
      <c r="J1868" s="4" t="s">
        <v>1931</v>
      </c>
      <c r="K1868" s="4" t="s">
        <v>5297</v>
      </c>
      <c r="L1868" s="4" t="s">
        <v>1027</v>
      </c>
      <c r="M1868" s="8" t="s">
        <v>3195</v>
      </c>
      <c r="N1868" s="4" t="s">
        <v>1890</v>
      </c>
      <c r="O1868" s="8" t="s">
        <v>1935</v>
      </c>
      <c r="P1868" s="8">
        <v>796</v>
      </c>
      <c r="Q1868" s="8" t="s">
        <v>3196</v>
      </c>
      <c r="R1868" s="10">
        <v>2</v>
      </c>
      <c r="S1868" s="10">
        <v>1500</v>
      </c>
      <c r="T1868" s="10">
        <v>0</v>
      </c>
      <c r="U1868" s="10">
        <f t="shared" si="905"/>
        <v>0</v>
      </c>
      <c r="V1868" s="4"/>
      <c r="W1868" s="1">
        <v>2015</v>
      </c>
      <c r="X1868" s="66">
        <v>11</v>
      </c>
    </row>
    <row r="1869" spans="1:25" s="133" customFormat="1" ht="76.5" customHeight="1" outlineLevel="1" x14ac:dyDescent="0.2">
      <c r="A1869" s="1" t="s">
        <v>8330</v>
      </c>
      <c r="B1869" s="16" t="s">
        <v>5277</v>
      </c>
      <c r="C1869" s="4" t="s">
        <v>1078</v>
      </c>
      <c r="D1869" s="4" t="s">
        <v>830</v>
      </c>
      <c r="E1869" s="4" t="s">
        <v>1079</v>
      </c>
      <c r="F1869" s="4"/>
      <c r="G1869" s="4" t="s">
        <v>1888</v>
      </c>
      <c r="H1869" s="22">
        <v>0</v>
      </c>
      <c r="I1869" s="4">
        <v>710000000</v>
      </c>
      <c r="J1869" s="4" t="s">
        <v>1931</v>
      </c>
      <c r="K1869" s="4" t="s">
        <v>756</v>
      </c>
      <c r="L1869" s="4" t="s">
        <v>1027</v>
      </c>
      <c r="M1869" s="8" t="s">
        <v>3195</v>
      </c>
      <c r="N1869" s="4" t="s">
        <v>1890</v>
      </c>
      <c r="O1869" s="8" t="s">
        <v>1935</v>
      </c>
      <c r="P1869" s="8">
        <v>796</v>
      </c>
      <c r="Q1869" s="8" t="s">
        <v>3196</v>
      </c>
      <c r="R1869" s="10">
        <v>2</v>
      </c>
      <c r="S1869" s="10">
        <v>1500</v>
      </c>
      <c r="T1869" s="10">
        <f t="shared" ref="T1869" si="963">S1869*R1869</f>
        <v>3000</v>
      </c>
      <c r="U1869" s="10">
        <f t="shared" ref="U1869" si="964">T1869*1.12</f>
        <v>3360.0000000000005</v>
      </c>
      <c r="V1869" s="4"/>
      <c r="W1869" s="1">
        <v>2015</v>
      </c>
      <c r="X1869" s="68"/>
    </row>
    <row r="1870" spans="1:25" s="133" customFormat="1" ht="76.5" customHeight="1" outlineLevel="1" x14ac:dyDescent="0.2">
      <c r="A1870" s="1" t="s">
        <v>2652</v>
      </c>
      <c r="B1870" s="16" t="s">
        <v>5277</v>
      </c>
      <c r="C1870" s="4" t="s">
        <v>939</v>
      </c>
      <c r="D1870" s="4" t="s">
        <v>837</v>
      </c>
      <c r="E1870" s="4" t="s">
        <v>940</v>
      </c>
      <c r="F1870" s="4"/>
      <c r="G1870" s="4" t="s">
        <v>1888</v>
      </c>
      <c r="H1870" s="22">
        <v>0</v>
      </c>
      <c r="I1870" s="4">
        <v>710000000</v>
      </c>
      <c r="J1870" s="4" t="s">
        <v>1931</v>
      </c>
      <c r="K1870" s="4" t="s">
        <v>5297</v>
      </c>
      <c r="L1870" s="4" t="s">
        <v>1027</v>
      </c>
      <c r="M1870" s="8" t="s">
        <v>3195</v>
      </c>
      <c r="N1870" s="4" t="s">
        <v>1890</v>
      </c>
      <c r="O1870" s="8" t="s">
        <v>1935</v>
      </c>
      <c r="P1870" s="8">
        <v>796</v>
      </c>
      <c r="Q1870" s="8" t="s">
        <v>3196</v>
      </c>
      <c r="R1870" s="10">
        <v>57</v>
      </c>
      <c r="S1870" s="10">
        <v>450</v>
      </c>
      <c r="T1870" s="10">
        <v>0</v>
      </c>
      <c r="U1870" s="10">
        <f t="shared" si="905"/>
        <v>0</v>
      </c>
      <c r="V1870" s="4"/>
      <c r="W1870" s="1">
        <v>2015</v>
      </c>
      <c r="X1870" s="66">
        <v>11</v>
      </c>
    </row>
    <row r="1871" spans="1:25" s="133" customFormat="1" ht="76.5" customHeight="1" outlineLevel="1" x14ac:dyDescent="0.2">
      <c r="A1871" s="1" t="s">
        <v>8331</v>
      </c>
      <c r="B1871" s="16" t="s">
        <v>5277</v>
      </c>
      <c r="C1871" s="4" t="s">
        <v>939</v>
      </c>
      <c r="D1871" s="4" t="s">
        <v>837</v>
      </c>
      <c r="E1871" s="4" t="s">
        <v>940</v>
      </c>
      <c r="F1871" s="4"/>
      <c r="G1871" s="4" t="s">
        <v>1888</v>
      </c>
      <c r="H1871" s="22">
        <v>0</v>
      </c>
      <c r="I1871" s="4">
        <v>710000000</v>
      </c>
      <c r="J1871" s="4" t="s">
        <v>1931</v>
      </c>
      <c r="K1871" s="4" t="s">
        <v>756</v>
      </c>
      <c r="L1871" s="4" t="s">
        <v>1027</v>
      </c>
      <c r="M1871" s="8" t="s">
        <v>3195</v>
      </c>
      <c r="N1871" s="4" t="s">
        <v>1890</v>
      </c>
      <c r="O1871" s="8" t="s">
        <v>1935</v>
      </c>
      <c r="P1871" s="8">
        <v>796</v>
      </c>
      <c r="Q1871" s="8" t="s">
        <v>3196</v>
      </c>
      <c r="R1871" s="10">
        <v>57</v>
      </c>
      <c r="S1871" s="10">
        <v>450</v>
      </c>
      <c r="T1871" s="10">
        <f t="shared" ref="T1871" si="965">S1871*R1871</f>
        <v>25650</v>
      </c>
      <c r="U1871" s="10">
        <f t="shared" ref="U1871" si="966">T1871*1.12</f>
        <v>28728.000000000004</v>
      </c>
      <c r="V1871" s="4"/>
      <c r="W1871" s="1">
        <v>2015</v>
      </c>
      <c r="X1871" s="68"/>
    </row>
    <row r="1872" spans="1:25" s="133" customFormat="1" ht="76.5" customHeight="1" outlineLevel="1" x14ac:dyDescent="0.2">
      <c r="A1872" s="1" t="s">
        <v>2653</v>
      </c>
      <c r="B1872" s="16" t="s">
        <v>5277</v>
      </c>
      <c r="C1872" s="4" t="s">
        <v>1866</v>
      </c>
      <c r="D1872" s="4" t="s">
        <v>1867</v>
      </c>
      <c r="E1872" s="4" t="s">
        <v>6135</v>
      </c>
      <c r="F1872" s="4" t="s">
        <v>1080</v>
      </c>
      <c r="G1872" s="4" t="s">
        <v>1888</v>
      </c>
      <c r="H1872" s="22">
        <v>0</v>
      </c>
      <c r="I1872" s="4">
        <v>710000000</v>
      </c>
      <c r="J1872" s="4" t="s">
        <v>1931</v>
      </c>
      <c r="K1872" s="4" t="s">
        <v>5297</v>
      </c>
      <c r="L1872" s="4" t="s">
        <v>1027</v>
      </c>
      <c r="M1872" s="8" t="s">
        <v>3195</v>
      </c>
      <c r="N1872" s="4" t="s">
        <v>1890</v>
      </c>
      <c r="O1872" s="8" t="s">
        <v>1935</v>
      </c>
      <c r="P1872" s="8">
        <v>796</v>
      </c>
      <c r="Q1872" s="8" t="s">
        <v>3196</v>
      </c>
      <c r="R1872" s="10">
        <v>30</v>
      </c>
      <c r="S1872" s="10">
        <v>900</v>
      </c>
      <c r="T1872" s="10">
        <v>0</v>
      </c>
      <c r="U1872" s="10">
        <f t="shared" si="905"/>
        <v>0</v>
      </c>
      <c r="V1872" s="4"/>
      <c r="W1872" s="1">
        <v>2015</v>
      </c>
      <c r="X1872" s="66">
        <v>11</v>
      </c>
    </row>
    <row r="1873" spans="1:24" s="133" customFormat="1" ht="76.5" customHeight="1" outlineLevel="1" x14ac:dyDescent="0.2">
      <c r="A1873" s="1" t="s">
        <v>8332</v>
      </c>
      <c r="B1873" s="16" t="s">
        <v>5277</v>
      </c>
      <c r="C1873" s="4" t="s">
        <v>1866</v>
      </c>
      <c r="D1873" s="4" t="s">
        <v>1867</v>
      </c>
      <c r="E1873" s="4" t="s">
        <v>6135</v>
      </c>
      <c r="F1873" s="4" t="s">
        <v>1080</v>
      </c>
      <c r="G1873" s="4" t="s">
        <v>1888</v>
      </c>
      <c r="H1873" s="22">
        <v>0</v>
      </c>
      <c r="I1873" s="4">
        <v>710000000</v>
      </c>
      <c r="J1873" s="4" t="s">
        <v>1931</v>
      </c>
      <c r="K1873" s="4" t="s">
        <v>756</v>
      </c>
      <c r="L1873" s="4" t="s">
        <v>1027</v>
      </c>
      <c r="M1873" s="8" t="s">
        <v>3195</v>
      </c>
      <c r="N1873" s="4" t="s">
        <v>1890</v>
      </c>
      <c r="O1873" s="8" t="s">
        <v>1935</v>
      </c>
      <c r="P1873" s="8">
        <v>796</v>
      </c>
      <c r="Q1873" s="8" t="s">
        <v>3196</v>
      </c>
      <c r="R1873" s="10">
        <v>30</v>
      </c>
      <c r="S1873" s="10">
        <v>900</v>
      </c>
      <c r="T1873" s="10">
        <f t="shared" ref="T1873" si="967">S1873*R1873</f>
        <v>27000</v>
      </c>
      <c r="U1873" s="10">
        <f t="shared" ref="U1873" si="968">T1873*1.12</f>
        <v>30240.000000000004</v>
      </c>
      <c r="V1873" s="4"/>
      <c r="W1873" s="1">
        <v>2015</v>
      </c>
      <c r="X1873" s="68"/>
    </row>
    <row r="1874" spans="1:24" s="133" customFormat="1" ht="76.5" customHeight="1" outlineLevel="1" x14ac:dyDescent="0.2">
      <c r="A1874" s="1" t="s">
        <v>2654</v>
      </c>
      <c r="B1874" s="16" t="s">
        <v>5277</v>
      </c>
      <c r="C1874" s="4" t="s">
        <v>1866</v>
      </c>
      <c r="D1874" s="4" t="s">
        <v>1867</v>
      </c>
      <c r="E1874" s="4" t="s">
        <v>6135</v>
      </c>
      <c r="F1874" s="4" t="s">
        <v>1081</v>
      </c>
      <c r="G1874" s="4" t="s">
        <v>1888</v>
      </c>
      <c r="H1874" s="22">
        <v>0</v>
      </c>
      <c r="I1874" s="4">
        <v>710000000</v>
      </c>
      <c r="J1874" s="4" t="s">
        <v>1931</v>
      </c>
      <c r="K1874" s="4" t="s">
        <v>5297</v>
      </c>
      <c r="L1874" s="4" t="s">
        <v>1027</v>
      </c>
      <c r="M1874" s="8" t="s">
        <v>3195</v>
      </c>
      <c r="N1874" s="4" t="s">
        <v>1890</v>
      </c>
      <c r="O1874" s="8" t="s">
        <v>1935</v>
      </c>
      <c r="P1874" s="8">
        <v>796</v>
      </c>
      <c r="Q1874" s="8" t="s">
        <v>3196</v>
      </c>
      <c r="R1874" s="10">
        <v>10</v>
      </c>
      <c r="S1874" s="10">
        <v>978</v>
      </c>
      <c r="T1874" s="10">
        <v>0</v>
      </c>
      <c r="U1874" s="10">
        <f t="shared" si="905"/>
        <v>0</v>
      </c>
      <c r="V1874" s="4"/>
      <c r="W1874" s="1">
        <v>2015</v>
      </c>
      <c r="X1874" s="66">
        <v>11</v>
      </c>
    </row>
    <row r="1875" spans="1:24" s="133" customFormat="1" ht="76.5" customHeight="1" outlineLevel="1" x14ac:dyDescent="0.2">
      <c r="A1875" s="1" t="s">
        <v>8333</v>
      </c>
      <c r="B1875" s="16" t="s">
        <v>5277</v>
      </c>
      <c r="C1875" s="4" t="s">
        <v>1866</v>
      </c>
      <c r="D1875" s="4" t="s">
        <v>1867</v>
      </c>
      <c r="E1875" s="4" t="s">
        <v>6135</v>
      </c>
      <c r="F1875" s="4" t="s">
        <v>1081</v>
      </c>
      <c r="G1875" s="4" t="s">
        <v>1888</v>
      </c>
      <c r="H1875" s="22">
        <v>0</v>
      </c>
      <c r="I1875" s="4">
        <v>710000000</v>
      </c>
      <c r="J1875" s="4" t="s">
        <v>1931</v>
      </c>
      <c r="K1875" s="4" t="s">
        <v>756</v>
      </c>
      <c r="L1875" s="4" t="s">
        <v>1027</v>
      </c>
      <c r="M1875" s="8" t="s">
        <v>3195</v>
      </c>
      <c r="N1875" s="4" t="s">
        <v>1890</v>
      </c>
      <c r="O1875" s="8" t="s">
        <v>1935</v>
      </c>
      <c r="P1875" s="8">
        <v>796</v>
      </c>
      <c r="Q1875" s="8" t="s">
        <v>3196</v>
      </c>
      <c r="R1875" s="10">
        <v>10</v>
      </c>
      <c r="S1875" s="10">
        <v>978</v>
      </c>
      <c r="T1875" s="10">
        <f t="shared" ref="T1875" si="969">S1875*R1875</f>
        <v>9780</v>
      </c>
      <c r="U1875" s="10">
        <f t="shared" ref="U1875" si="970">T1875*1.12</f>
        <v>10953.6</v>
      </c>
      <c r="V1875" s="4"/>
      <c r="W1875" s="1">
        <v>2015</v>
      </c>
      <c r="X1875" s="68"/>
    </row>
    <row r="1876" spans="1:24" s="133" customFormat="1" ht="76.5" customHeight="1" outlineLevel="1" x14ac:dyDescent="0.2">
      <c r="A1876" s="1" t="s">
        <v>2655</v>
      </c>
      <c r="B1876" s="16" t="s">
        <v>5277</v>
      </c>
      <c r="C1876" s="4" t="s">
        <v>1082</v>
      </c>
      <c r="D1876" s="4" t="s">
        <v>1083</v>
      </c>
      <c r="E1876" s="4" t="s">
        <v>1084</v>
      </c>
      <c r="F1876" s="4"/>
      <c r="G1876" s="4" t="s">
        <v>1888</v>
      </c>
      <c r="H1876" s="22">
        <v>0</v>
      </c>
      <c r="I1876" s="4">
        <v>710000000</v>
      </c>
      <c r="J1876" s="4" t="s">
        <v>1931</v>
      </c>
      <c r="K1876" s="4" t="s">
        <v>5297</v>
      </c>
      <c r="L1876" s="4" t="s">
        <v>1027</v>
      </c>
      <c r="M1876" s="8" t="s">
        <v>3195</v>
      </c>
      <c r="N1876" s="4" t="s">
        <v>1890</v>
      </c>
      <c r="O1876" s="8" t="s">
        <v>1935</v>
      </c>
      <c r="P1876" s="8">
        <v>796</v>
      </c>
      <c r="Q1876" s="8" t="s">
        <v>3196</v>
      </c>
      <c r="R1876" s="10">
        <v>3</v>
      </c>
      <c r="S1876" s="10">
        <v>700</v>
      </c>
      <c r="T1876" s="10">
        <v>0</v>
      </c>
      <c r="U1876" s="10">
        <f t="shared" si="905"/>
        <v>0</v>
      </c>
      <c r="V1876" s="4"/>
      <c r="W1876" s="1">
        <v>2015</v>
      </c>
      <c r="X1876" s="66">
        <v>11</v>
      </c>
    </row>
    <row r="1877" spans="1:24" s="133" customFormat="1" ht="76.5" customHeight="1" outlineLevel="1" x14ac:dyDescent="0.2">
      <c r="A1877" s="1" t="s">
        <v>8334</v>
      </c>
      <c r="B1877" s="16" t="s">
        <v>5277</v>
      </c>
      <c r="C1877" s="4" t="s">
        <v>1082</v>
      </c>
      <c r="D1877" s="4" t="s">
        <v>1083</v>
      </c>
      <c r="E1877" s="4" t="s">
        <v>1084</v>
      </c>
      <c r="F1877" s="4"/>
      <c r="G1877" s="4" t="s">
        <v>1888</v>
      </c>
      <c r="H1877" s="22">
        <v>0</v>
      </c>
      <c r="I1877" s="4">
        <v>710000000</v>
      </c>
      <c r="J1877" s="4" t="s">
        <v>1931</v>
      </c>
      <c r="K1877" s="4" t="s">
        <v>756</v>
      </c>
      <c r="L1877" s="4" t="s">
        <v>1027</v>
      </c>
      <c r="M1877" s="8" t="s">
        <v>3195</v>
      </c>
      <c r="N1877" s="4" t="s">
        <v>1890</v>
      </c>
      <c r="O1877" s="8" t="s">
        <v>1935</v>
      </c>
      <c r="P1877" s="8">
        <v>796</v>
      </c>
      <c r="Q1877" s="8" t="s">
        <v>3196</v>
      </c>
      <c r="R1877" s="10">
        <v>3</v>
      </c>
      <c r="S1877" s="10">
        <v>700</v>
      </c>
      <c r="T1877" s="10">
        <f t="shared" ref="T1877" si="971">S1877*R1877</f>
        <v>2100</v>
      </c>
      <c r="U1877" s="10">
        <f t="shared" ref="U1877" si="972">T1877*1.12</f>
        <v>2352</v>
      </c>
      <c r="V1877" s="4"/>
      <c r="W1877" s="1">
        <v>2015</v>
      </c>
      <c r="X1877" s="68"/>
    </row>
    <row r="1878" spans="1:24" s="133" customFormat="1" ht="76.5" customHeight="1" outlineLevel="1" x14ac:dyDescent="0.2">
      <c r="A1878" s="1" t="s">
        <v>2656</v>
      </c>
      <c r="B1878" s="16" t="s">
        <v>5277</v>
      </c>
      <c r="C1878" s="4" t="s">
        <v>1085</v>
      </c>
      <c r="D1878" s="4" t="s">
        <v>831</v>
      </c>
      <c r="E1878" s="4" t="s">
        <v>1086</v>
      </c>
      <c r="F1878" s="4"/>
      <c r="G1878" s="4" t="s">
        <v>1888</v>
      </c>
      <c r="H1878" s="22">
        <v>0</v>
      </c>
      <c r="I1878" s="4">
        <v>710000000</v>
      </c>
      <c r="J1878" s="4" t="s">
        <v>1931</v>
      </c>
      <c r="K1878" s="4" t="s">
        <v>5297</v>
      </c>
      <c r="L1878" s="4" t="s">
        <v>1027</v>
      </c>
      <c r="M1878" s="8" t="s">
        <v>3195</v>
      </c>
      <c r="N1878" s="4" t="s">
        <v>1890</v>
      </c>
      <c r="O1878" s="8" t="s">
        <v>1935</v>
      </c>
      <c r="P1878" s="8">
        <v>796</v>
      </c>
      <c r="Q1878" s="8" t="s">
        <v>3196</v>
      </c>
      <c r="R1878" s="10">
        <v>38</v>
      </c>
      <c r="S1878" s="10">
        <v>235</v>
      </c>
      <c r="T1878" s="10">
        <v>0</v>
      </c>
      <c r="U1878" s="10">
        <f t="shared" si="905"/>
        <v>0</v>
      </c>
      <c r="V1878" s="4"/>
      <c r="W1878" s="1">
        <v>2015</v>
      </c>
      <c r="X1878" s="66">
        <v>11</v>
      </c>
    </row>
    <row r="1879" spans="1:24" s="133" customFormat="1" ht="76.5" customHeight="1" outlineLevel="1" x14ac:dyDescent="0.2">
      <c r="A1879" s="1" t="s">
        <v>8335</v>
      </c>
      <c r="B1879" s="16" t="s">
        <v>5277</v>
      </c>
      <c r="C1879" s="4" t="s">
        <v>1085</v>
      </c>
      <c r="D1879" s="4" t="s">
        <v>831</v>
      </c>
      <c r="E1879" s="4" t="s">
        <v>1086</v>
      </c>
      <c r="F1879" s="4"/>
      <c r="G1879" s="4" t="s">
        <v>1888</v>
      </c>
      <c r="H1879" s="22">
        <v>0</v>
      </c>
      <c r="I1879" s="4">
        <v>710000000</v>
      </c>
      <c r="J1879" s="4" t="s">
        <v>1931</v>
      </c>
      <c r="K1879" s="4" t="s">
        <v>756</v>
      </c>
      <c r="L1879" s="4" t="s">
        <v>1027</v>
      </c>
      <c r="M1879" s="8" t="s">
        <v>3195</v>
      </c>
      <c r="N1879" s="4" t="s">
        <v>1890</v>
      </c>
      <c r="O1879" s="8" t="s">
        <v>1935</v>
      </c>
      <c r="P1879" s="8">
        <v>796</v>
      </c>
      <c r="Q1879" s="8" t="s">
        <v>3196</v>
      </c>
      <c r="R1879" s="10">
        <v>38</v>
      </c>
      <c r="S1879" s="10">
        <v>235</v>
      </c>
      <c r="T1879" s="10">
        <f t="shared" ref="T1879" si="973">S1879*R1879</f>
        <v>8930</v>
      </c>
      <c r="U1879" s="10">
        <f t="shared" ref="U1879" si="974">T1879*1.12</f>
        <v>10001.6</v>
      </c>
      <c r="V1879" s="4"/>
      <c r="W1879" s="1">
        <v>2015</v>
      </c>
      <c r="X1879" s="68"/>
    </row>
    <row r="1880" spans="1:24" s="133" customFormat="1" ht="76.5" customHeight="1" outlineLevel="1" x14ac:dyDescent="0.2">
      <c r="A1880" s="1" t="s">
        <v>2657</v>
      </c>
      <c r="B1880" s="16" t="s">
        <v>5277</v>
      </c>
      <c r="C1880" s="4" t="s">
        <v>1071</v>
      </c>
      <c r="D1880" s="4" t="s">
        <v>831</v>
      </c>
      <c r="E1880" s="4" t="s">
        <v>1072</v>
      </c>
      <c r="F1880" s="4"/>
      <c r="G1880" s="4" t="s">
        <v>1888</v>
      </c>
      <c r="H1880" s="22">
        <v>0</v>
      </c>
      <c r="I1880" s="4">
        <v>710000000</v>
      </c>
      <c r="J1880" s="4" t="s">
        <v>1931</v>
      </c>
      <c r="K1880" s="4" t="s">
        <v>5297</v>
      </c>
      <c r="L1880" s="4" t="s">
        <v>1027</v>
      </c>
      <c r="M1880" s="8" t="s">
        <v>3195</v>
      </c>
      <c r="N1880" s="4" t="s">
        <v>1890</v>
      </c>
      <c r="O1880" s="8" t="s">
        <v>1935</v>
      </c>
      <c r="P1880" s="8">
        <v>796</v>
      </c>
      <c r="Q1880" s="8" t="s">
        <v>3196</v>
      </c>
      <c r="R1880" s="10">
        <v>85</v>
      </c>
      <c r="S1880" s="10">
        <v>240</v>
      </c>
      <c r="T1880" s="10">
        <v>0</v>
      </c>
      <c r="U1880" s="10">
        <f t="shared" si="905"/>
        <v>0</v>
      </c>
      <c r="V1880" s="4"/>
      <c r="W1880" s="1">
        <v>2015</v>
      </c>
      <c r="X1880" s="66">
        <v>11</v>
      </c>
    </row>
    <row r="1881" spans="1:24" s="133" customFormat="1" ht="76.5" customHeight="1" outlineLevel="1" x14ac:dyDescent="0.2">
      <c r="A1881" s="1" t="s">
        <v>8336</v>
      </c>
      <c r="B1881" s="16" t="s">
        <v>5277</v>
      </c>
      <c r="C1881" s="4" t="s">
        <v>1071</v>
      </c>
      <c r="D1881" s="4" t="s">
        <v>831</v>
      </c>
      <c r="E1881" s="4" t="s">
        <v>1072</v>
      </c>
      <c r="F1881" s="4"/>
      <c r="G1881" s="4" t="s">
        <v>1888</v>
      </c>
      <c r="H1881" s="22">
        <v>0</v>
      </c>
      <c r="I1881" s="4">
        <v>710000000</v>
      </c>
      <c r="J1881" s="4" t="s">
        <v>1931</v>
      </c>
      <c r="K1881" s="4" t="s">
        <v>756</v>
      </c>
      <c r="L1881" s="4" t="s">
        <v>1027</v>
      </c>
      <c r="M1881" s="8" t="s">
        <v>3195</v>
      </c>
      <c r="N1881" s="4" t="s">
        <v>1890</v>
      </c>
      <c r="O1881" s="8" t="s">
        <v>1935</v>
      </c>
      <c r="P1881" s="8">
        <v>796</v>
      </c>
      <c r="Q1881" s="8" t="s">
        <v>3196</v>
      </c>
      <c r="R1881" s="10">
        <v>85</v>
      </c>
      <c r="S1881" s="10">
        <v>240</v>
      </c>
      <c r="T1881" s="10">
        <f t="shared" ref="T1881" si="975">S1881*R1881</f>
        <v>20400</v>
      </c>
      <c r="U1881" s="10">
        <f t="shared" ref="U1881" si="976">T1881*1.12</f>
        <v>22848.000000000004</v>
      </c>
      <c r="V1881" s="4"/>
      <c r="W1881" s="1">
        <v>2015</v>
      </c>
      <c r="X1881" s="68"/>
    </row>
    <row r="1882" spans="1:24" s="133" customFormat="1" ht="76.5" customHeight="1" outlineLevel="1" x14ac:dyDescent="0.2">
      <c r="A1882" s="1" t="s">
        <v>2658</v>
      </c>
      <c r="B1882" s="16" t="s">
        <v>5277</v>
      </c>
      <c r="C1882" s="4" t="s">
        <v>1087</v>
      </c>
      <c r="D1882" s="4" t="s">
        <v>831</v>
      </c>
      <c r="E1882" s="4" t="s">
        <v>1088</v>
      </c>
      <c r="F1882" s="4"/>
      <c r="G1882" s="4" t="s">
        <v>1888</v>
      </c>
      <c r="H1882" s="22">
        <v>0</v>
      </c>
      <c r="I1882" s="4">
        <v>710000000</v>
      </c>
      <c r="J1882" s="4" t="s">
        <v>1931</v>
      </c>
      <c r="K1882" s="4" t="s">
        <v>5297</v>
      </c>
      <c r="L1882" s="4" t="s">
        <v>1027</v>
      </c>
      <c r="M1882" s="8" t="s">
        <v>3195</v>
      </c>
      <c r="N1882" s="4" t="s">
        <v>1890</v>
      </c>
      <c r="O1882" s="8" t="s">
        <v>1935</v>
      </c>
      <c r="P1882" s="8">
        <v>796</v>
      </c>
      <c r="Q1882" s="8" t="s">
        <v>3196</v>
      </c>
      <c r="R1882" s="10">
        <v>89</v>
      </c>
      <c r="S1882" s="10">
        <v>395</v>
      </c>
      <c r="T1882" s="10">
        <v>0</v>
      </c>
      <c r="U1882" s="10">
        <f t="shared" si="905"/>
        <v>0</v>
      </c>
      <c r="V1882" s="4"/>
      <c r="W1882" s="1">
        <v>2015</v>
      </c>
      <c r="X1882" s="66">
        <v>11</v>
      </c>
    </row>
    <row r="1883" spans="1:24" s="133" customFormat="1" ht="76.5" customHeight="1" outlineLevel="1" x14ac:dyDescent="0.2">
      <c r="A1883" s="1" t="s">
        <v>8337</v>
      </c>
      <c r="B1883" s="16" t="s">
        <v>5277</v>
      </c>
      <c r="C1883" s="4" t="s">
        <v>1087</v>
      </c>
      <c r="D1883" s="4" t="s">
        <v>831</v>
      </c>
      <c r="E1883" s="4" t="s">
        <v>1088</v>
      </c>
      <c r="F1883" s="4"/>
      <c r="G1883" s="4" t="s">
        <v>1888</v>
      </c>
      <c r="H1883" s="22">
        <v>0</v>
      </c>
      <c r="I1883" s="4">
        <v>710000000</v>
      </c>
      <c r="J1883" s="4" t="s">
        <v>1931</v>
      </c>
      <c r="K1883" s="4" t="s">
        <v>756</v>
      </c>
      <c r="L1883" s="4" t="s">
        <v>1027</v>
      </c>
      <c r="M1883" s="8" t="s">
        <v>3195</v>
      </c>
      <c r="N1883" s="4" t="s">
        <v>1890</v>
      </c>
      <c r="O1883" s="8" t="s">
        <v>1935</v>
      </c>
      <c r="P1883" s="8">
        <v>796</v>
      </c>
      <c r="Q1883" s="8" t="s">
        <v>3196</v>
      </c>
      <c r="R1883" s="10">
        <v>89</v>
      </c>
      <c r="S1883" s="10">
        <v>395</v>
      </c>
      <c r="T1883" s="10">
        <f t="shared" ref="T1883" si="977">S1883*R1883</f>
        <v>35155</v>
      </c>
      <c r="U1883" s="10">
        <f t="shared" ref="U1883" si="978">T1883*1.12</f>
        <v>39373.600000000006</v>
      </c>
      <c r="V1883" s="4"/>
      <c r="W1883" s="1">
        <v>2015</v>
      </c>
      <c r="X1883" s="68"/>
    </row>
    <row r="1884" spans="1:24" s="133" customFormat="1" ht="76.5" customHeight="1" outlineLevel="1" x14ac:dyDescent="0.2">
      <c r="A1884" s="1" t="s">
        <v>2659</v>
      </c>
      <c r="B1884" s="16" t="s">
        <v>5277</v>
      </c>
      <c r="C1884" s="4" t="s">
        <v>1089</v>
      </c>
      <c r="D1884" s="4" t="s">
        <v>830</v>
      </c>
      <c r="E1884" s="4" t="s">
        <v>1090</v>
      </c>
      <c r="F1884" s="4"/>
      <c r="G1884" s="4" t="s">
        <v>1888</v>
      </c>
      <c r="H1884" s="22">
        <v>0</v>
      </c>
      <c r="I1884" s="4">
        <v>710000000</v>
      </c>
      <c r="J1884" s="4" t="s">
        <v>1931</v>
      </c>
      <c r="K1884" s="4" t="s">
        <v>5297</v>
      </c>
      <c r="L1884" s="4" t="s">
        <v>1027</v>
      </c>
      <c r="M1884" s="8" t="s">
        <v>3195</v>
      </c>
      <c r="N1884" s="4" t="s">
        <v>1890</v>
      </c>
      <c r="O1884" s="8" t="s">
        <v>1935</v>
      </c>
      <c r="P1884" s="8">
        <v>796</v>
      </c>
      <c r="Q1884" s="8" t="s">
        <v>3196</v>
      </c>
      <c r="R1884" s="10">
        <v>7</v>
      </c>
      <c r="S1884" s="10">
        <v>145</v>
      </c>
      <c r="T1884" s="10">
        <v>0</v>
      </c>
      <c r="U1884" s="10">
        <f t="shared" si="905"/>
        <v>0</v>
      </c>
      <c r="V1884" s="4"/>
      <c r="W1884" s="1">
        <v>2015</v>
      </c>
      <c r="X1884" s="66">
        <v>11</v>
      </c>
    </row>
    <row r="1885" spans="1:24" s="133" customFormat="1" ht="76.5" customHeight="1" outlineLevel="1" x14ac:dyDescent="0.2">
      <c r="A1885" s="1" t="s">
        <v>8338</v>
      </c>
      <c r="B1885" s="16" t="s">
        <v>5277</v>
      </c>
      <c r="C1885" s="4" t="s">
        <v>1089</v>
      </c>
      <c r="D1885" s="4" t="s">
        <v>830</v>
      </c>
      <c r="E1885" s="4" t="s">
        <v>1090</v>
      </c>
      <c r="F1885" s="4"/>
      <c r="G1885" s="4" t="s">
        <v>1888</v>
      </c>
      <c r="H1885" s="22">
        <v>0</v>
      </c>
      <c r="I1885" s="4">
        <v>710000000</v>
      </c>
      <c r="J1885" s="4" t="s">
        <v>1931</v>
      </c>
      <c r="K1885" s="4" t="s">
        <v>756</v>
      </c>
      <c r="L1885" s="4" t="s">
        <v>1027</v>
      </c>
      <c r="M1885" s="8" t="s">
        <v>3195</v>
      </c>
      <c r="N1885" s="4" t="s">
        <v>1890</v>
      </c>
      <c r="O1885" s="8" t="s">
        <v>1935</v>
      </c>
      <c r="P1885" s="8">
        <v>796</v>
      </c>
      <c r="Q1885" s="8" t="s">
        <v>3196</v>
      </c>
      <c r="R1885" s="10">
        <v>7</v>
      </c>
      <c r="S1885" s="10">
        <v>145</v>
      </c>
      <c r="T1885" s="10">
        <f t="shared" ref="T1885" si="979">S1885*R1885</f>
        <v>1015</v>
      </c>
      <c r="U1885" s="10">
        <f t="shared" ref="U1885" si="980">T1885*1.12</f>
        <v>1136.8000000000002</v>
      </c>
      <c r="V1885" s="4"/>
      <c r="W1885" s="1">
        <v>2015</v>
      </c>
      <c r="X1885" s="68"/>
    </row>
    <row r="1886" spans="1:24" s="133" customFormat="1" ht="76.5" customHeight="1" outlineLevel="1" x14ac:dyDescent="0.2">
      <c r="A1886" s="1" t="s">
        <v>2660</v>
      </c>
      <c r="B1886" s="16" t="s">
        <v>5277</v>
      </c>
      <c r="C1886" s="4" t="s">
        <v>1091</v>
      </c>
      <c r="D1886" s="4" t="s">
        <v>830</v>
      </c>
      <c r="E1886" s="4" t="s">
        <v>1092</v>
      </c>
      <c r="F1886" s="4"/>
      <c r="G1886" s="4" t="s">
        <v>1888</v>
      </c>
      <c r="H1886" s="22">
        <v>0</v>
      </c>
      <c r="I1886" s="4">
        <v>710000000</v>
      </c>
      <c r="J1886" s="4" t="s">
        <v>1931</v>
      </c>
      <c r="K1886" s="4" t="s">
        <v>5297</v>
      </c>
      <c r="L1886" s="4" t="s">
        <v>1027</v>
      </c>
      <c r="M1886" s="8" t="s">
        <v>3195</v>
      </c>
      <c r="N1886" s="4" t="s">
        <v>1890</v>
      </c>
      <c r="O1886" s="8" t="s">
        <v>1935</v>
      </c>
      <c r="P1886" s="8">
        <v>796</v>
      </c>
      <c r="Q1886" s="8" t="s">
        <v>3196</v>
      </c>
      <c r="R1886" s="10">
        <v>21</v>
      </c>
      <c r="S1886" s="10">
        <v>120</v>
      </c>
      <c r="T1886" s="10">
        <v>0</v>
      </c>
      <c r="U1886" s="10">
        <f t="shared" si="905"/>
        <v>0</v>
      </c>
      <c r="V1886" s="4"/>
      <c r="W1886" s="1">
        <v>2015</v>
      </c>
      <c r="X1886" s="66">
        <v>11</v>
      </c>
    </row>
    <row r="1887" spans="1:24" s="133" customFormat="1" ht="76.5" customHeight="1" outlineLevel="1" x14ac:dyDescent="0.2">
      <c r="A1887" s="1" t="s">
        <v>8339</v>
      </c>
      <c r="B1887" s="16" t="s">
        <v>5277</v>
      </c>
      <c r="C1887" s="4" t="s">
        <v>1091</v>
      </c>
      <c r="D1887" s="4" t="s">
        <v>830</v>
      </c>
      <c r="E1887" s="4" t="s">
        <v>1092</v>
      </c>
      <c r="F1887" s="4"/>
      <c r="G1887" s="4" t="s">
        <v>1888</v>
      </c>
      <c r="H1887" s="22">
        <v>0</v>
      </c>
      <c r="I1887" s="4">
        <v>710000000</v>
      </c>
      <c r="J1887" s="4" t="s">
        <v>1931</v>
      </c>
      <c r="K1887" s="4" t="s">
        <v>756</v>
      </c>
      <c r="L1887" s="4" t="s">
        <v>1027</v>
      </c>
      <c r="M1887" s="8" t="s">
        <v>3195</v>
      </c>
      <c r="N1887" s="4" t="s">
        <v>1890</v>
      </c>
      <c r="O1887" s="8" t="s">
        <v>1935</v>
      </c>
      <c r="P1887" s="8">
        <v>796</v>
      </c>
      <c r="Q1887" s="8" t="s">
        <v>3196</v>
      </c>
      <c r="R1887" s="10">
        <v>21</v>
      </c>
      <c r="S1887" s="10">
        <v>120</v>
      </c>
      <c r="T1887" s="10">
        <f t="shared" ref="T1887" si="981">S1887*R1887</f>
        <v>2520</v>
      </c>
      <c r="U1887" s="10">
        <f t="shared" ref="U1887" si="982">T1887*1.12</f>
        <v>2822.4</v>
      </c>
      <c r="V1887" s="4"/>
      <c r="W1887" s="1">
        <v>2015</v>
      </c>
      <c r="X1887" s="68"/>
    </row>
    <row r="1888" spans="1:24" s="133" customFormat="1" ht="76.5" customHeight="1" outlineLevel="1" x14ac:dyDescent="0.2">
      <c r="A1888" s="1" t="s">
        <v>2661</v>
      </c>
      <c r="B1888" s="16" t="s">
        <v>5277</v>
      </c>
      <c r="C1888" s="4" t="s">
        <v>1093</v>
      </c>
      <c r="D1888" s="4" t="s">
        <v>830</v>
      </c>
      <c r="E1888" s="4" t="s">
        <v>1094</v>
      </c>
      <c r="F1888" s="4"/>
      <c r="G1888" s="4" t="s">
        <v>1888</v>
      </c>
      <c r="H1888" s="22">
        <v>0</v>
      </c>
      <c r="I1888" s="4">
        <v>710000000</v>
      </c>
      <c r="J1888" s="4" t="s">
        <v>1931</v>
      </c>
      <c r="K1888" s="4" t="s">
        <v>5297</v>
      </c>
      <c r="L1888" s="4" t="s">
        <v>1027</v>
      </c>
      <c r="M1888" s="8" t="s">
        <v>3195</v>
      </c>
      <c r="N1888" s="4" t="s">
        <v>1890</v>
      </c>
      <c r="O1888" s="8" t="s">
        <v>1935</v>
      </c>
      <c r="P1888" s="8">
        <v>796</v>
      </c>
      <c r="Q1888" s="8" t="s">
        <v>3196</v>
      </c>
      <c r="R1888" s="10">
        <v>8</v>
      </c>
      <c r="S1888" s="10">
        <v>490</v>
      </c>
      <c r="T1888" s="10">
        <v>0</v>
      </c>
      <c r="U1888" s="10">
        <f t="shared" si="905"/>
        <v>0</v>
      </c>
      <c r="V1888" s="4"/>
      <c r="W1888" s="1">
        <v>2015</v>
      </c>
      <c r="X1888" s="66">
        <v>11</v>
      </c>
    </row>
    <row r="1889" spans="1:24" s="133" customFormat="1" ht="76.5" customHeight="1" outlineLevel="1" x14ac:dyDescent="0.2">
      <c r="A1889" s="1" t="s">
        <v>8340</v>
      </c>
      <c r="B1889" s="16" t="s">
        <v>5277</v>
      </c>
      <c r="C1889" s="4" t="s">
        <v>1093</v>
      </c>
      <c r="D1889" s="4" t="s">
        <v>830</v>
      </c>
      <c r="E1889" s="4" t="s">
        <v>1094</v>
      </c>
      <c r="F1889" s="4"/>
      <c r="G1889" s="4" t="s">
        <v>1888</v>
      </c>
      <c r="H1889" s="22">
        <v>0</v>
      </c>
      <c r="I1889" s="4">
        <v>710000000</v>
      </c>
      <c r="J1889" s="4" t="s">
        <v>1931</v>
      </c>
      <c r="K1889" s="4" t="s">
        <v>756</v>
      </c>
      <c r="L1889" s="4" t="s">
        <v>1027</v>
      </c>
      <c r="M1889" s="8" t="s">
        <v>3195</v>
      </c>
      <c r="N1889" s="4" t="s">
        <v>1890</v>
      </c>
      <c r="O1889" s="8" t="s">
        <v>1935</v>
      </c>
      <c r="P1889" s="8">
        <v>796</v>
      </c>
      <c r="Q1889" s="8" t="s">
        <v>3196</v>
      </c>
      <c r="R1889" s="10">
        <v>8</v>
      </c>
      <c r="S1889" s="10">
        <v>490</v>
      </c>
      <c r="T1889" s="10">
        <f t="shared" ref="T1889" si="983">S1889*R1889</f>
        <v>3920</v>
      </c>
      <c r="U1889" s="10">
        <f t="shared" ref="U1889" si="984">T1889*1.12</f>
        <v>4390.4000000000005</v>
      </c>
      <c r="V1889" s="4"/>
      <c r="W1889" s="1">
        <v>2015</v>
      </c>
      <c r="X1889" s="68"/>
    </row>
    <row r="1890" spans="1:24" s="133" customFormat="1" ht="76.5" customHeight="1" outlineLevel="1" x14ac:dyDescent="0.2">
      <c r="A1890" s="1" t="s">
        <v>2662</v>
      </c>
      <c r="B1890" s="16" t="s">
        <v>5277</v>
      </c>
      <c r="C1890" s="4" t="s">
        <v>1852</v>
      </c>
      <c r="D1890" s="4" t="s">
        <v>830</v>
      </c>
      <c r="E1890" s="4" t="s">
        <v>6125</v>
      </c>
      <c r="F1890" s="4"/>
      <c r="G1890" s="4" t="s">
        <v>1888</v>
      </c>
      <c r="H1890" s="22">
        <v>0</v>
      </c>
      <c r="I1890" s="4">
        <v>710000000</v>
      </c>
      <c r="J1890" s="4" t="s">
        <v>1931</v>
      </c>
      <c r="K1890" s="4" t="s">
        <v>5297</v>
      </c>
      <c r="L1890" s="4" t="s">
        <v>1027</v>
      </c>
      <c r="M1890" s="8" t="s">
        <v>3195</v>
      </c>
      <c r="N1890" s="4" t="s">
        <v>1890</v>
      </c>
      <c r="O1890" s="8" t="s">
        <v>1935</v>
      </c>
      <c r="P1890" s="8">
        <v>796</v>
      </c>
      <c r="Q1890" s="8" t="s">
        <v>3196</v>
      </c>
      <c r="R1890" s="10">
        <v>2</v>
      </c>
      <c r="S1890" s="10">
        <v>4000</v>
      </c>
      <c r="T1890" s="10">
        <v>0</v>
      </c>
      <c r="U1890" s="10">
        <f t="shared" si="905"/>
        <v>0</v>
      </c>
      <c r="V1890" s="4"/>
      <c r="W1890" s="1">
        <v>2015</v>
      </c>
      <c r="X1890" s="66">
        <v>11</v>
      </c>
    </row>
    <row r="1891" spans="1:24" s="133" customFormat="1" ht="76.5" customHeight="1" outlineLevel="1" x14ac:dyDescent="0.2">
      <c r="A1891" s="1" t="s">
        <v>8341</v>
      </c>
      <c r="B1891" s="16" t="s">
        <v>5277</v>
      </c>
      <c r="C1891" s="4" t="s">
        <v>1852</v>
      </c>
      <c r="D1891" s="4" t="s">
        <v>830</v>
      </c>
      <c r="E1891" s="4" t="s">
        <v>6125</v>
      </c>
      <c r="F1891" s="4"/>
      <c r="G1891" s="4" t="s">
        <v>1888</v>
      </c>
      <c r="H1891" s="22">
        <v>0</v>
      </c>
      <c r="I1891" s="4">
        <v>710000000</v>
      </c>
      <c r="J1891" s="4" t="s">
        <v>1931</v>
      </c>
      <c r="K1891" s="4" t="s">
        <v>756</v>
      </c>
      <c r="L1891" s="4" t="s">
        <v>1027</v>
      </c>
      <c r="M1891" s="8" t="s">
        <v>3195</v>
      </c>
      <c r="N1891" s="4" t="s">
        <v>1890</v>
      </c>
      <c r="O1891" s="8" t="s">
        <v>1935</v>
      </c>
      <c r="P1891" s="8">
        <v>796</v>
      </c>
      <c r="Q1891" s="8" t="s">
        <v>3196</v>
      </c>
      <c r="R1891" s="10">
        <v>2</v>
      </c>
      <c r="S1891" s="10">
        <v>4000</v>
      </c>
      <c r="T1891" s="10">
        <f t="shared" ref="T1891" si="985">S1891*R1891</f>
        <v>8000</v>
      </c>
      <c r="U1891" s="10">
        <f t="shared" ref="U1891" si="986">T1891*1.12</f>
        <v>8960</v>
      </c>
      <c r="V1891" s="4"/>
      <c r="W1891" s="1">
        <v>2015</v>
      </c>
      <c r="X1891" s="68"/>
    </row>
    <row r="1892" spans="1:24" s="133" customFormat="1" ht="76.5" customHeight="1" outlineLevel="1" x14ac:dyDescent="0.2">
      <c r="A1892" s="1" t="s">
        <v>2663</v>
      </c>
      <c r="B1892" s="16" t="s">
        <v>5277</v>
      </c>
      <c r="C1892" s="4" t="s">
        <v>1095</v>
      </c>
      <c r="D1892" s="4" t="s">
        <v>830</v>
      </c>
      <c r="E1892" s="4" t="s">
        <v>1096</v>
      </c>
      <c r="F1892" s="4"/>
      <c r="G1892" s="4" t="s">
        <v>1888</v>
      </c>
      <c r="H1892" s="22">
        <v>0</v>
      </c>
      <c r="I1892" s="4">
        <v>710000000</v>
      </c>
      <c r="J1892" s="4" t="s">
        <v>1931</v>
      </c>
      <c r="K1892" s="4" t="s">
        <v>5297</v>
      </c>
      <c r="L1892" s="4" t="s">
        <v>1027</v>
      </c>
      <c r="M1892" s="8" t="s">
        <v>3195</v>
      </c>
      <c r="N1892" s="4" t="s">
        <v>1890</v>
      </c>
      <c r="O1892" s="8" t="s">
        <v>1935</v>
      </c>
      <c r="P1892" s="8">
        <v>796</v>
      </c>
      <c r="Q1892" s="8" t="s">
        <v>3196</v>
      </c>
      <c r="R1892" s="10">
        <v>1</v>
      </c>
      <c r="S1892" s="10">
        <v>17000</v>
      </c>
      <c r="T1892" s="10">
        <v>0</v>
      </c>
      <c r="U1892" s="10">
        <f t="shared" si="905"/>
        <v>0</v>
      </c>
      <c r="V1892" s="4"/>
      <c r="W1892" s="1">
        <v>2015</v>
      </c>
      <c r="X1892" s="66">
        <v>11</v>
      </c>
    </row>
    <row r="1893" spans="1:24" s="133" customFormat="1" ht="76.5" customHeight="1" outlineLevel="1" x14ac:dyDescent="0.2">
      <c r="A1893" s="1" t="s">
        <v>8342</v>
      </c>
      <c r="B1893" s="16" t="s">
        <v>5277</v>
      </c>
      <c r="C1893" s="4" t="s">
        <v>1095</v>
      </c>
      <c r="D1893" s="4" t="s">
        <v>830</v>
      </c>
      <c r="E1893" s="4" t="s">
        <v>1096</v>
      </c>
      <c r="F1893" s="4"/>
      <c r="G1893" s="4" t="s">
        <v>1888</v>
      </c>
      <c r="H1893" s="22">
        <v>0</v>
      </c>
      <c r="I1893" s="4">
        <v>710000000</v>
      </c>
      <c r="J1893" s="4" t="s">
        <v>1931</v>
      </c>
      <c r="K1893" s="4" t="s">
        <v>756</v>
      </c>
      <c r="L1893" s="4" t="s">
        <v>1027</v>
      </c>
      <c r="M1893" s="8" t="s">
        <v>3195</v>
      </c>
      <c r="N1893" s="4" t="s">
        <v>1890</v>
      </c>
      <c r="O1893" s="8" t="s">
        <v>1935</v>
      </c>
      <c r="P1893" s="8">
        <v>796</v>
      </c>
      <c r="Q1893" s="8" t="s">
        <v>3196</v>
      </c>
      <c r="R1893" s="10">
        <v>1</v>
      </c>
      <c r="S1893" s="10">
        <v>17000</v>
      </c>
      <c r="T1893" s="10">
        <f t="shared" ref="T1893" si="987">S1893*R1893</f>
        <v>17000</v>
      </c>
      <c r="U1893" s="10">
        <f t="shared" ref="U1893" si="988">T1893*1.12</f>
        <v>19040</v>
      </c>
      <c r="V1893" s="4"/>
      <c r="W1893" s="1">
        <v>2015</v>
      </c>
      <c r="X1893" s="68"/>
    </row>
    <row r="1894" spans="1:24" s="133" customFormat="1" ht="76.5" customHeight="1" outlineLevel="1" x14ac:dyDescent="0.2">
      <c r="A1894" s="1" t="s">
        <v>2664</v>
      </c>
      <c r="B1894" s="16" t="s">
        <v>5277</v>
      </c>
      <c r="C1894" s="4" t="s">
        <v>1097</v>
      </c>
      <c r="D1894" s="4" t="s">
        <v>830</v>
      </c>
      <c r="E1894" s="4" t="s">
        <v>1098</v>
      </c>
      <c r="F1894" s="4"/>
      <c r="G1894" s="4" t="s">
        <v>1888</v>
      </c>
      <c r="H1894" s="22">
        <v>0</v>
      </c>
      <c r="I1894" s="4">
        <v>710000000</v>
      </c>
      <c r="J1894" s="4" t="s">
        <v>1931</v>
      </c>
      <c r="K1894" s="4" t="s">
        <v>5297</v>
      </c>
      <c r="L1894" s="4" t="s">
        <v>1027</v>
      </c>
      <c r="M1894" s="8" t="s">
        <v>3195</v>
      </c>
      <c r="N1894" s="4" t="s">
        <v>1890</v>
      </c>
      <c r="O1894" s="8" t="s">
        <v>1935</v>
      </c>
      <c r="P1894" s="8">
        <v>796</v>
      </c>
      <c r="Q1894" s="8" t="s">
        <v>3196</v>
      </c>
      <c r="R1894" s="10">
        <v>1</v>
      </c>
      <c r="S1894" s="10">
        <v>200</v>
      </c>
      <c r="T1894" s="10">
        <v>0</v>
      </c>
      <c r="U1894" s="10">
        <f t="shared" si="905"/>
        <v>0</v>
      </c>
      <c r="V1894" s="4"/>
      <c r="W1894" s="1">
        <v>2015</v>
      </c>
      <c r="X1894" s="66">
        <v>11</v>
      </c>
    </row>
    <row r="1895" spans="1:24" s="133" customFormat="1" ht="76.5" customHeight="1" outlineLevel="1" x14ac:dyDescent="0.2">
      <c r="A1895" s="1" t="s">
        <v>8343</v>
      </c>
      <c r="B1895" s="16" t="s">
        <v>5277</v>
      </c>
      <c r="C1895" s="4" t="s">
        <v>1097</v>
      </c>
      <c r="D1895" s="4" t="s">
        <v>830</v>
      </c>
      <c r="E1895" s="4" t="s">
        <v>1098</v>
      </c>
      <c r="F1895" s="4"/>
      <c r="G1895" s="4" t="s">
        <v>1888</v>
      </c>
      <c r="H1895" s="22">
        <v>0</v>
      </c>
      <c r="I1895" s="4">
        <v>710000000</v>
      </c>
      <c r="J1895" s="4" t="s">
        <v>1931</v>
      </c>
      <c r="K1895" s="4" t="s">
        <v>756</v>
      </c>
      <c r="L1895" s="4" t="s">
        <v>1027</v>
      </c>
      <c r="M1895" s="8" t="s">
        <v>3195</v>
      </c>
      <c r="N1895" s="4" t="s">
        <v>1890</v>
      </c>
      <c r="O1895" s="8" t="s">
        <v>1935</v>
      </c>
      <c r="P1895" s="8">
        <v>796</v>
      </c>
      <c r="Q1895" s="8" t="s">
        <v>3196</v>
      </c>
      <c r="R1895" s="10">
        <v>1</v>
      </c>
      <c r="S1895" s="10">
        <v>200</v>
      </c>
      <c r="T1895" s="10">
        <f t="shared" ref="T1895" si="989">S1895*R1895</f>
        <v>200</v>
      </c>
      <c r="U1895" s="10">
        <f t="shared" ref="U1895" si="990">T1895*1.12</f>
        <v>224.00000000000003</v>
      </c>
      <c r="V1895" s="4"/>
      <c r="W1895" s="1">
        <v>2015</v>
      </c>
      <c r="X1895" s="68"/>
    </row>
    <row r="1896" spans="1:24" s="133" customFormat="1" ht="76.5" customHeight="1" outlineLevel="1" x14ac:dyDescent="0.2">
      <c r="A1896" s="1" t="s">
        <v>2665</v>
      </c>
      <c r="B1896" s="16" t="s">
        <v>5277</v>
      </c>
      <c r="C1896" s="4" t="s">
        <v>1866</v>
      </c>
      <c r="D1896" s="4" t="s">
        <v>1867</v>
      </c>
      <c r="E1896" s="4" t="s">
        <v>6135</v>
      </c>
      <c r="F1896" s="4" t="s">
        <v>1099</v>
      </c>
      <c r="G1896" s="4" t="s">
        <v>1888</v>
      </c>
      <c r="H1896" s="22">
        <v>0</v>
      </c>
      <c r="I1896" s="4">
        <v>710000000</v>
      </c>
      <c r="J1896" s="4" t="s">
        <v>1931</v>
      </c>
      <c r="K1896" s="4" t="s">
        <v>5297</v>
      </c>
      <c r="L1896" s="4" t="s">
        <v>1027</v>
      </c>
      <c r="M1896" s="8" t="s">
        <v>3195</v>
      </c>
      <c r="N1896" s="4" t="s">
        <v>1890</v>
      </c>
      <c r="O1896" s="8" t="s">
        <v>1935</v>
      </c>
      <c r="P1896" s="8">
        <v>796</v>
      </c>
      <c r="Q1896" s="8" t="s">
        <v>3196</v>
      </c>
      <c r="R1896" s="10">
        <v>18</v>
      </c>
      <c r="S1896" s="10">
        <v>790</v>
      </c>
      <c r="T1896" s="10">
        <v>0</v>
      </c>
      <c r="U1896" s="10">
        <f t="shared" si="905"/>
        <v>0</v>
      </c>
      <c r="V1896" s="4"/>
      <c r="W1896" s="1">
        <v>2015</v>
      </c>
      <c r="X1896" s="66">
        <v>11</v>
      </c>
    </row>
    <row r="1897" spans="1:24" s="133" customFormat="1" ht="76.5" customHeight="1" outlineLevel="1" x14ac:dyDescent="0.2">
      <c r="A1897" s="1" t="s">
        <v>8344</v>
      </c>
      <c r="B1897" s="16" t="s">
        <v>5277</v>
      </c>
      <c r="C1897" s="4" t="s">
        <v>1866</v>
      </c>
      <c r="D1897" s="4" t="s">
        <v>1867</v>
      </c>
      <c r="E1897" s="4" t="s">
        <v>6135</v>
      </c>
      <c r="F1897" s="4" t="s">
        <v>1099</v>
      </c>
      <c r="G1897" s="4" t="s">
        <v>1888</v>
      </c>
      <c r="H1897" s="22">
        <v>0</v>
      </c>
      <c r="I1897" s="4">
        <v>710000000</v>
      </c>
      <c r="J1897" s="4" t="s">
        <v>1931</v>
      </c>
      <c r="K1897" s="4" t="s">
        <v>756</v>
      </c>
      <c r="L1897" s="4" t="s">
        <v>1027</v>
      </c>
      <c r="M1897" s="8" t="s">
        <v>3195</v>
      </c>
      <c r="N1897" s="4" t="s">
        <v>1890</v>
      </c>
      <c r="O1897" s="8" t="s">
        <v>1935</v>
      </c>
      <c r="P1897" s="8">
        <v>796</v>
      </c>
      <c r="Q1897" s="8" t="s">
        <v>3196</v>
      </c>
      <c r="R1897" s="10">
        <v>18</v>
      </c>
      <c r="S1897" s="10">
        <v>790</v>
      </c>
      <c r="T1897" s="10">
        <f t="shared" ref="T1897" si="991">S1897*R1897</f>
        <v>14220</v>
      </c>
      <c r="U1897" s="10">
        <f t="shared" ref="U1897" si="992">T1897*1.12</f>
        <v>15926.400000000001</v>
      </c>
      <c r="V1897" s="4"/>
      <c r="W1897" s="1">
        <v>2015</v>
      </c>
      <c r="X1897" s="68"/>
    </row>
    <row r="1898" spans="1:24" s="133" customFormat="1" ht="76.5" customHeight="1" outlineLevel="1" x14ac:dyDescent="0.2">
      <c r="A1898" s="1" t="s">
        <v>2666</v>
      </c>
      <c r="B1898" s="16" t="s">
        <v>5277</v>
      </c>
      <c r="C1898" s="4" t="s">
        <v>1866</v>
      </c>
      <c r="D1898" s="4" t="s">
        <v>1867</v>
      </c>
      <c r="E1898" s="4" t="s">
        <v>6135</v>
      </c>
      <c r="F1898" s="4" t="s">
        <v>1100</v>
      </c>
      <c r="G1898" s="4" t="s">
        <v>1888</v>
      </c>
      <c r="H1898" s="22">
        <v>0</v>
      </c>
      <c r="I1898" s="4">
        <v>710000000</v>
      </c>
      <c r="J1898" s="4" t="s">
        <v>1931</v>
      </c>
      <c r="K1898" s="4" t="s">
        <v>5297</v>
      </c>
      <c r="L1898" s="4" t="s">
        <v>1027</v>
      </c>
      <c r="M1898" s="8" t="s">
        <v>3195</v>
      </c>
      <c r="N1898" s="4" t="s">
        <v>1890</v>
      </c>
      <c r="O1898" s="8" t="s">
        <v>1935</v>
      </c>
      <c r="P1898" s="8">
        <v>796</v>
      </c>
      <c r="Q1898" s="8" t="s">
        <v>3196</v>
      </c>
      <c r="R1898" s="10">
        <v>38</v>
      </c>
      <c r="S1898" s="10">
        <v>790</v>
      </c>
      <c r="T1898" s="10">
        <v>0</v>
      </c>
      <c r="U1898" s="10">
        <f t="shared" si="905"/>
        <v>0</v>
      </c>
      <c r="V1898" s="4"/>
      <c r="W1898" s="1">
        <v>2015</v>
      </c>
      <c r="X1898" s="66">
        <v>11</v>
      </c>
    </row>
    <row r="1899" spans="1:24" s="133" customFormat="1" ht="76.5" customHeight="1" outlineLevel="1" x14ac:dyDescent="0.2">
      <c r="A1899" s="1" t="s">
        <v>8345</v>
      </c>
      <c r="B1899" s="16" t="s">
        <v>5277</v>
      </c>
      <c r="C1899" s="4" t="s">
        <v>1866</v>
      </c>
      <c r="D1899" s="4" t="s">
        <v>1867</v>
      </c>
      <c r="E1899" s="4" t="s">
        <v>6135</v>
      </c>
      <c r="F1899" s="4" t="s">
        <v>1100</v>
      </c>
      <c r="G1899" s="4" t="s">
        <v>1888</v>
      </c>
      <c r="H1899" s="22">
        <v>0</v>
      </c>
      <c r="I1899" s="4">
        <v>710000000</v>
      </c>
      <c r="J1899" s="4" t="s">
        <v>1931</v>
      </c>
      <c r="K1899" s="4" t="s">
        <v>756</v>
      </c>
      <c r="L1899" s="4" t="s">
        <v>1027</v>
      </c>
      <c r="M1899" s="8" t="s">
        <v>3195</v>
      </c>
      <c r="N1899" s="4" t="s">
        <v>1890</v>
      </c>
      <c r="O1899" s="8" t="s">
        <v>1935</v>
      </c>
      <c r="P1899" s="8">
        <v>796</v>
      </c>
      <c r="Q1899" s="8" t="s">
        <v>3196</v>
      </c>
      <c r="R1899" s="10">
        <v>38</v>
      </c>
      <c r="S1899" s="10">
        <v>790</v>
      </c>
      <c r="T1899" s="10">
        <f t="shared" ref="T1899" si="993">S1899*R1899</f>
        <v>30020</v>
      </c>
      <c r="U1899" s="10">
        <f t="shared" ref="U1899" si="994">T1899*1.12</f>
        <v>33622.400000000001</v>
      </c>
      <c r="V1899" s="4"/>
      <c r="W1899" s="1">
        <v>2015</v>
      </c>
      <c r="X1899" s="68"/>
    </row>
    <row r="1900" spans="1:24" s="133" customFormat="1" ht="76.5" customHeight="1" outlineLevel="1" x14ac:dyDescent="0.2">
      <c r="A1900" s="1" t="s">
        <v>2667</v>
      </c>
      <c r="B1900" s="16" t="s">
        <v>5277</v>
      </c>
      <c r="C1900" s="4" t="s">
        <v>1866</v>
      </c>
      <c r="D1900" s="4" t="s">
        <v>1867</v>
      </c>
      <c r="E1900" s="4" t="s">
        <v>6135</v>
      </c>
      <c r="F1900" s="4" t="s">
        <v>1101</v>
      </c>
      <c r="G1900" s="4" t="s">
        <v>1888</v>
      </c>
      <c r="H1900" s="22">
        <v>0</v>
      </c>
      <c r="I1900" s="4">
        <v>710000000</v>
      </c>
      <c r="J1900" s="4" t="s">
        <v>1931</v>
      </c>
      <c r="K1900" s="4" t="s">
        <v>5297</v>
      </c>
      <c r="L1900" s="4" t="s">
        <v>1027</v>
      </c>
      <c r="M1900" s="8" t="s">
        <v>3195</v>
      </c>
      <c r="N1900" s="4" t="s">
        <v>1890</v>
      </c>
      <c r="O1900" s="8" t="s">
        <v>1935</v>
      </c>
      <c r="P1900" s="8">
        <v>796</v>
      </c>
      <c r="Q1900" s="8" t="s">
        <v>3196</v>
      </c>
      <c r="R1900" s="10">
        <v>4</v>
      </c>
      <c r="S1900" s="10">
        <v>900</v>
      </c>
      <c r="T1900" s="10">
        <v>0</v>
      </c>
      <c r="U1900" s="10">
        <f t="shared" si="905"/>
        <v>0</v>
      </c>
      <c r="V1900" s="4"/>
      <c r="W1900" s="1">
        <v>2015</v>
      </c>
      <c r="X1900" s="66">
        <v>11</v>
      </c>
    </row>
    <row r="1901" spans="1:24" s="133" customFormat="1" ht="76.5" customHeight="1" outlineLevel="1" x14ac:dyDescent="0.2">
      <c r="A1901" s="1" t="s">
        <v>8346</v>
      </c>
      <c r="B1901" s="16" t="s">
        <v>5277</v>
      </c>
      <c r="C1901" s="4" t="s">
        <v>1866</v>
      </c>
      <c r="D1901" s="4" t="s">
        <v>1867</v>
      </c>
      <c r="E1901" s="4" t="s">
        <v>6135</v>
      </c>
      <c r="F1901" s="4" t="s">
        <v>1101</v>
      </c>
      <c r="G1901" s="4" t="s">
        <v>1888</v>
      </c>
      <c r="H1901" s="22">
        <v>0</v>
      </c>
      <c r="I1901" s="4">
        <v>710000000</v>
      </c>
      <c r="J1901" s="4" t="s">
        <v>1931</v>
      </c>
      <c r="K1901" s="4" t="s">
        <v>756</v>
      </c>
      <c r="L1901" s="4" t="s">
        <v>1027</v>
      </c>
      <c r="M1901" s="8" t="s">
        <v>3195</v>
      </c>
      <c r="N1901" s="4" t="s">
        <v>1890</v>
      </c>
      <c r="O1901" s="8" t="s">
        <v>1935</v>
      </c>
      <c r="P1901" s="8">
        <v>796</v>
      </c>
      <c r="Q1901" s="8" t="s">
        <v>3196</v>
      </c>
      <c r="R1901" s="10">
        <v>4</v>
      </c>
      <c r="S1901" s="10">
        <v>900</v>
      </c>
      <c r="T1901" s="10">
        <f t="shared" ref="T1901" si="995">S1901*R1901</f>
        <v>3600</v>
      </c>
      <c r="U1901" s="10">
        <f t="shared" ref="U1901" si="996">T1901*1.12</f>
        <v>4032.0000000000005</v>
      </c>
      <c r="V1901" s="4"/>
      <c r="W1901" s="1">
        <v>2015</v>
      </c>
      <c r="X1901" s="68"/>
    </row>
    <row r="1902" spans="1:24" s="133" customFormat="1" ht="76.5" customHeight="1" outlineLevel="1" x14ac:dyDescent="0.2">
      <c r="A1902" s="1" t="s">
        <v>2668</v>
      </c>
      <c r="B1902" s="24" t="s">
        <v>5277</v>
      </c>
      <c r="C1902" s="4" t="s">
        <v>3245</v>
      </c>
      <c r="D1902" s="4" t="s">
        <v>6121</v>
      </c>
      <c r="E1902" s="4" t="s">
        <v>7607</v>
      </c>
      <c r="F1902" s="4"/>
      <c r="G1902" s="4" t="s">
        <v>1888</v>
      </c>
      <c r="H1902" s="22">
        <v>0</v>
      </c>
      <c r="I1902" s="4">
        <v>710000000</v>
      </c>
      <c r="J1902" s="4" t="s">
        <v>1931</v>
      </c>
      <c r="K1902" s="4" t="s">
        <v>5297</v>
      </c>
      <c r="L1902" s="4" t="s">
        <v>1889</v>
      </c>
      <c r="M1902" s="8" t="s">
        <v>3195</v>
      </c>
      <c r="N1902" s="4" t="s">
        <v>1890</v>
      </c>
      <c r="O1902" s="8" t="s">
        <v>1935</v>
      </c>
      <c r="P1902" s="8">
        <v>796</v>
      </c>
      <c r="Q1902" s="8" t="s">
        <v>3196</v>
      </c>
      <c r="R1902" s="10">
        <v>2028</v>
      </c>
      <c r="S1902" s="10">
        <v>79.58</v>
      </c>
      <c r="T1902" s="10">
        <f t="shared" si="956"/>
        <v>161388.24</v>
      </c>
      <c r="U1902" s="10">
        <f t="shared" si="905"/>
        <v>180754.82880000002</v>
      </c>
      <c r="V1902" s="1"/>
      <c r="W1902" s="1">
        <v>2015</v>
      </c>
      <c r="X1902" s="67"/>
    </row>
    <row r="1903" spans="1:24" s="133" customFormat="1" ht="76.5" customHeight="1" outlineLevel="1" x14ac:dyDescent="0.2">
      <c r="A1903" s="1" t="s">
        <v>2669</v>
      </c>
      <c r="B1903" s="24" t="s">
        <v>5277</v>
      </c>
      <c r="C1903" s="4" t="s">
        <v>1870</v>
      </c>
      <c r="D1903" s="4" t="s">
        <v>830</v>
      </c>
      <c r="E1903" s="4" t="s">
        <v>6138</v>
      </c>
      <c r="F1903" s="4"/>
      <c r="G1903" s="4" t="s">
        <v>1888</v>
      </c>
      <c r="H1903" s="22">
        <v>0</v>
      </c>
      <c r="I1903" s="4">
        <v>710000000</v>
      </c>
      <c r="J1903" s="4" t="s">
        <v>1931</v>
      </c>
      <c r="K1903" s="4" t="s">
        <v>5297</v>
      </c>
      <c r="L1903" s="4" t="s">
        <v>1889</v>
      </c>
      <c r="M1903" s="8" t="s">
        <v>3195</v>
      </c>
      <c r="N1903" s="4" t="s">
        <v>1890</v>
      </c>
      <c r="O1903" s="8" t="s">
        <v>1935</v>
      </c>
      <c r="P1903" s="8">
        <v>796</v>
      </c>
      <c r="Q1903" s="8" t="s">
        <v>3196</v>
      </c>
      <c r="R1903" s="10">
        <v>366</v>
      </c>
      <c r="S1903" s="10">
        <v>58.11</v>
      </c>
      <c r="T1903" s="10">
        <f t="shared" si="956"/>
        <v>21268.26</v>
      </c>
      <c r="U1903" s="10">
        <f t="shared" si="905"/>
        <v>23820.4512</v>
      </c>
      <c r="V1903" s="1"/>
      <c r="W1903" s="1">
        <v>2015</v>
      </c>
      <c r="X1903" s="67"/>
    </row>
    <row r="1904" spans="1:24" s="133" customFormat="1" ht="76.5" customHeight="1" outlineLevel="1" x14ac:dyDescent="0.2">
      <c r="A1904" s="1" t="s">
        <v>2670</v>
      </c>
      <c r="B1904" s="24" t="s">
        <v>5277</v>
      </c>
      <c r="C1904" s="4" t="s">
        <v>1871</v>
      </c>
      <c r="D1904" s="4" t="s">
        <v>830</v>
      </c>
      <c r="E1904" s="4" t="s">
        <v>6139</v>
      </c>
      <c r="F1904" s="4"/>
      <c r="G1904" s="4" t="s">
        <v>1888</v>
      </c>
      <c r="H1904" s="22">
        <v>0</v>
      </c>
      <c r="I1904" s="4">
        <v>710000000</v>
      </c>
      <c r="J1904" s="4" t="s">
        <v>1931</v>
      </c>
      <c r="K1904" s="4" t="s">
        <v>5297</v>
      </c>
      <c r="L1904" s="4" t="s">
        <v>1889</v>
      </c>
      <c r="M1904" s="8" t="s">
        <v>3195</v>
      </c>
      <c r="N1904" s="4" t="s">
        <v>1890</v>
      </c>
      <c r="O1904" s="8" t="s">
        <v>1935</v>
      </c>
      <c r="P1904" s="8">
        <v>796</v>
      </c>
      <c r="Q1904" s="8" t="s">
        <v>3196</v>
      </c>
      <c r="R1904" s="10">
        <v>70</v>
      </c>
      <c r="S1904" s="10">
        <v>55</v>
      </c>
      <c r="T1904" s="10">
        <f t="shared" si="956"/>
        <v>3850</v>
      </c>
      <c r="U1904" s="10">
        <f t="shared" si="905"/>
        <v>4312</v>
      </c>
      <c r="V1904" s="1"/>
      <c r="W1904" s="1">
        <v>2015</v>
      </c>
      <c r="X1904" s="67"/>
    </row>
    <row r="1905" spans="1:24" s="133" customFormat="1" ht="76.5" customHeight="1" outlineLevel="1" x14ac:dyDescent="0.2">
      <c r="A1905" s="1" t="s">
        <v>2671</v>
      </c>
      <c r="B1905" s="24" t="s">
        <v>5277</v>
      </c>
      <c r="C1905" s="4" t="s">
        <v>3725</v>
      </c>
      <c r="D1905" s="4" t="s">
        <v>830</v>
      </c>
      <c r="E1905" s="4" t="s">
        <v>6159</v>
      </c>
      <c r="F1905" s="4"/>
      <c r="G1905" s="4" t="s">
        <v>1888</v>
      </c>
      <c r="H1905" s="22">
        <v>0</v>
      </c>
      <c r="I1905" s="4">
        <v>710000000</v>
      </c>
      <c r="J1905" s="4" t="s">
        <v>1931</v>
      </c>
      <c r="K1905" s="4" t="s">
        <v>5297</v>
      </c>
      <c r="L1905" s="4" t="s">
        <v>1889</v>
      </c>
      <c r="M1905" s="8" t="s">
        <v>3195</v>
      </c>
      <c r="N1905" s="4" t="s">
        <v>1890</v>
      </c>
      <c r="O1905" s="8" t="s">
        <v>1935</v>
      </c>
      <c r="P1905" s="8">
        <v>796</v>
      </c>
      <c r="Q1905" s="8" t="s">
        <v>3196</v>
      </c>
      <c r="R1905" s="10">
        <v>70</v>
      </c>
      <c r="S1905" s="10">
        <v>55</v>
      </c>
      <c r="T1905" s="10">
        <f t="shared" si="956"/>
        <v>3850</v>
      </c>
      <c r="U1905" s="10">
        <f t="shared" si="905"/>
        <v>4312</v>
      </c>
      <c r="V1905" s="1"/>
      <c r="W1905" s="1">
        <v>2015</v>
      </c>
      <c r="X1905" s="67"/>
    </row>
    <row r="1906" spans="1:24" s="133" customFormat="1" ht="76.5" customHeight="1" outlineLevel="1" x14ac:dyDescent="0.2">
      <c r="A1906" s="1" t="s">
        <v>2672</v>
      </c>
      <c r="B1906" s="24" t="s">
        <v>5277</v>
      </c>
      <c r="C1906" s="4" t="s">
        <v>943</v>
      </c>
      <c r="D1906" s="4" t="s">
        <v>837</v>
      </c>
      <c r="E1906" s="4" t="s">
        <v>944</v>
      </c>
      <c r="F1906" s="4"/>
      <c r="G1906" s="4" t="s">
        <v>1888</v>
      </c>
      <c r="H1906" s="22">
        <v>0</v>
      </c>
      <c r="I1906" s="4">
        <v>710000000</v>
      </c>
      <c r="J1906" s="4" t="s">
        <v>1931</v>
      </c>
      <c r="K1906" s="4" t="s">
        <v>5297</v>
      </c>
      <c r="L1906" s="4" t="s">
        <v>1889</v>
      </c>
      <c r="M1906" s="8" t="s">
        <v>3195</v>
      </c>
      <c r="N1906" s="4" t="s">
        <v>1890</v>
      </c>
      <c r="O1906" s="8" t="s">
        <v>1935</v>
      </c>
      <c r="P1906" s="8">
        <v>796</v>
      </c>
      <c r="Q1906" s="8" t="s">
        <v>3196</v>
      </c>
      <c r="R1906" s="10">
        <v>92</v>
      </c>
      <c r="S1906" s="10">
        <v>1676.73</v>
      </c>
      <c r="T1906" s="10">
        <f t="shared" si="956"/>
        <v>154259.16</v>
      </c>
      <c r="U1906" s="10">
        <f t="shared" si="905"/>
        <v>172770.25920000003</v>
      </c>
      <c r="V1906" s="1"/>
      <c r="W1906" s="1">
        <v>2015</v>
      </c>
      <c r="X1906" s="67"/>
    </row>
    <row r="1907" spans="1:24" s="133" customFormat="1" ht="76.5" customHeight="1" outlineLevel="1" x14ac:dyDescent="0.2">
      <c r="A1907" s="1" t="s">
        <v>2673</v>
      </c>
      <c r="B1907" s="24" t="s">
        <v>5277</v>
      </c>
      <c r="C1907" s="4" t="s">
        <v>1102</v>
      </c>
      <c r="D1907" s="4" t="s">
        <v>831</v>
      </c>
      <c r="E1907" s="4" t="s">
        <v>1103</v>
      </c>
      <c r="F1907" s="4"/>
      <c r="G1907" s="4" t="s">
        <v>1888</v>
      </c>
      <c r="H1907" s="22">
        <v>0</v>
      </c>
      <c r="I1907" s="4">
        <v>710000000</v>
      </c>
      <c r="J1907" s="4" t="s">
        <v>1931</v>
      </c>
      <c r="K1907" s="4" t="s">
        <v>5297</v>
      </c>
      <c r="L1907" s="4" t="s">
        <v>1889</v>
      </c>
      <c r="M1907" s="8" t="s">
        <v>3195</v>
      </c>
      <c r="N1907" s="4" t="s">
        <v>1890</v>
      </c>
      <c r="O1907" s="8" t="s">
        <v>1935</v>
      </c>
      <c r="P1907" s="8">
        <v>796</v>
      </c>
      <c r="Q1907" s="8" t="s">
        <v>3196</v>
      </c>
      <c r="R1907" s="10">
        <v>297</v>
      </c>
      <c r="S1907" s="10">
        <v>177.62</v>
      </c>
      <c r="T1907" s="10">
        <f t="shared" si="956"/>
        <v>52753.14</v>
      </c>
      <c r="U1907" s="10">
        <f t="shared" si="905"/>
        <v>59083.516800000005</v>
      </c>
      <c r="V1907" s="1"/>
      <c r="W1907" s="1">
        <v>2015</v>
      </c>
      <c r="X1907" s="67"/>
    </row>
    <row r="1908" spans="1:24" s="133" customFormat="1" ht="76.5" customHeight="1" outlineLevel="1" x14ac:dyDescent="0.2">
      <c r="A1908" s="1" t="s">
        <v>2674</v>
      </c>
      <c r="B1908" s="24" t="s">
        <v>5277</v>
      </c>
      <c r="C1908" s="4" t="s">
        <v>1104</v>
      </c>
      <c r="D1908" s="4" t="s">
        <v>6121</v>
      </c>
      <c r="E1908" s="4" t="s">
        <v>7608</v>
      </c>
      <c r="F1908" s="4"/>
      <c r="G1908" s="4" t="s">
        <v>1888</v>
      </c>
      <c r="H1908" s="22">
        <v>0</v>
      </c>
      <c r="I1908" s="4">
        <v>710000000</v>
      </c>
      <c r="J1908" s="4" t="s">
        <v>1931</v>
      </c>
      <c r="K1908" s="4" t="s">
        <v>5297</v>
      </c>
      <c r="L1908" s="4" t="s">
        <v>1889</v>
      </c>
      <c r="M1908" s="8" t="s">
        <v>3195</v>
      </c>
      <c r="N1908" s="4" t="s">
        <v>1890</v>
      </c>
      <c r="O1908" s="8" t="s">
        <v>1935</v>
      </c>
      <c r="P1908" s="8">
        <v>796</v>
      </c>
      <c r="Q1908" s="8" t="s">
        <v>3196</v>
      </c>
      <c r="R1908" s="10">
        <v>94</v>
      </c>
      <c r="S1908" s="10">
        <v>206.09</v>
      </c>
      <c r="T1908" s="10">
        <f t="shared" si="956"/>
        <v>19372.46</v>
      </c>
      <c r="U1908" s="10">
        <f t="shared" si="905"/>
        <v>21697.155200000001</v>
      </c>
      <c r="V1908" s="1"/>
      <c r="W1908" s="1">
        <v>2015</v>
      </c>
      <c r="X1908" s="67"/>
    </row>
    <row r="1909" spans="1:24" s="133" customFormat="1" ht="76.5" customHeight="1" outlineLevel="1" x14ac:dyDescent="0.2">
      <c r="A1909" s="1" t="s">
        <v>2675</v>
      </c>
      <c r="B1909" s="24" t="s">
        <v>5277</v>
      </c>
      <c r="C1909" s="4" t="s">
        <v>1851</v>
      </c>
      <c r="D1909" s="4" t="s">
        <v>831</v>
      </c>
      <c r="E1909" s="4" t="s">
        <v>6124</v>
      </c>
      <c r="F1909" s="4"/>
      <c r="G1909" s="4" t="s">
        <v>1888</v>
      </c>
      <c r="H1909" s="22">
        <v>0</v>
      </c>
      <c r="I1909" s="4">
        <v>710000000</v>
      </c>
      <c r="J1909" s="4" t="s">
        <v>1931</v>
      </c>
      <c r="K1909" s="4" t="s">
        <v>5297</v>
      </c>
      <c r="L1909" s="4" t="s">
        <v>1889</v>
      </c>
      <c r="M1909" s="8" t="s">
        <v>3195</v>
      </c>
      <c r="N1909" s="4" t="s">
        <v>1890</v>
      </c>
      <c r="O1909" s="8" t="s">
        <v>1935</v>
      </c>
      <c r="P1909" s="8">
        <v>796</v>
      </c>
      <c r="Q1909" s="8" t="s">
        <v>3196</v>
      </c>
      <c r="R1909" s="10">
        <v>2</v>
      </c>
      <c r="S1909" s="10">
        <v>143.5</v>
      </c>
      <c r="T1909" s="10">
        <f t="shared" si="956"/>
        <v>287</v>
      </c>
      <c r="U1909" s="10">
        <f t="shared" si="905"/>
        <v>321.44000000000005</v>
      </c>
      <c r="V1909" s="1"/>
      <c r="W1909" s="1">
        <v>2015</v>
      </c>
      <c r="X1909" s="67"/>
    </row>
    <row r="1910" spans="1:24" s="133" customFormat="1" ht="76.5" customHeight="1" outlineLevel="1" x14ac:dyDescent="0.2">
      <c r="A1910" s="1" t="s">
        <v>2676</v>
      </c>
      <c r="B1910" s="24" t="s">
        <v>5277</v>
      </c>
      <c r="C1910" s="4" t="s">
        <v>1105</v>
      </c>
      <c r="D1910" s="4" t="s">
        <v>830</v>
      </c>
      <c r="E1910" s="4" t="s">
        <v>1106</v>
      </c>
      <c r="F1910" s="4"/>
      <c r="G1910" s="4" t="s">
        <v>1888</v>
      </c>
      <c r="H1910" s="22">
        <v>0</v>
      </c>
      <c r="I1910" s="4">
        <v>710000000</v>
      </c>
      <c r="J1910" s="4" t="s">
        <v>1931</v>
      </c>
      <c r="K1910" s="4" t="s">
        <v>5297</v>
      </c>
      <c r="L1910" s="4" t="s">
        <v>1889</v>
      </c>
      <c r="M1910" s="8" t="s">
        <v>3195</v>
      </c>
      <c r="N1910" s="4" t="s">
        <v>1890</v>
      </c>
      <c r="O1910" s="8" t="s">
        <v>1935</v>
      </c>
      <c r="P1910" s="8">
        <v>796</v>
      </c>
      <c r="Q1910" s="8" t="s">
        <v>3196</v>
      </c>
      <c r="R1910" s="10">
        <v>79</v>
      </c>
      <c r="S1910" s="10">
        <v>138</v>
      </c>
      <c r="T1910" s="10">
        <f t="shared" si="956"/>
        <v>10902</v>
      </c>
      <c r="U1910" s="10">
        <f t="shared" si="905"/>
        <v>12210.240000000002</v>
      </c>
      <c r="V1910" s="1"/>
      <c r="W1910" s="1">
        <v>2015</v>
      </c>
      <c r="X1910" s="67"/>
    </row>
    <row r="1911" spans="1:24" s="133" customFormat="1" ht="76.5" customHeight="1" outlineLevel="1" x14ac:dyDescent="0.2">
      <c r="A1911" s="1" t="s">
        <v>2677</v>
      </c>
      <c r="B1911" s="24" t="s">
        <v>5277</v>
      </c>
      <c r="C1911" s="4" t="s">
        <v>1107</v>
      </c>
      <c r="D1911" s="4" t="s">
        <v>830</v>
      </c>
      <c r="E1911" s="4" t="s">
        <v>1108</v>
      </c>
      <c r="F1911" s="4"/>
      <c r="G1911" s="4" t="s">
        <v>1888</v>
      </c>
      <c r="H1911" s="22">
        <v>0</v>
      </c>
      <c r="I1911" s="4">
        <v>710000000</v>
      </c>
      <c r="J1911" s="4" t="s">
        <v>1931</v>
      </c>
      <c r="K1911" s="4" t="s">
        <v>5297</v>
      </c>
      <c r="L1911" s="4" t="s">
        <v>1889</v>
      </c>
      <c r="M1911" s="8" t="s">
        <v>3195</v>
      </c>
      <c r="N1911" s="4" t="s">
        <v>1890</v>
      </c>
      <c r="O1911" s="8" t="s">
        <v>1935</v>
      </c>
      <c r="P1911" s="8">
        <v>796</v>
      </c>
      <c r="Q1911" s="8" t="s">
        <v>3196</v>
      </c>
      <c r="R1911" s="10">
        <v>89</v>
      </c>
      <c r="S1911" s="10">
        <v>238.61</v>
      </c>
      <c r="T1911" s="10">
        <f t="shared" si="956"/>
        <v>21236.29</v>
      </c>
      <c r="U1911" s="10">
        <f t="shared" si="905"/>
        <v>23784.644800000002</v>
      </c>
      <c r="V1911" s="1"/>
      <c r="W1911" s="1">
        <v>2015</v>
      </c>
      <c r="X1911" s="67"/>
    </row>
    <row r="1912" spans="1:24" s="133" customFormat="1" ht="76.5" customHeight="1" outlineLevel="1" x14ac:dyDescent="0.2">
      <c r="A1912" s="1" t="s">
        <v>2678</v>
      </c>
      <c r="B1912" s="24" t="s">
        <v>5277</v>
      </c>
      <c r="C1912" s="4" t="s">
        <v>3726</v>
      </c>
      <c r="D1912" s="4" t="s">
        <v>830</v>
      </c>
      <c r="E1912" s="4" t="s">
        <v>6160</v>
      </c>
      <c r="F1912" s="4"/>
      <c r="G1912" s="4" t="s">
        <v>1888</v>
      </c>
      <c r="H1912" s="22">
        <v>0</v>
      </c>
      <c r="I1912" s="4">
        <v>710000000</v>
      </c>
      <c r="J1912" s="4" t="s">
        <v>1931</v>
      </c>
      <c r="K1912" s="4" t="s">
        <v>5297</v>
      </c>
      <c r="L1912" s="4" t="s">
        <v>1889</v>
      </c>
      <c r="M1912" s="8" t="s">
        <v>3195</v>
      </c>
      <c r="N1912" s="4" t="s">
        <v>1890</v>
      </c>
      <c r="O1912" s="8" t="s">
        <v>1935</v>
      </c>
      <c r="P1912" s="8">
        <v>796</v>
      </c>
      <c r="Q1912" s="8" t="s">
        <v>3196</v>
      </c>
      <c r="R1912" s="10">
        <v>280</v>
      </c>
      <c r="S1912" s="10">
        <v>57.89</v>
      </c>
      <c r="T1912" s="10">
        <f t="shared" si="956"/>
        <v>16209.2</v>
      </c>
      <c r="U1912" s="10">
        <f t="shared" si="905"/>
        <v>18154.304000000004</v>
      </c>
      <c r="V1912" s="1"/>
      <c r="W1912" s="1">
        <v>2015</v>
      </c>
      <c r="X1912" s="67"/>
    </row>
    <row r="1913" spans="1:24" s="133" customFormat="1" ht="76.5" customHeight="1" outlineLevel="1" x14ac:dyDescent="0.2">
      <c r="A1913" s="1" t="s">
        <v>2679</v>
      </c>
      <c r="B1913" s="24" t="s">
        <v>5277</v>
      </c>
      <c r="C1913" s="4" t="s">
        <v>1844</v>
      </c>
      <c r="D1913" s="4" t="s">
        <v>830</v>
      </c>
      <c r="E1913" s="4" t="s">
        <v>6161</v>
      </c>
      <c r="F1913" s="4"/>
      <c r="G1913" s="4" t="s">
        <v>1888</v>
      </c>
      <c r="H1913" s="22">
        <v>0</v>
      </c>
      <c r="I1913" s="4">
        <v>710000000</v>
      </c>
      <c r="J1913" s="4" t="s">
        <v>1931</v>
      </c>
      <c r="K1913" s="4" t="s">
        <v>5297</v>
      </c>
      <c r="L1913" s="4" t="s">
        <v>1889</v>
      </c>
      <c r="M1913" s="8" t="s">
        <v>3195</v>
      </c>
      <c r="N1913" s="4" t="s">
        <v>1890</v>
      </c>
      <c r="O1913" s="8" t="s">
        <v>1935</v>
      </c>
      <c r="P1913" s="8">
        <v>796</v>
      </c>
      <c r="Q1913" s="8" t="s">
        <v>3196</v>
      </c>
      <c r="R1913" s="10">
        <v>120</v>
      </c>
      <c r="S1913" s="10">
        <v>58.25</v>
      </c>
      <c r="T1913" s="10">
        <f t="shared" si="956"/>
        <v>6990</v>
      </c>
      <c r="U1913" s="10">
        <f t="shared" si="905"/>
        <v>7828.8000000000011</v>
      </c>
      <c r="V1913" s="1"/>
      <c r="W1913" s="1">
        <v>2015</v>
      </c>
      <c r="X1913" s="67"/>
    </row>
    <row r="1914" spans="1:24" s="133" customFormat="1" ht="76.5" customHeight="1" outlineLevel="1" x14ac:dyDescent="0.2">
      <c r="A1914" s="1" t="s">
        <v>2680</v>
      </c>
      <c r="B1914" s="24" t="s">
        <v>5277</v>
      </c>
      <c r="C1914" s="4" t="s">
        <v>1871</v>
      </c>
      <c r="D1914" s="4" t="s">
        <v>830</v>
      </c>
      <c r="E1914" s="4" t="s">
        <v>6139</v>
      </c>
      <c r="F1914" s="4" t="s">
        <v>1109</v>
      </c>
      <c r="G1914" s="4" t="s">
        <v>1888</v>
      </c>
      <c r="H1914" s="22">
        <v>0</v>
      </c>
      <c r="I1914" s="4">
        <v>710000000</v>
      </c>
      <c r="J1914" s="4" t="s">
        <v>1931</v>
      </c>
      <c r="K1914" s="4" t="s">
        <v>5297</v>
      </c>
      <c r="L1914" s="4" t="s">
        <v>1889</v>
      </c>
      <c r="M1914" s="8" t="s">
        <v>3195</v>
      </c>
      <c r="N1914" s="4" t="s">
        <v>1890</v>
      </c>
      <c r="O1914" s="8" t="s">
        <v>1935</v>
      </c>
      <c r="P1914" s="8">
        <v>796</v>
      </c>
      <c r="Q1914" s="8" t="s">
        <v>3196</v>
      </c>
      <c r="R1914" s="10">
        <v>110</v>
      </c>
      <c r="S1914" s="10">
        <v>776.85</v>
      </c>
      <c r="T1914" s="10">
        <f t="shared" si="956"/>
        <v>85453.5</v>
      </c>
      <c r="U1914" s="10">
        <f t="shared" si="905"/>
        <v>95707.920000000013</v>
      </c>
      <c r="V1914" s="1"/>
      <c r="W1914" s="1">
        <v>2015</v>
      </c>
      <c r="X1914" s="67"/>
    </row>
    <row r="1915" spans="1:24" s="133" customFormat="1" ht="76.5" customHeight="1" outlineLevel="1" x14ac:dyDescent="0.2">
      <c r="A1915" s="1" t="s">
        <v>2681</v>
      </c>
      <c r="B1915" s="24" t="s">
        <v>5277</v>
      </c>
      <c r="C1915" s="4" t="s">
        <v>1102</v>
      </c>
      <c r="D1915" s="4" t="s">
        <v>831</v>
      </c>
      <c r="E1915" s="4" t="s">
        <v>1103</v>
      </c>
      <c r="F1915" s="4"/>
      <c r="G1915" s="4" t="s">
        <v>1888</v>
      </c>
      <c r="H1915" s="22">
        <v>0</v>
      </c>
      <c r="I1915" s="4">
        <v>710000000</v>
      </c>
      <c r="J1915" s="4" t="s">
        <v>1931</v>
      </c>
      <c r="K1915" s="4" t="s">
        <v>5297</v>
      </c>
      <c r="L1915" s="4" t="s">
        <v>1889</v>
      </c>
      <c r="M1915" s="8" t="s">
        <v>3195</v>
      </c>
      <c r="N1915" s="4" t="s">
        <v>1890</v>
      </c>
      <c r="O1915" s="8" t="s">
        <v>1935</v>
      </c>
      <c r="P1915" s="8">
        <v>796</v>
      </c>
      <c r="Q1915" s="8" t="s">
        <v>3196</v>
      </c>
      <c r="R1915" s="10">
        <v>40</v>
      </c>
      <c r="S1915" s="10">
        <v>82.4</v>
      </c>
      <c r="T1915" s="10">
        <f t="shared" si="956"/>
        <v>3296</v>
      </c>
      <c r="U1915" s="10">
        <f t="shared" si="905"/>
        <v>3691.5200000000004</v>
      </c>
      <c r="V1915" s="1"/>
      <c r="W1915" s="1">
        <v>2015</v>
      </c>
      <c r="X1915" s="67"/>
    </row>
    <row r="1916" spans="1:24" s="133" customFormat="1" ht="76.5" customHeight="1" outlineLevel="1" x14ac:dyDescent="0.2">
      <c r="A1916" s="1" t="s">
        <v>2682</v>
      </c>
      <c r="B1916" s="24" t="s">
        <v>5277</v>
      </c>
      <c r="C1916" s="4" t="s">
        <v>1870</v>
      </c>
      <c r="D1916" s="4" t="s">
        <v>830</v>
      </c>
      <c r="E1916" s="4" t="s">
        <v>6138</v>
      </c>
      <c r="F1916" s="4" t="s">
        <v>1109</v>
      </c>
      <c r="G1916" s="4" t="s">
        <v>1888</v>
      </c>
      <c r="H1916" s="22">
        <v>0</v>
      </c>
      <c r="I1916" s="4">
        <v>710000000</v>
      </c>
      <c r="J1916" s="4" t="s">
        <v>1931</v>
      </c>
      <c r="K1916" s="4" t="s">
        <v>5297</v>
      </c>
      <c r="L1916" s="4" t="s">
        <v>1889</v>
      </c>
      <c r="M1916" s="8" t="s">
        <v>3195</v>
      </c>
      <c r="N1916" s="4" t="s">
        <v>1890</v>
      </c>
      <c r="O1916" s="8" t="s">
        <v>1935</v>
      </c>
      <c r="P1916" s="8">
        <v>796</v>
      </c>
      <c r="Q1916" s="8" t="s">
        <v>3196</v>
      </c>
      <c r="R1916" s="10">
        <v>70</v>
      </c>
      <c r="S1916" s="10">
        <v>395.51</v>
      </c>
      <c r="T1916" s="10">
        <f t="shared" ref="T1916:T1980" si="997">S1916*R1916</f>
        <v>27685.7</v>
      </c>
      <c r="U1916" s="10">
        <f t="shared" si="905"/>
        <v>31007.984000000004</v>
      </c>
      <c r="V1916" s="1"/>
      <c r="W1916" s="1">
        <v>2015</v>
      </c>
      <c r="X1916" s="67"/>
    </row>
    <row r="1917" spans="1:24" s="133" customFormat="1" ht="76.5" customHeight="1" outlineLevel="1" x14ac:dyDescent="0.2">
      <c r="A1917" s="1" t="s">
        <v>2683</v>
      </c>
      <c r="B1917" s="24" t="s">
        <v>5277</v>
      </c>
      <c r="C1917" s="4" t="s">
        <v>1868</v>
      </c>
      <c r="D1917" s="4" t="s">
        <v>6136</v>
      </c>
      <c r="E1917" s="4" t="s">
        <v>6137</v>
      </c>
      <c r="F1917" s="4" t="s">
        <v>829</v>
      </c>
      <c r="G1917" s="4" t="s">
        <v>1888</v>
      </c>
      <c r="H1917" s="22">
        <v>0</v>
      </c>
      <c r="I1917" s="4">
        <v>710000000</v>
      </c>
      <c r="J1917" s="4" t="s">
        <v>1931</v>
      </c>
      <c r="K1917" s="4" t="s">
        <v>5297</v>
      </c>
      <c r="L1917" s="4" t="s">
        <v>1889</v>
      </c>
      <c r="M1917" s="8" t="s">
        <v>3195</v>
      </c>
      <c r="N1917" s="4" t="s">
        <v>1890</v>
      </c>
      <c r="O1917" s="8" t="s">
        <v>1935</v>
      </c>
      <c r="P1917" s="8">
        <v>796</v>
      </c>
      <c r="Q1917" s="8" t="s">
        <v>3196</v>
      </c>
      <c r="R1917" s="10">
        <v>45</v>
      </c>
      <c r="S1917" s="10">
        <v>1416.18</v>
      </c>
      <c r="T1917" s="10">
        <f t="shared" si="997"/>
        <v>63728.100000000006</v>
      </c>
      <c r="U1917" s="10">
        <f t="shared" si="905"/>
        <v>71375.472000000009</v>
      </c>
      <c r="V1917" s="1"/>
      <c r="W1917" s="1">
        <v>2015</v>
      </c>
      <c r="X1917" s="67"/>
    </row>
    <row r="1918" spans="1:24" s="133" customFormat="1" ht="76.5" customHeight="1" outlineLevel="1" x14ac:dyDescent="0.2">
      <c r="A1918" s="1" t="s">
        <v>2684</v>
      </c>
      <c r="B1918" s="24" t="s">
        <v>5277</v>
      </c>
      <c r="C1918" s="4" t="s">
        <v>3727</v>
      </c>
      <c r="D1918" s="4" t="s">
        <v>830</v>
      </c>
      <c r="E1918" s="4" t="s">
        <v>6162</v>
      </c>
      <c r="F1918" s="4"/>
      <c r="G1918" s="4" t="s">
        <v>1888</v>
      </c>
      <c r="H1918" s="22">
        <v>0</v>
      </c>
      <c r="I1918" s="4">
        <v>710000000</v>
      </c>
      <c r="J1918" s="4" t="s">
        <v>1931</v>
      </c>
      <c r="K1918" s="4" t="s">
        <v>5297</v>
      </c>
      <c r="L1918" s="4" t="s">
        <v>1889</v>
      </c>
      <c r="M1918" s="8" t="s">
        <v>3195</v>
      </c>
      <c r="N1918" s="4" t="s">
        <v>1890</v>
      </c>
      <c r="O1918" s="8" t="s">
        <v>1935</v>
      </c>
      <c r="P1918" s="8">
        <v>796</v>
      </c>
      <c r="Q1918" s="8" t="s">
        <v>3196</v>
      </c>
      <c r="R1918" s="10">
        <v>40</v>
      </c>
      <c r="S1918" s="10">
        <v>182.15</v>
      </c>
      <c r="T1918" s="10">
        <f t="shared" si="997"/>
        <v>7286</v>
      </c>
      <c r="U1918" s="10">
        <f t="shared" si="905"/>
        <v>8160.3200000000006</v>
      </c>
      <c r="V1918" s="1"/>
      <c r="W1918" s="1">
        <v>2015</v>
      </c>
      <c r="X1918" s="67"/>
    </row>
    <row r="1919" spans="1:24" s="133" customFormat="1" ht="76.5" customHeight="1" outlineLevel="1" x14ac:dyDescent="0.2">
      <c r="A1919" s="1" t="s">
        <v>2685</v>
      </c>
      <c r="B1919" s="24" t="s">
        <v>5277</v>
      </c>
      <c r="C1919" s="4" t="s">
        <v>1078</v>
      </c>
      <c r="D1919" s="4" t="s">
        <v>830</v>
      </c>
      <c r="E1919" s="4" t="s">
        <v>1079</v>
      </c>
      <c r="F1919" s="4" t="s">
        <v>1110</v>
      </c>
      <c r="G1919" s="4" t="s">
        <v>1888</v>
      </c>
      <c r="H1919" s="22">
        <v>0</v>
      </c>
      <c r="I1919" s="4">
        <v>710000000</v>
      </c>
      <c r="J1919" s="4" t="s">
        <v>1931</v>
      </c>
      <c r="K1919" s="4" t="s">
        <v>5297</v>
      </c>
      <c r="L1919" s="4" t="s">
        <v>1889</v>
      </c>
      <c r="M1919" s="8" t="s">
        <v>3195</v>
      </c>
      <c r="N1919" s="4" t="s">
        <v>1890</v>
      </c>
      <c r="O1919" s="8" t="s">
        <v>1935</v>
      </c>
      <c r="P1919" s="8">
        <v>796</v>
      </c>
      <c r="Q1919" s="8" t="s">
        <v>3196</v>
      </c>
      <c r="R1919" s="10">
        <v>42</v>
      </c>
      <c r="S1919" s="10">
        <v>139.52380952380952</v>
      </c>
      <c r="T1919" s="10">
        <f t="shared" si="997"/>
        <v>5860</v>
      </c>
      <c r="U1919" s="10">
        <f t="shared" si="905"/>
        <v>6563.2000000000007</v>
      </c>
      <c r="V1919" s="1"/>
      <c r="W1919" s="1">
        <v>2015</v>
      </c>
      <c r="X1919" s="67"/>
    </row>
    <row r="1920" spans="1:24" s="133" customFormat="1" ht="76.5" customHeight="1" outlineLevel="1" x14ac:dyDescent="0.2">
      <c r="A1920" s="1" t="s">
        <v>2686</v>
      </c>
      <c r="B1920" s="24" t="s">
        <v>5277</v>
      </c>
      <c r="C1920" s="4" t="s">
        <v>1078</v>
      </c>
      <c r="D1920" s="4" t="s">
        <v>830</v>
      </c>
      <c r="E1920" s="4" t="s">
        <v>1079</v>
      </c>
      <c r="F1920" s="4" t="s">
        <v>1111</v>
      </c>
      <c r="G1920" s="4" t="s">
        <v>1888</v>
      </c>
      <c r="H1920" s="22">
        <v>0</v>
      </c>
      <c r="I1920" s="4">
        <v>710000000</v>
      </c>
      <c r="J1920" s="4" t="s">
        <v>1931</v>
      </c>
      <c r="K1920" s="4" t="s">
        <v>5297</v>
      </c>
      <c r="L1920" s="4" t="s">
        <v>1889</v>
      </c>
      <c r="M1920" s="8" t="s">
        <v>3195</v>
      </c>
      <c r="N1920" s="4" t="s">
        <v>1890</v>
      </c>
      <c r="O1920" s="8" t="s">
        <v>1935</v>
      </c>
      <c r="P1920" s="8">
        <v>796</v>
      </c>
      <c r="Q1920" s="8" t="s">
        <v>3196</v>
      </c>
      <c r="R1920" s="10">
        <v>40</v>
      </c>
      <c r="S1920" s="10">
        <v>1100.575</v>
      </c>
      <c r="T1920" s="10">
        <f t="shared" si="997"/>
        <v>44023</v>
      </c>
      <c r="U1920" s="10">
        <f t="shared" si="905"/>
        <v>49305.760000000002</v>
      </c>
      <c r="V1920" s="1"/>
      <c r="W1920" s="1">
        <v>2015</v>
      </c>
      <c r="X1920" s="67"/>
    </row>
    <row r="1921" spans="1:24" s="133" customFormat="1" ht="76.5" customHeight="1" outlineLevel="1" x14ac:dyDescent="0.2">
      <c r="A1921" s="1" t="s">
        <v>2687</v>
      </c>
      <c r="B1921" s="24" t="s">
        <v>5277</v>
      </c>
      <c r="C1921" s="4" t="s">
        <v>1078</v>
      </c>
      <c r="D1921" s="4" t="s">
        <v>830</v>
      </c>
      <c r="E1921" s="4" t="s">
        <v>1079</v>
      </c>
      <c r="F1921" s="4" t="s">
        <v>1112</v>
      </c>
      <c r="G1921" s="4" t="s">
        <v>1888</v>
      </c>
      <c r="H1921" s="22">
        <v>0</v>
      </c>
      <c r="I1921" s="4">
        <v>710000000</v>
      </c>
      <c r="J1921" s="4" t="s">
        <v>1931</v>
      </c>
      <c r="K1921" s="4" t="s">
        <v>5297</v>
      </c>
      <c r="L1921" s="4" t="s">
        <v>1889</v>
      </c>
      <c r="M1921" s="8" t="s">
        <v>3195</v>
      </c>
      <c r="N1921" s="4" t="s">
        <v>1890</v>
      </c>
      <c r="O1921" s="8" t="s">
        <v>1935</v>
      </c>
      <c r="P1921" s="8">
        <v>796</v>
      </c>
      <c r="Q1921" s="8" t="s">
        <v>3196</v>
      </c>
      <c r="R1921" s="10">
        <v>30</v>
      </c>
      <c r="S1921" s="10">
        <v>186.3</v>
      </c>
      <c r="T1921" s="10">
        <f t="shared" si="997"/>
        <v>5589</v>
      </c>
      <c r="U1921" s="10">
        <f t="shared" ref="U1921:U1985" si="998">T1921*1.12</f>
        <v>6259.68</v>
      </c>
      <c r="V1921" s="1"/>
      <c r="W1921" s="1">
        <v>2015</v>
      </c>
      <c r="X1921" s="67"/>
    </row>
    <row r="1922" spans="1:24" s="133" customFormat="1" ht="76.5" customHeight="1" outlineLevel="1" x14ac:dyDescent="0.2">
      <c r="A1922" s="1" t="s">
        <v>2688</v>
      </c>
      <c r="B1922" s="24" t="s">
        <v>5277</v>
      </c>
      <c r="C1922" s="4" t="s">
        <v>1078</v>
      </c>
      <c r="D1922" s="4" t="s">
        <v>830</v>
      </c>
      <c r="E1922" s="4" t="s">
        <v>1079</v>
      </c>
      <c r="F1922" s="4" t="s">
        <v>1113</v>
      </c>
      <c r="G1922" s="4" t="s">
        <v>1888</v>
      </c>
      <c r="H1922" s="22">
        <v>0</v>
      </c>
      <c r="I1922" s="4">
        <v>710000000</v>
      </c>
      <c r="J1922" s="4" t="s">
        <v>1931</v>
      </c>
      <c r="K1922" s="4" t="s">
        <v>5297</v>
      </c>
      <c r="L1922" s="4" t="s">
        <v>1889</v>
      </c>
      <c r="M1922" s="8" t="s">
        <v>3195</v>
      </c>
      <c r="N1922" s="4" t="s">
        <v>1890</v>
      </c>
      <c r="O1922" s="8" t="s">
        <v>1935</v>
      </c>
      <c r="P1922" s="8">
        <v>796</v>
      </c>
      <c r="Q1922" s="8" t="s">
        <v>3196</v>
      </c>
      <c r="R1922" s="10">
        <v>40</v>
      </c>
      <c r="S1922" s="10">
        <v>217.82499999999999</v>
      </c>
      <c r="T1922" s="10">
        <f t="shared" si="997"/>
        <v>8713</v>
      </c>
      <c r="U1922" s="10">
        <f t="shared" si="998"/>
        <v>9758.5600000000013</v>
      </c>
      <c r="V1922" s="1"/>
      <c r="W1922" s="1">
        <v>2015</v>
      </c>
      <c r="X1922" s="67"/>
    </row>
    <row r="1923" spans="1:24" s="133" customFormat="1" ht="76.5" customHeight="1" outlineLevel="1" x14ac:dyDescent="0.2">
      <c r="A1923" s="1" t="s">
        <v>2689</v>
      </c>
      <c r="B1923" s="24" t="s">
        <v>5277</v>
      </c>
      <c r="C1923" s="4" t="s">
        <v>1114</v>
      </c>
      <c r="D1923" s="4" t="s">
        <v>830</v>
      </c>
      <c r="E1923" s="4" t="s">
        <v>6533</v>
      </c>
      <c r="F1923" s="4" t="s">
        <v>1115</v>
      </c>
      <c r="G1923" s="4" t="s">
        <v>1888</v>
      </c>
      <c r="H1923" s="22">
        <v>0</v>
      </c>
      <c r="I1923" s="4">
        <v>710000000</v>
      </c>
      <c r="J1923" s="4" t="s">
        <v>1931</v>
      </c>
      <c r="K1923" s="4" t="s">
        <v>5297</v>
      </c>
      <c r="L1923" s="4" t="s">
        <v>1889</v>
      </c>
      <c r="M1923" s="8" t="s">
        <v>3195</v>
      </c>
      <c r="N1923" s="4" t="s">
        <v>1890</v>
      </c>
      <c r="O1923" s="8" t="s">
        <v>1935</v>
      </c>
      <c r="P1923" s="8">
        <v>796</v>
      </c>
      <c r="Q1923" s="8" t="s">
        <v>3196</v>
      </c>
      <c r="R1923" s="10">
        <v>147</v>
      </c>
      <c r="S1923" s="10">
        <v>356.56462585034012</v>
      </c>
      <c r="T1923" s="10">
        <f t="shared" si="997"/>
        <v>52415</v>
      </c>
      <c r="U1923" s="10">
        <f t="shared" si="998"/>
        <v>58704.800000000003</v>
      </c>
      <c r="V1923" s="1"/>
      <c r="W1923" s="1">
        <v>2015</v>
      </c>
      <c r="X1923" s="67"/>
    </row>
    <row r="1924" spans="1:24" s="133" customFormat="1" ht="76.5" customHeight="1" outlineLevel="1" x14ac:dyDescent="0.2">
      <c r="A1924" s="1" t="s">
        <v>2690</v>
      </c>
      <c r="B1924" s="24" t="s">
        <v>5277</v>
      </c>
      <c r="C1924" s="4" t="s">
        <v>1114</v>
      </c>
      <c r="D1924" s="4" t="s">
        <v>830</v>
      </c>
      <c r="E1924" s="4" t="s">
        <v>6533</v>
      </c>
      <c r="F1924" s="4" t="s">
        <v>1116</v>
      </c>
      <c r="G1924" s="4" t="s">
        <v>1888</v>
      </c>
      <c r="H1924" s="22">
        <v>0</v>
      </c>
      <c r="I1924" s="4">
        <v>710000000</v>
      </c>
      <c r="J1924" s="4" t="s">
        <v>1931</v>
      </c>
      <c r="K1924" s="4" t="s">
        <v>5297</v>
      </c>
      <c r="L1924" s="4" t="s">
        <v>1889</v>
      </c>
      <c r="M1924" s="8" t="s">
        <v>3195</v>
      </c>
      <c r="N1924" s="4" t="s">
        <v>1890</v>
      </c>
      <c r="O1924" s="8" t="s">
        <v>1935</v>
      </c>
      <c r="P1924" s="8">
        <v>796</v>
      </c>
      <c r="Q1924" s="8" t="s">
        <v>3196</v>
      </c>
      <c r="R1924" s="10">
        <v>20</v>
      </c>
      <c r="S1924" s="10">
        <v>150</v>
      </c>
      <c r="T1924" s="10">
        <f t="shared" si="997"/>
        <v>3000</v>
      </c>
      <c r="U1924" s="10">
        <f t="shared" si="998"/>
        <v>3360.0000000000005</v>
      </c>
      <c r="V1924" s="1"/>
      <c r="W1924" s="1">
        <v>2015</v>
      </c>
      <c r="X1924" s="67"/>
    </row>
    <row r="1925" spans="1:24" s="133" customFormat="1" ht="76.5" customHeight="1" outlineLevel="1" x14ac:dyDescent="0.2">
      <c r="A1925" s="1" t="s">
        <v>2691</v>
      </c>
      <c r="B1925" s="24" t="s">
        <v>5277</v>
      </c>
      <c r="C1925" s="4" t="s">
        <v>1853</v>
      </c>
      <c r="D1925" s="4" t="s">
        <v>830</v>
      </c>
      <c r="E1925" s="4" t="s">
        <v>6126</v>
      </c>
      <c r="F1925" s="4"/>
      <c r="G1925" s="4" t="s">
        <v>1888</v>
      </c>
      <c r="H1925" s="22">
        <v>0</v>
      </c>
      <c r="I1925" s="4">
        <v>710000000</v>
      </c>
      <c r="J1925" s="4" t="s">
        <v>1931</v>
      </c>
      <c r="K1925" s="4" t="s">
        <v>5297</v>
      </c>
      <c r="L1925" s="4" t="s">
        <v>1889</v>
      </c>
      <c r="M1925" s="8" t="s">
        <v>3195</v>
      </c>
      <c r="N1925" s="4" t="s">
        <v>1890</v>
      </c>
      <c r="O1925" s="8" t="s">
        <v>1935</v>
      </c>
      <c r="P1925" s="8">
        <v>796</v>
      </c>
      <c r="Q1925" s="8" t="s">
        <v>3196</v>
      </c>
      <c r="R1925" s="10">
        <v>18</v>
      </c>
      <c r="S1925" s="10">
        <v>2226.8333333333335</v>
      </c>
      <c r="T1925" s="10">
        <f t="shared" si="997"/>
        <v>40083</v>
      </c>
      <c r="U1925" s="10">
        <f t="shared" si="998"/>
        <v>44892.960000000006</v>
      </c>
      <c r="V1925" s="1"/>
      <c r="W1925" s="1">
        <v>2015</v>
      </c>
      <c r="X1925" s="67"/>
    </row>
    <row r="1926" spans="1:24" s="133" customFormat="1" ht="76.5" customHeight="1" outlineLevel="1" x14ac:dyDescent="0.2">
      <c r="A1926" s="1" t="s">
        <v>2692</v>
      </c>
      <c r="B1926" s="24" t="s">
        <v>5277</v>
      </c>
      <c r="C1926" s="4" t="s">
        <v>3726</v>
      </c>
      <c r="D1926" s="4" t="s">
        <v>830</v>
      </c>
      <c r="E1926" s="4" t="s">
        <v>6160</v>
      </c>
      <c r="F1926" s="4"/>
      <c r="G1926" s="4" t="s">
        <v>1888</v>
      </c>
      <c r="H1926" s="22">
        <v>0</v>
      </c>
      <c r="I1926" s="4">
        <v>710000000</v>
      </c>
      <c r="J1926" s="4" t="s">
        <v>1931</v>
      </c>
      <c r="K1926" s="4" t="s">
        <v>5297</v>
      </c>
      <c r="L1926" s="4" t="s">
        <v>1889</v>
      </c>
      <c r="M1926" s="8" t="s">
        <v>3195</v>
      </c>
      <c r="N1926" s="4" t="s">
        <v>1890</v>
      </c>
      <c r="O1926" s="8" t="s">
        <v>1935</v>
      </c>
      <c r="P1926" s="8">
        <v>796</v>
      </c>
      <c r="Q1926" s="8" t="s">
        <v>3196</v>
      </c>
      <c r="R1926" s="10">
        <v>130</v>
      </c>
      <c r="S1926" s="10">
        <v>727.59230769230771</v>
      </c>
      <c r="T1926" s="10">
        <f t="shared" si="997"/>
        <v>94587</v>
      </c>
      <c r="U1926" s="10">
        <f t="shared" si="998"/>
        <v>105937.44000000002</v>
      </c>
      <c r="V1926" s="1"/>
      <c r="W1926" s="1">
        <v>2015</v>
      </c>
      <c r="X1926" s="67"/>
    </row>
    <row r="1927" spans="1:24" s="133" customFormat="1" ht="76.5" customHeight="1" outlineLevel="1" x14ac:dyDescent="0.2">
      <c r="A1927" s="1" t="s">
        <v>2693</v>
      </c>
      <c r="B1927" s="24" t="s">
        <v>5277</v>
      </c>
      <c r="C1927" s="4" t="s">
        <v>1117</v>
      </c>
      <c r="D1927" s="4" t="s">
        <v>2996</v>
      </c>
      <c r="E1927" s="4" t="s">
        <v>1118</v>
      </c>
      <c r="F1927" s="4"/>
      <c r="G1927" s="4" t="s">
        <v>1888</v>
      </c>
      <c r="H1927" s="22">
        <v>0</v>
      </c>
      <c r="I1927" s="4">
        <v>710000000</v>
      </c>
      <c r="J1927" s="4" t="s">
        <v>1931</v>
      </c>
      <c r="K1927" s="4" t="s">
        <v>5297</v>
      </c>
      <c r="L1927" s="4" t="s">
        <v>1889</v>
      </c>
      <c r="M1927" s="8" t="s">
        <v>3195</v>
      </c>
      <c r="N1927" s="4" t="s">
        <v>1890</v>
      </c>
      <c r="O1927" s="8" t="s">
        <v>1935</v>
      </c>
      <c r="P1927" s="40" t="s">
        <v>3443</v>
      </c>
      <c r="Q1927" s="4" t="s">
        <v>5676</v>
      </c>
      <c r="R1927" s="10">
        <v>80</v>
      </c>
      <c r="S1927" s="10">
        <v>105.3625</v>
      </c>
      <c r="T1927" s="10">
        <f t="shared" si="997"/>
        <v>8429</v>
      </c>
      <c r="U1927" s="10">
        <f t="shared" si="998"/>
        <v>9440.4800000000014</v>
      </c>
      <c r="V1927" s="1"/>
      <c r="W1927" s="1">
        <v>2015</v>
      </c>
      <c r="X1927" s="67"/>
    </row>
    <row r="1928" spans="1:24" s="133" customFormat="1" ht="76.5" customHeight="1" outlineLevel="1" x14ac:dyDescent="0.2">
      <c r="A1928" s="1" t="s">
        <v>2694</v>
      </c>
      <c r="B1928" s="24" t="s">
        <v>5277</v>
      </c>
      <c r="C1928" s="4" t="s">
        <v>1119</v>
      </c>
      <c r="D1928" s="4" t="s">
        <v>2996</v>
      </c>
      <c r="E1928" s="4" t="s">
        <v>1120</v>
      </c>
      <c r="F1928" s="4"/>
      <c r="G1928" s="4" t="s">
        <v>1888</v>
      </c>
      <c r="H1928" s="22">
        <v>0</v>
      </c>
      <c r="I1928" s="4">
        <v>710000000</v>
      </c>
      <c r="J1928" s="4" t="s">
        <v>1931</v>
      </c>
      <c r="K1928" s="4" t="s">
        <v>5297</v>
      </c>
      <c r="L1928" s="4" t="s">
        <v>1889</v>
      </c>
      <c r="M1928" s="8" t="s">
        <v>3195</v>
      </c>
      <c r="N1928" s="4" t="s">
        <v>1890</v>
      </c>
      <c r="O1928" s="8" t="s">
        <v>1935</v>
      </c>
      <c r="P1928" s="40" t="s">
        <v>3443</v>
      </c>
      <c r="Q1928" s="4" t="s">
        <v>5676</v>
      </c>
      <c r="R1928" s="10">
        <v>80</v>
      </c>
      <c r="S1928" s="10">
        <v>105.3625</v>
      </c>
      <c r="T1928" s="10">
        <f t="shared" si="997"/>
        <v>8429</v>
      </c>
      <c r="U1928" s="10">
        <f t="shared" si="998"/>
        <v>9440.4800000000014</v>
      </c>
      <c r="V1928" s="1"/>
      <c r="W1928" s="1">
        <v>2015</v>
      </c>
      <c r="X1928" s="67"/>
    </row>
    <row r="1929" spans="1:24" s="133" customFormat="1" ht="76.5" customHeight="1" outlineLevel="1" x14ac:dyDescent="0.2">
      <c r="A1929" s="1" t="s">
        <v>2695</v>
      </c>
      <c r="B1929" s="24" t="s">
        <v>5277</v>
      </c>
      <c r="C1929" s="4" t="s">
        <v>1121</v>
      </c>
      <c r="D1929" s="4" t="s">
        <v>2996</v>
      </c>
      <c r="E1929" s="4" t="s">
        <v>1122</v>
      </c>
      <c r="F1929" s="4"/>
      <c r="G1929" s="4" t="s">
        <v>1888</v>
      </c>
      <c r="H1929" s="22">
        <v>0</v>
      </c>
      <c r="I1929" s="4">
        <v>710000000</v>
      </c>
      <c r="J1929" s="4" t="s">
        <v>1931</v>
      </c>
      <c r="K1929" s="4" t="s">
        <v>5297</v>
      </c>
      <c r="L1929" s="4" t="s">
        <v>1889</v>
      </c>
      <c r="M1929" s="8" t="s">
        <v>3195</v>
      </c>
      <c r="N1929" s="4" t="s">
        <v>1890</v>
      </c>
      <c r="O1929" s="8" t="s">
        <v>1935</v>
      </c>
      <c r="P1929" s="40" t="s">
        <v>3443</v>
      </c>
      <c r="Q1929" s="4" t="s">
        <v>5676</v>
      </c>
      <c r="R1929" s="10">
        <v>30</v>
      </c>
      <c r="S1929" s="10">
        <v>158.03333333333333</v>
      </c>
      <c r="T1929" s="10">
        <f t="shared" si="997"/>
        <v>4741</v>
      </c>
      <c r="U1929" s="10">
        <f t="shared" si="998"/>
        <v>5309.92</v>
      </c>
      <c r="V1929" s="1"/>
      <c r="W1929" s="1">
        <v>2015</v>
      </c>
      <c r="X1929" s="67"/>
    </row>
    <row r="1930" spans="1:24" s="133" customFormat="1" ht="76.5" customHeight="1" outlineLevel="1" x14ac:dyDescent="0.2">
      <c r="A1930" s="1" t="s">
        <v>2696</v>
      </c>
      <c r="B1930" s="24" t="s">
        <v>5277</v>
      </c>
      <c r="C1930" s="4" t="s">
        <v>1123</v>
      </c>
      <c r="D1930" s="4" t="s">
        <v>2996</v>
      </c>
      <c r="E1930" s="4" t="s">
        <v>1124</v>
      </c>
      <c r="F1930" s="4"/>
      <c r="G1930" s="4" t="s">
        <v>1888</v>
      </c>
      <c r="H1930" s="22">
        <v>0</v>
      </c>
      <c r="I1930" s="4">
        <v>710000000</v>
      </c>
      <c r="J1930" s="4" t="s">
        <v>1931</v>
      </c>
      <c r="K1930" s="4" t="s">
        <v>5297</v>
      </c>
      <c r="L1930" s="4" t="s">
        <v>1889</v>
      </c>
      <c r="M1930" s="8" t="s">
        <v>3195</v>
      </c>
      <c r="N1930" s="4" t="s">
        <v>1890</v>
      </c>
      <c r="O1930" s="8" t="s">
        <v>1935</v>
      </c>
      <c r="P1930" s="40" t="s">
        <v>3443</v>
      </c>
      <c r="Q1930" s="4" t="s">
        <v>5676</v>
      </c>
      <c r="R1930" s="10">
        <v>50</v>
      </c>
      <c r="S1930" s="10">
        <v>173.22</v>
      </c>
      <c r="T1930" s="10">
        <f t="shared" si="997"/>
        <v>8661</v>
      </c>
      <c r="U1930" s="10">
        <f t="shared" si="998"/>
        <v>9700.3200000000015</v>
      </c>
      <c r="V1930" s="1"/>
      <c r="W1930" s="1">
        <v>2015</v>
      </c>
      <c r="X1930" s="67"/>
    </row>
    <row r="1931" spans="1:24" s="133" customFormat="1" ht="76.5" customHeight="1" outlineLevel="1" x14ac:dyDescent="0.2">
      <c r="A1931" s="1" t="s">
        <v>2697</v>
      </c>
      <c r="B1931" s="24" t="s">
        <v>5277</v>
      </c>
      <c r="C1931" s="4" t="s">
        <v>1125</v>
      </c>
      <c r="D1931" s="4" t="s">
        <v>2996</v>
      </c>
      <c r="E1931" s="4" t="s">
        <v>3730</v>
      </c>
      <c r="F1931" s="4"/>
      <c r="G1931" s="4" t="s">
        <v>1888</v>
      </c>
      <c r="H1931" s="22">
        <v>0</v>
      </c>
      <c r="I1931" s="4">
        <v>710000000</v>
      </c>
      <c r="J1931" s="4" t="s">
        <v>1931</v>
      </c>
      <c r="K1931" s="4" t="s">
        <v>5297</v>
      </c>
      <c r="L1931" s="4" t="s">
        <v>1889</v>
      </c>
      <c r="M1931" s="8" t="s">
        <v>3195</v>
      </c>
      <c r="N1931" s="4" t="s">
        <v>1890</v>
      </c>
      <c r="O1931" s="8" t="s">
        <v>1935</v>
      </c>
      <c r="P1931" s="40" t="s">
        <v>3443</v>
      </c>
      <c r="Q1931" s="4" t="s">
        <v>5676</v>
      </c>
      <c r="R1931" s="10">
        <v>20</v>
      </c>
      <c r="S1931" s="10">
        <v>561</v>
      </c>
      <c r="T1931" s="10">
        <f t="shared" si="997"/>
        <v>11220</v>
      </c>
      <c r="U1931" s="10">
        <f t="shared" si="998"/>
        <v>12566.400000000001</v>
      </c>
      <c r="V1931" s="1"/>
      <c r="W1931" s="1">
        <v>2015</v>
      </c>
      <c r="X1931" s="67"/>
    </row>
    <row r="1932" spans="1:24" s="133" customFormat="1" ht="76.5" customHeight="1" outlineLevel="1" x14ac:dyDescent="0.2">
      <c r="A1932" s="1" t="s">
        <v>2698</v>
      </c>
      <c r="B1932" s="24" t="s">
        <v>5277</v>
      </c>
      <c r="C1932" s="4" t="s">
        <v>1126</v>
      </c>
      <c r="D1932" s="4" t="s">
        <v>2996</v>
      </c>
      <c r="E1932" s="4" t="s">
        <v>1127</v>
      </c>
      <c r="F1932" s="4"/>
      <c r="G1932" s="4" t="s">
        <v>1888</v>
      </c>
      <c r="H1932" s="22">
        <v>0</v>
      </c>
      <c r="I1932" s="4">
        <v>710000000</v>
      </c>
      <c r="J1932" s="4" t="s">
        <v>1931</v>
      </c>
      <c r="K1932" s="4" t="s">
        <v>5297</v>
      </c>
      <c r="L1932" s="4" t="s">
        <v>1889</v>
      </c>
      <c r="M1932" s="8" t="s">
        <v>3195</v>
      </c>
      <c r="N1932" s="4" t="s">
        <v>1890</v>
      </c>
      <c r="O1932" s="8" t="s">
        <v>1935</v>
      </c>
      <c r="P1932" s="40" t="s">
        <v>3443</v>
      </c>
      <c r="Q1932" s="4" t="s">
        <v>5676</v>
      </c>
      <c r="R1932" s="10">
        <v>20</v>
      </c>
      <c r="S1932" s="10">
        <v>536</v>
      </c>
      <c r="T1932" s="10">
        <f t="shared" si="997"/>
        <v>10720</v>
      </c>
      <c r="U1932" s="10">
        <f t="shared" si="998"/>
        <v>12006.400000000001</v>
      </c>
      <c r="V1932" s="1"/>
      <c r="W1932" s="1">
        <v>2015</v>
      </c>
      <c r="X1932" s="67"/>
    </row>
    <row r="1933" spans="1:24" s="133" customFormat="1" ht="76.5" customHeight="1" outlineLevel="1" x14ac:dyDescent="0.2">
      <c r="A1933" s="1" t="s">
        <v>2699</v>
      </c>
      <c r="B1933" s="24" t="s">
        <v>5277</v>
      </c>
      <c r="C1933" s="4" t="s">
        <v>1128</v>
      </c>
      <c r="D1933" s="4" t="s">
        <v>2996</v>
      </c>
      <c r="E1933" s="4" t="s">
        <v>1129</v>
      </c>
      <c r="F1933" s="4"/>
      <c r="G1933" s="4" t="s">
        <v>1888</v>
      </c>
      <c r="H1933" s="22">
        <v>0</v>
      </c>
      <c r="I1933" s="4">
        <v>710000000</v>
      </c>
      <c r="J1933" s="4" t="s">
        <v>1931</v>
      </c>
      <c r="K1933" s="4" t="s">
        <v>5297</v>
      </c>
      <c r="L1933" s="4" t="s">
        <v>1889</v>
      </c>
      <c r="M1933" s="8" t="s">
        <v>3195</v>
      </c>
      <c r="N1933" s="4" t="s">
        <v>1890</v>
      </c>
      <c r="O1933" s="8" t="s">
        <v>1935</v>
      </c>
      <c r="P1933" s="40" t="s">
        <v>3443</v>
      </c>
      <c r="Q1933" s="4" t="s">
        <v>5676</v>
      </c>
      <c r="R1933" s="10">
        <v>100</v>
      </c>
      <c r="S1933" s="10">
        <v>2856.9</v>
      </c>
      <c r="T1933" s="10">
        <f t="shared" si="997"/>
        <v>285690</v>
      </c>
      <c r="U1933" s="10">
        <f t="shared" si="998"/>
        <v>319972.80000000005</v>
      </c>
      <c r="V1933" s="1"/>
      <c r="W1933" s="1">
        <v>2015</v>
      </c>
      <c r="X1933" s="67"/>
    </row>
    <row r="1934" spans="1:24" s="133" customFormat="1" ht="76.5" customHeight="1" outlineLevel="1" x14ac:dyDescent="0.2">
      <c r="A1934" s="1" t="s">
        <v>2700</v>
      </c>
      <c r="B1934" s="24" t="s">
        <v>5277</v>
      </c>
      <c r="C1934" s="4" t="s">
        <v>1130</v>
      </c>
      <c r="D1934" s="4" t="s">
        <v>2996</v>
      </c>
      <c r="E1934" s="4" t="s">
        <v>1131</v>
      </c>
      <c r="F1934" s="4"/>
      <c r="G1934" s="4" t="s">
        <v>1888</v>
      </c>
      <c r="H1934" s="22">
        <v>0</v>
      </c>
      <c r="I1934" s="4">
        <v>710000000</v>
      </c>
      <c r="J1934" s="4" t="s">
        <v>1931</v>
      </c>
      <c r="K1934" s="4" t="s">
        <v>5297</v>
      </c>
      <c r="L1934" s="4" t="s">
        <v>1889</v>
      </c>
      <c r="M1934" s="8" t="s">
        <v>3195</v>
      </c>
      <c r="N1934" s="4" t="s">
        <v>1890</v>
      </c>
      <c r="O1934" s="8" t="s">
        <v>1935</v>
      </c>
      <c r="P1934" s="40" t="s">
        <v>3443</v>
      </c>
      <c r="Q1934" s="4" t="s">
        <v>5676</v>
      </c>
      <c r="R1934" s="10">
        <v>200</v>
      </c>
      <c r="S1934" s="10">
        <v>30</v>
      </c>
      <c r="T1934" s="10">
        <f t="shared" si="997"/>
        <v>6000</v>
      </c>
      <c r="U1934" s="10">
        <f t="shared" si="998"/>
        <v>6720.0000000000009</v>
      </c>
      <c r="V1934" s="1"/>
      <c r="W1934" s="1">
        <v>2015</v>
      </c>
      <c r="X1934" s="67"/>
    </row>
    <row r="1935" spans="1:24" s="133" customFormat="1" ht="76.5" customHeight="1" outlineLevel="1" x14ac:dyDescent="0.2">
      <c r="A1935" s="1" t="s">
        <v>2701</v>
      </c>
      <c r="B1935" s="24" t="s">
        <v>5277</v>
      </c>
      <c r="C1935" s="4" t="s">
        <v>1132</v>
      </c>
      <c r="D1935" s="4" t="s">
        <v>2996</v>
      </c>
      <c r="E1935" s="4" t="s">
        <v>1133</v>
      </c>
      <c r="F1935" s="4"/>
      <c r="G1935" s="4" t="s">
        <v>1888</v>
      </c>
      <c r="H1935" s="22">
        <v>0</v>
      </c>
      <c r="I1935" s="4">
        <v>710000000</v>
      </c>
      <c r="J1935" s="4" t="s">
        <v>1931</v>
      </c>
      <c r="K1935" s="4" t="s">
        <v>5297</v>
      </c>
      <c r="L1935" s="4" t="s">
        <v>1889</v>
      </c>
      <c r="M1935" s="8" t="s">
        <v>3195</v>
      </c>
      <c r="N1935" s="4" t="s">
        <v>1890</v>
      </c>
      <c r="O1935" s="8" t="s">
        <v>1935</v>
      </c>
      <c r="P1935" s="40" t="s">
        <v>3443</v>
      </c>
      <c r="Q1935" s="4" t="s">
        <v>5676</v>
      </c>
      <c r="R1935" s="10">
        <v>500</v>
      </c>
      <c r="S1935" s="10">
        <v>16</v>
      </c>
      <c r="T1935" s="10">
        <f t="shared" si="997"/>
        <v>8000</v>
      </c>
      <c r="U1935" s="10">
        <f t="shared" si="998"/>
        <v>8960</v>
      </c>
      <c r="V1935" s="1"/>
      <c r="W1935" s="1">
        <v>2015</v>
      </c>
      <c r="X1935" s="67"/>
    </row>
    <row r="1936" spans="1:24" s="133" customFormat="1" ht="76.5" customHeight="1" outlineLevel="1" x14ac:dyDescent="0.2">
      <c r="A1936" s="1" t="s">
        <v>2702</v>
      </c>
      <c r="B1936" s="24" t="s">
        <v>5277</v>
      </c>
      <c r="C1936" s="4" t="s">
        <v>1134</v>
      </c>
      <c r="D1936" s="4" t="s">
        <v>866</v>
      </c>
      <c r="E1936" s="4" t="s">
        <v>1135</v>
      </c>
      <c r="F1936" s="4"/>
      <c r="G1936" s="4" t="s">
        <v>1888</v>
      </c>
      <c r="H1936" s="22">
        <v>0</v>
      </c>
      <c r="I1936" s="4">
        <v>710000000</v>
      </c>
      <c r="J1936" s="4" t="s">
        <v>1931</v>
      </c>
      <c r="K1936" s="4" t="s">
        <v>5297</v>
      </c>
      <c r="L1936" s="4" t="s">
        <v>1889</v>
      </c>
      <c r="M1936" s="8" t="s">
        <v>3195</v>
      </c>
      <c r="N1936" s="4" t="s">
        <v>1890</v>
      </c>
      <c r="O1936" s="8" t="s">
        <v>1935</v>
      </c>
      <c r="P1936" s="8">
        <v>796</v>
      </c>
      <c r="Q1936" s="8" t="s">
        <v>3196</v>
      </c>
      <c r="R1936" s="10">
        <v>5</v>
      </c>
      <c r="S1936" s="10">
        <v>643</v>
      </c>
      <c r="T1936" s="10">
        <f t="shared" si="997"/>
        <v>3215</v>
      </c>
      <c r="U1936" s="10">
        <f t="shared" si="998"/>
        <v>3600.8</v>
      </c>
      <c r="V1936" s="1"/>
      <c r="W1936" s="1">
        <v>2015</v>
      </c>
      <c r="X1936" s="67"/>
    </row>
    <row r="1937" spans="1:24" s="133" customFormat="1" ht="76.5" customHeight="1" outlineLevel="1" x14ac:dyDescent="0.2">
      <c r="A1937" s="1" t="s">
        <v>2703</v>
      </c>
      <c r="B1937" s="24" t="s">
        <v>5277</v>
      </c>
      <c r="C1937" s="4" t="s">
        <v>1136</v>
      </c>
      <c r="D1937" s="4" t="s">
        <v>866</v>
      </c>
      <c r="E1937" s="4" t="s">
        <v>1137</v>
      </c>
      <c r="F1937" s="4"/>
      <c r="G1937" s="4" t="s">
        <v>1888</v>
      </c>
      <c r="H1937" s="22">
        <v>0</v>
      </c>
      <c r="I1937" s="4">
        <v>710000000</v>
      </c>
      <c r="J1937" s="4" t="s">
        <v>1931</v>
      </c>
      <c r="K1937" s="4" t="s">
        <v>5297</v>
      </c>
      <c r="L1937" s="4" t="s">
        <v>1889</v>
      </c>
      <c r="M1937" s="8" t="s">
        <v>3195</v>
      </c>
      <c r="N1937" s="4" t="s">
        <v>1890</v>
      </c>
      <c r="O1937" s="8" t="s">
        <v>1935</v>
      </c>
      <c r="P1937" s="8">
        <v>796</v>
      </c>
      <c r="Q1937" s="8" t="s">
        <v>3196</v>
      </c>
      <c r="R1937" s="10">
        <v>5</v>
      </c>
      <c r="S1937" s="10">
        <v>223</v>
      </c>
      <c r="T1937" s="10">
        <f t="shared" si="997"/>
        <v>1115</v>
      </c>
      <c r="U1937" s="10">
        <f t="shared" si="998"/>
        <v>1248.8000000000002</v>
      </c>
      <c r="V1937" s="1"/>
      <c r="W1937" s="1">
        <v>2015</v>
      </c>
      <c r="X1937" s="67"/>
    </row>
    <row r="1938" spans="1:24" s="133" customFormat="1" ht="76.5" customHeight="1" outlineLevel="1" x14ac:dyDescent="0.2">
      <c r="A1938" s="1" t="s">
        <v>2704</v>
      </c>
      <c r="B1938" s="24" t="s">
        <v>5277</v>
      </c>
      <c r="C1938" s="4" t="s">
        <v>1138</v>
      </c>
      <c r="D1938" s="4" t="s">
        <v>866</v>
      </c>
      <c r="E1938" s="4" t="s">
        <v>1139</v>
      </c>
      <c r="F1938" s="4"/>
      <c r="G1938" s="4" t="s">
        <v>1888</v>
      </c>
      <c r="H1938" s="22">
        <v>0</v>
      </c>
      <c r="I1938" s="4">
        <v>710000000</v>
      </c>
      <c r="J1938" s="4" t="s">
        <v>1931</v>
      </c>
      <c r="K1938" s="4" t="s">
        <v>5297</v>
      </c>
      <c r="L1938" s="4" t="s">
        <v>1889</v>
      </c>
      <c r="M1938" s="8" t="s">
        <v>3195</v>
      </c>
      <c r="N1938" s="4" t="s">
        <v>1890</v>
      </c>
      <c r="O1938" s="8" t="s">
        <v>1935</v>
      </c>
      <c r="P1938" s="8">
        <v>796</v>
      </c>
      <c r="Q1938" s="8" t="s">
        <v>3196</v>
      </c>
      <c r="R1938" s="10">
        <v>5</v>
      </c>
      <c r="S1938" s="10">
        <v>214</v>
      </c>
      <c r="T1938" s="10">
        <f t="shared" si="997"/>
        <v>1070</v>
      </c>
      <c r="U1938" s="10">
        <f t="shared" si="998"/>
        <v>1198.4000000000001</v>
      </c>
      <c r="V1938" s="1"/>
      <c r="W1938" s="1">
        <v>2015</v>
      </c>
      <c r="X1938" s="67"/>
    </row>
    <row r="1939" spans="1:24" s="133" customFormat="1" ht="76.5" customHeight="1" outlineLevel="1" x14ac:dyDescent="0.2">
      <c r="A1939" s="1" t="s">
        <v>2705</v>
      </c>
      <c r="B1939" s="24" t="s">
        <v>5277</v>
      </c>
      <c r="C1939" s="4" t="s">
        <v>1863</v>
      </c>
      <c r="D1939" s="4" t="s">
        <v>866</v>
      </c>
      <c r="E1939" s="4" t="s">
        <v>6134</v>
      </c>
      <c r="F1939" s="4"/>
      <c r="G1939" s="4" t="s">
        <v>1888</v>
      </c>
      <c r="H1939" s="22">
        <v>0</v>
      </c>
      <c r="I1939" s="4">
        <v>710000000</v>
      </c>
      <c r="J1939" s="4" t="s">
        <v>1931</v>
      </c>
      <c r="K1939" s="4" t="s">
        <v>5297</v>
      </c>
      <c r="L1939" s="4" t="s">
        <v>1889</v>
      </c>
      <c r="M1939" s="8" t="s">
        <v>3195</v>
      </c>
      <c r="N1939" s="4" t="s">
        <v>1890</v>
      </c>
      <c r="O1939" s="8" t="s">
        <v>1935</v>
      </c>
      <c r="P1939" s="8">
        <v>796</v>
      </c>
      <c r="Q1939" s="8" t="s">
        <v>3196</v>
      </c>
      <c r="R1939" s="10">
        <v>5</v>
      </c>
      <c r="S1939" s="10">
        <v>225</v>
      </c>
      <c r="T1939" s="10">
        <f t="shared" si="997"/>
        <v>1125</v>
      </c>
      <c r="U1939" s="10">
        <f t="shared" si="998"/>
        <v>1260.0000000000002</v>
      </c>
      <c r="V1939" s="1"/>
      <c r="W1939" s="1">
        <v>2015</v>
      </c>
      <c r="X1939" s="67"/>
    </row>
    <row r="1940" spans="1:24" ht="76.5" customHeight="1" outlineLevel="1" x14ac:dyDescent="0.2">
      <c r="A1940" s="1" t="s">
        <v>2706</v>
      </c>
      <c r="B1940" s="24" t="s">
        <v>5277</v>
      </c>
      <c r="C1940" s="4" t="s">
        <v>1140</v>
      </c>
      <c r="D1940" s="4" t="s">
        <v>1141</v>
      </c>
      <c r="E1940" s="4" t="s">
        <v>1142</v>
      </c>
      <c r="F1940" s="20"/>
      <c r="G1940" s="4" t="s">
        <v>1888</v>
      </c>
      <c r="H1940" s="22">
        <v>0</v>
      </c>
      <c r="I1940" s="4">
        <v>710000000</v>
      </c>
      <c r="J1940" s="4" t="s">
        <v>1931</v>
      </c>
      <c r="K1940" s="4" t="s">
        <v>5297</v>
      </c>
      <c r="L1940" s="4" t="s">
        <v>1889</v>
      </c>
      <c r="M1940" s="8" t="s">
        <v>3195</v>
      </c>
      <c r="N1940" s="4" t="s">
        <v>1890</v>
      </c>
      <c r="O1940" s="8" t="s">
        <v>1935</v>
      </c>
      <c r="P1940" s="8">
        <v>796</v>
      </c>
      <c r="Q1940" s="8" t="s">
        <v>3196</v>
      </c>
      <c r="R1940" s="98">
        <v>4</v>
      </c>
      <c r="S1940" s="98">
        <v>91164</v>
      </c>
      <c r="T1940" s="98">
        <f t="shared" si="997"/>
        <v>364656</v>
      </c>
      <c r="U1940" s="10">
        <f t="shared" si="998"/>
        <v>408414.72000000003</v>
      </c>
      <c r="V1940" s="1"/>
      <c r="W1940" s="1">
        <v>2015</v>
      </c>
      <c r="X1940" s="20"/>
    </row>
    <row r="1941" spans="1:24" ht="76.5" customHeight="1" outlineLevel="1" x14ac:dyDescent="0.2">
      <c r="A1941" s="1" t="s">
        <v>2707</v>
      </c>
      <c r="B1941" s="24" t="s">
        <v>5277</v>
      </c>
      <c r="C1941" s="4" t="s">
        <v>1143</v>
      </c>
      <c r="D1941" s="4" t="s">
        <v>3834</v>
      </c>
      <c r="E1941" s="4" t="s">
        <v>1144</v>
      </c>
      <c r="F1941" s="20"/>
      <c r="G1941" s="4" t="s">
        <v>1888</v>
      </c>
      <c r="H1941" s="22">
        <v>0</v>
      </c>
      <c r="I1941" s="4">
        <v>710000000</v>
      </c>
      <c r="J1941" s="4" t="s">
        <v>1931</v>
      </c>
      <c r="K1941" s="4" t="s">
        <v>5297</v>
      </c>
      <c r="L1941" s="4" t="s">
        <v>1889</v>
      </c>
      <c r="M1941" s="8" t="s">
        <v>3195</v>
      </c>
      <c r="N1941" s="4" t="s">
        <v>1890</v>
      </c>
      <c r="O1941" s="8" t="s">
        <v>1935</v>
      </c>
      <c r="P1941" s="8">
        <v>796</v>
      </c>
      <c r="Q1941" s="8" t="s">
        <v>3196</v>
      </c>
      <c r="R1941" s="98">
        <v>2</v>
      </c>
      <c r="S1941" s="98">
        <v>66875</v>
      </c>
      <c r="T1941" s="98">
        <f t="shared" si="997"/>
        <v>133750</v>
      </c>
      <c r="U1941" s="10">
        <f t="shared" si="998"/>
        <v>149800</v>
      </c>
      <c r="V1941" s="1"/>
      <c r="W1941" s="1">
        <v>2015</v>
      </c>
      <c r="X1941" s="20"/>
    </row>
    <row r="1942" spans="1:24" ht="76.5" customHeight="1" outlineLevel="1" x14ac:dyDescent="0.2">
      <c r="A1942" s="1" t="s">
        <v>2708</v>
      </c>
      <c r="B1942" s="24" t="s">
        <v>5277</v>
      </c>
      <c r="C1942" s="4" t="s">
        <v>1145</v>
      </c>
      <c r="D1942" s="4" t="s">
        <v>1146</v>
      </c>
      <c r="E1942" s="4" t="s">
        <v>1147</v>
      </c>
      <c r="F1942" s="20"/>
      <c r="G1942" s="4" t="s">
        <v>1888</v>
      </c>
      <c r="H1942" s="22">
        <v>0</v>
      </c>
      <c r="I1942" s="4">
        <v>710000000</v>
      </c>
      <c r="J1942" s="4" t="s">
        <v>1931</v>
      </c>
      <c r="K1942" s="4" t="s">
        <v>5297</v>
      </c>
      <c r="L1942" s="4" t="s">
        <v>1889</v>
      </c>
      <c r="M1942" s="8" t="s">
        <v>3195</v>
      </c>
      <c r="N1942" s="4" t="s">
        <v>1890</v>
      </c>
      <c r="O1942" s="8" t="s">
        <v>1935</v>
      </c>
      <c r="P1942" s="8">
        <v>796</v>
      </c>
      <c r="Q1942" s="8" t="s">
        <v>3196</v>
      </c>
      <c r="R1942" s="98">
        <v>1</v>
      </c>
      <c r="S1942" s="98">
        <v>9116</v>
      </c>
      <c r="T1942" s="98">
        <f t="shared" si="997"/>
        <v>9116</v>
      </c>
      <c r="U1942" s="10">
        <f t="shared" si="998"/>
        <v>10209.92</v>
      </c>
      <c r="V1942" s="1"/>
      <c r="W1942" s="1">
        <v>2015</v>
      </c>
      <c r="X1942" s="20"/>
    </row>
    <row r="1943" spans="1:24" ht="76.5" customHeight="1" outlineLevel="1" x14ac:dyDescent="0.2">
      <c r="A1943" s="1" t="s">
        <v>2709</v>
      </c>
      <c r="B1943" s="24" t="s">
        <v>5277</v>
      </c>
      <c r="C1943" s="4" t="s">
        <v>3729</v>
      </c>
      <c r="D1943" s="4" t="s">
        <v>6164</v>
      </c>
      <c r="E1943" s="4" t="s">
        <v>6165</v>
      </c>
      <c r="F1943" s="20"/>
      <c r="G1943" s="4" t="s">
        <v>1888</v>
      </c>
      <c r="H1943" s="22">
        <v>0</v>
      </c>
      <c r="I1943" s="4">
        <v>710000000</v>
      </c>
      <c r="J1943" s="4" t="s">
        <v>1931</v>
      </c>
      <c r="K1943" s="4" t="s">
        <v>5297</v>
      </c>
      <c r="L1943" s="4" t="s">
        <v>1889</v>
      </c>
      <c r="M1943" s="8" t="s">
        <v>3195</v>
      </c>
      <c r="N1943" s="4" t="s">
        <v>1890</v>
      </c>
      <c r="O1943" s="8" t="s">
        <v>1935</v>
      </c>
      <c r="P1943" s="8">
        <v>796</v>
      </c>
      <c r="Q1943" s="8" t="s">
        <v>3196</v>
      </c>
      <c r="R1943" s="98">
        <v>40</v>
      </c>
      <c r="S1943" s="98">
        <v>79</v>
      </c>
      <c r="T1943" s="98">
        <f t="shared" si="997"/>
        <v>3160</v>
      </c>
      <c r="U1943" s="10">
        <f t="shared" si="998"/>
        <v>3539.2000000000003</v>
      </c>
      <c r="V1943" s="1"/>
      <c r="W1943" s="1">
        <v>2015</v>
      </c>
      <c r="X1943" s="20"/>
    </row>
    <row r="1944" spans="1:24" ht="76.5" customHeight="1" outlineLevel="1" x14ac:dyDescent="0.2">
      <c r="A1944" s="1" t="s">
        <v>2710</v>
      </c>
      <c r="B1944" s="24" t="s">
        <v>5277</v>
      </c>
      <c r="C1944" s="4" t="s">
        <v>1863</v>
      </c>
      <c r="D1944" s="4" t="s">
        <v>866</v>
      </c>
      <c r="E1944" s="4" t="s">
        <v>6134</v>
      </c>
      <c r="F1944" s="20"/>
      <c r="G1944" s="4" t="s">
        <v>1888</v>
      </c>
      <c r="H1944" s="22">
        <v>0</v>
      </c>
      <c r="I1944" s="4">
        <v>710000000</v>
      </c>
      <c r="J1944" s="4" t="s">
        <v>1931</v>
      </c>
      <c r="K1944" s="4" t="s">
        <v>5297</v>
      </c>
      <c r="L1944" s="4" t="s">
        <v>1889</v>
      </c>
      <c r="M1944" s="8" t="s">
        <v>3195</v>
      </c>
      <c r="N1944" s="4" t="s">
        <v>1890</v>
      </c>
      <c r="O1944" s="8" t="s">
        <v>1935</v>
      </c>
      <c r="P1944" s="8">
        <v>796</v>
      </c>
      <c r="Q1944" s="8" t="s">
        <v>3196</v>
      </c>
      <c r="R1944" s="98">
        <v>30</v>
      </c>
      <c r="S1944" s="98">
        <v>183.17</v>
      </c>
      <c r="T1944" s="98">
        <f t="shared" si="997"/>
        <v>5495.0999999999995</v>
      </c>
      <c r="U1944" s="10">
        <f t="shared" si="998"/>
        <v>6154.5119999999997</v>
      </c>
      <c r="V1944" s="1"/>
      <c r="W1944" s="1">
        <v>2015</v>
      </c>
      <c r="X1944" s="20"/>
    </row>
    <row r="1945" spans="1:24" ht="76.5" customHeight="1" outlineLevel="1" x14ac:dyDescent="0.2">
      <c r="A1945" s="1" t="s">
        <v>2711</v>
      </c>
      <c r="B1945" s="24" t="s">
        <v>5277</v>
      </c>
      <c r="C1945" s="4" t="s">
        <v>1877</v>
      </c>
      <c r="D1945" s="4" t="s">
        <v>6133</v>
      </c>
      <c r="E1945" s="4" t="s">
        <v>6144</v>
      </c>
      <c r="F1945" s="20"/>
      <c r="G1945" s="4" t="s">
        <v>1888</v>
      </c>
      <c r="H1945" s="22">
        <v>0</v>
      </c>
      <c r="I1945" s="4">
        <v>710000000</v>
      </c>
      <c r="J1945" s="4" t="s">
        <v>1931</v>
      </c>
      <c r="K1945" s="4" t="s">
        <v>5297</v>
      </c>
      <c r="L1945" s="4" t="s">
        <v>1889</v>
      </c>
      <c r="M1945" s="8" t="s">
        <v>3195</v>
      </c>
      <c r="N1945" s="4" t="s">
        <v>1890</v>
      </c>
      <c r="O1945" s="8" t="s">
        <v>1935</v>
      </c>
      <c r="P1945" s="8">
        <v>796</v>
      </c>
      <c r="Q1945" s="8" t="s">
        <v>3196</v>
      </c>
      <c r="R1945" s="98">
        <v>20</v>
      </c>
      <c r="S1945" s="98">
        <v>230.8</v>
      </c>
      <c r="T1945" s="98">
        <f t="shared" si="997"/>
        <v>4616</v>
      </c>
      <c r="U1945" s="10">
        <f t="shared" si="998"/>
        <v>5169.92</v>
      </c>
      <c r="V1945" s="1"/>
      <c r="W1945" s="1">
        <v>2015</v>
      </c>
      <c r="X1945" s="20"/>
    </row>
    <row r="1946" spans="1:24" ht="76.5" customHeight="1" outlineLevel="1" x14ac:dyDescent="0.2">
      <c r="A1946" s="1" t="s">
        <v>2712</v>
      </c>
      <c r="B1946" s="24" t="s">
        <v>5277</v>
      </c>
      <c r="C1946" s="4" t="s">
        <v>3242</v>
      </c>
      <c r="D1946" s="4" t="s">
        <v>3243</v>
      </c>
      <c r="E1946" s="4" t="s">
        <v>6158</v>
      </c>
      <c r="F1946" s="20"/>
      <c r="G1946" s="4" t="s">
        <v>1888</v>
      </c>
      <c r="H1946" s="22">
        <v>0</v>
      </c>
      <c r="I1946" s="4">
        <v>710000000</v>
      </c>
      <c r="J1946" s="4" t="s">
        <v>1931</v>
      </c>
      <c r="K1946" s="4" t="s">
        <v>5297</v>
      </c>
      <c r="L1946" s="4" t="s">
        <v>1889</v>
      </c>
      <c r="M1946" s="8" t="s">
        <v>3195</v>
      </c>
      <c r="N1946" s="4" t="s">
        <v>1890</v>
      </c>
      <c r="O1946" s="8" t="s">
        <v>1935</v>
      </c>
      <c r="P1946" s="8">
        <v>796</v>
      </c>
      <c r="Q1946" s="8" t="s">
        <v>3196</v>
      </c>
      <c r="R1946" s="98">
        <v>5</v>
      </c>
      <c r="S1946" s="98">
        <v>1650</v>
      </c>
      <c r="T1946" s="98">
        <f t="shared" si="997"/>
        <v>8250</v>
      </c>
      <c r="U1946" s="10">
        <f t="shared" si="998"/>
        <v>9240</v>
      </c>
      <c r="V1946" s="1"/>
      <c r="W1946" s="1">
        <v>2015</v>
      </c>
      <c r="X1946" s="20"/>
    </row>
    <row r="1947" spans="1:24" ht="76.5" customHeight="1" outlineLevel="1" x14ac:dyDescent="0.2">
      <c r="A1947" s="1" t="s">
        <v>2713</v>
      </c>
      <c r="B1947" s="24" t="s">
        <v>5277</v>
      </c>
      <c r="C1947" s="4" t="s">
        <v>1148</v>
      </c>
      <c r="D1947" s="4" t="s">
        <v>6080</v>
      </c>
      <c r="E1947" s="4" t="s">
        <v>1149</v>
      </c>
      <c r="F1947" s="20"/>
      <c r="G1947" s="4" t="s">
        <v>1888</v>
      </c>
      <c r="H1947" s="22">
        <v>0</v>
      </c>
      <c r="I1947" s="4">
        <v>710000000</v>
      </c>
      <c r="J1947" s="4" t="s">
        <v>1931</v>
      </c>
      <c r="K1947" s="4" t="s">
        <v>5297</v>
      </c>
      <c r="L1947" s="4" t="s">
        <v>1889</v>
      </c>
      <c r="M1947" s="8" t="s">
        <v>3195</v>
      </c>
      <c r="N1947" s="4" t="s">
        <v>1890</v>
      </c>
      <c r="O1947" s="8" t="s">
        <v>1935</v>
      </c>
      <c r="P1947" s="8">
        <v>796</v>
      </c>
      <c r="Q1947" s="8" t="s">
        <v>3196</v>
      </c>
      <c r="R1947" s="98">
        <v>10</v>
      </c>
      <c r="S1947" s="98">
        <v>663.4</v>
      </c>
      <c r="T1947" s="98">
        <f t="shared" si="997"/>
        <v>6634</v>
      </c>
      <c r="U1947" s="10">
        <f t="shared" si="998"/>
        <v>7430.0800000000008</v>
      </c>
      <c r="V1947" s="1"/>
      <c r="W1947" s="1">
        <v>2015</v>
      </c>
      <c r="X1947" s="20"/>
    </row>
    <row r="1948" spans="1:24" ht="76.5" customHeight="1" outlineLevel="1" x14ac:dyDescent="0.2">
      <c r="A1948" s="1" t="s">
        <v>2714</v>
      </c>
      <c r="B1948" s="24" t="s">
        <v>5277</v>
      </c>
      <c r="C1948" s="4" t="s">
        <v>1148</v>
      </c>
      <c r="D1948" s="4" t="s">
        <v>6080</v>
      </c>
      <c r="E1948" s="4" t="s">
        <v>1149</v>
      </c>
      <c r="F1948" s="4" t="s">
        <v>1150</v>
      </c>
      <c r="G1948" s="4" t="s">
        <v>1888</v>
      </c>
      <c r="H1948" s="22">
        <v>0</v>
      </c>
      <c r="I1948" s="4">
        <v>710000000</v>
      </c>
      <c r="J1948" s="4" t="s">
        <v>1931</v>
      </c>
      <c r="K1948" s="4" t="s">
        <v>5297</v>
      </c>
      <c r="L1948" s="4" t="s">
        <v>1889</v>
      </c>
      <c r="M1948" s="8" t="s">
        <v>3195</v>
      </c>
      <c r="N1948" s="4" t="s">
        <v>1890</v>
      </c>
      <c r="O1948" s="8" t="s">
        <v>1935</v>
      </c>
      <c r="P1948" s="8">
        <v>796</v>
      </c>
      <c r="Q1948" s="8" t="s">
        <v>3196</v>
      </c>
      <c r="R1948" s="98">
        <v>8</v>
      </c>
      <c r="S1948" s="98">
        <v>1171.6300000000001</v>
      </c>
      <c r="T1948" s="98">
        <f t="shared" si="997"/>
        <v>9373.0400000000009</v>
      </c>
      <c r="U1948" s="10">
        <f t="shared" si="998"/>
        <v>10497.804800000002</v>
      </c>
      <c r="V1948" s="1"/>
      <c r="W1948" s="1">
        <v>2015</v>
      </c>
      <c r="X1948" s="20"/>
    </row>
    <row r="1949" spans="1:24" ht="76.5" customHeight="1" outlineLevel="1" x14ac:dyDescent="0.2">
      <c r="A1949" s="1" t="s">
        <v>2715</v>
      </c>
      <c r="B1949" s="24" t="s">
        <v>5277</v>
      </c>
      <c r="C1949" s="4" t="s">
        <v>1151</v>
      </c>
      <c r="D1949" s="4" t="s">
        <v>6020</v>
      </c>
      <c r="E1949" s="4" t="s">
        <v>1152</v>
      </c>
      <c r="F1949" s="68"/>
      <c r="G1949" s="4" t="s">
        <v>1888</v>
      </c>
      <c r="H1949" s="22">
        <v>0</v>
      </c>
      <c r="I1949" s="4">
        <v>710000000</v>
      </c>
      <c r="J1949" s="4" t="s">
        <v>1931</v>
      </c>
      <c r="K1949" s="4" t="s">
        <v>5297</v>
      </c>
      <c r="L1949" s="4" t="s">
        <v>1889</v>
      </c>
      <c r="M1949" s="8" t="s">
        <v>3195</v>
      </c>
      <c r="N1949" s="4" t="s">
        <v>1890</v>
      </c>
      <c r="O1949" s="8" t="s">
        <v>1935</v>
      </c>
      <c r="P1949" s="8">
        <v>796</v>
      </c>
      <c r="Q1949" s="8" t="s">
        <v>3196</v>
      </c>
      <c r="R1949" s="98">
        <v>10</v>
      </c>
      <c r="S1949" s="98">
        <v>401.3</v>
      </c>
      <c r="T1949" s="98">
        <v>0</v>
      </c>
      <c r="U1949" s="10">
        <f t="shared" si="998"/>
        <v>0</v>
      </c>
      <c r="V1949" s="1"/>
      <c r="W1949" s="1">
        <v>2015</v>
      </c>
      <c r="X1949" s="1" t="s">
        <v>7518</v>
      </c>
    </row>
    <row r="1950" spans="1:24" ht="76.5" customHeight="1" outlineLevel="1" x14ac:dyDescent="0.2">
      <c r="A1950" s="1" t="s">
        <v>9407</v>
      </c>
      <c r="B1950" s="24" t="s">
        <v>5277</v>
      </c>
      <c r="C1950" s="4" t="s">
        <v>1151</v>
      </c>
      <c r="D1950" s="4" t="s">
        <v>6020</v>
      </c>
      <c r="E1950" s="4" t="s">
        <v>1152</v>
      </c>
      <c r="F1950" s="68"/>
      <c r="G1950" s="4" t="s">
        <v>3190</v>
      </c>
      <c r="H1950" s="22">
        <v>0</v>
      </c>
      <c r="I1950" s="4">
        <v>710000000</v>
      </c>
      <c r="J1950" s="4" t="s">
        <v>1931</v>
      </c>
      <c r="K1950" s="4" t="s">
        <v>9408</v>
      </c>
      <c r="L1950" s="4" t="s">
        <v>1889</v>
      </c>
      <c r="M1950" s="8" t="s">
        <v>3195</v>
      </c>
      <c r="N1950" s="4" t="s">
        <v>1890</v>
      </c>
      <c r="O1950" s="8" t="s">
        <v>1935</v>
      </c>
      <c r="P1950" s="8">
        <v>796</v>
      </c>
      <c r="Q1950" s="8" t="s">
        <v>3196</v>
      </c>
      <c r="R1950" s="98">
        <f>10+16</f>
        <v>26</v>
      </c>
      <c r="S1950" s="98">
        <v>401.3</v>
      </c>
      <c r="T1950" s="98">
        <f t="shared" ref="T1950" si="999">S1950*R1950</f>
        <v>10433.800000000001</v>
      </c>
      <c r="U1950" s="10">
        <f t="shared" ref="U1950" si="1000">T1950*1.12</f>
        <v>11685.856000000002</v>
      </c>
      <c r="V1950" s="1"/>
      <c r="W1950" s="1">
        <v>2015</v>
      </c>
      <c r="X1950" s="20"/>
    </row>
    <row r="1951" spans="1:24" ht="76.5" customHeight="1" outlineLevel="1" x14ac:dyDescent="0.2">
      <c r="A1951" s="1" t="s">
        <v>2716</v>
      </c>
      <c r="B1951" s="24" t="s">
        <v>5277</v>
      </c>
      <c r="C1951" s="4" t="s">
        <v>1153</v>
      </c>
      <c r="D1951" s="4" t="s">
        <v>1154</v>
      </c>
      <c r="E1951" s="4" t="s">
        <v>1155</v>
      </c>
      <c r="F1951" s="20"/>
      <c r="G1951" s="4" t="s">
        <v>1888</v>
      </c>
      <c r="H1951" s="22">
        <v>0</v>
      </c>
      <c r="I1951" s="4">
        <v>710000000</v>
      </c>
      <c r="J1951" s="4" t="s">
        <v>1931</v>
      </c>
      <c r="K1951" s="4" t="s">
        <v>5297</v>
      </c>
      <c r="L1951" s="4" t="s">
        <v>1889</v>
      </c>
      <c r="M1951" s="8" t="s">
        <v>3195</v>
      </c>
      <c r="N1951" s="4" t="s">
        <v>1890</v>
      </c>
      <c r="O1951" s="8" t="s">
        <v>1935</v>
      </c>
      <c r="P1951" s="8">
        <v>796</v>
      </c>
      <c r="Q1951" s="8" t="s">
        <v>3196</v>
      </c>
      <c r="R1951" s="98">
        <v>1</v>
      </c>
      <c r="S1951" s="98">
        <v>4109</v>
      </c>
      <c r="T1951" s="98">
        <f t="shared" si="997"/>
        <v>4109</v>
      </c>
      <c r="U1951" s="10">
        <f t="shared" si="998"/>
        <v>4602.0800000000008</v>
      </c>
      <c r="V1951" s="1"/>
      <c r="W1951" s="1">
        <v>2015</v>
      </c>
      <c r="X1951" s="20"/>
    </row>
    <row r="1952" spans="1:24" ht="76.5" customHeight="1" outlineLevel="1" x14ac:dyDescent="0.2">
      <c r="A1952" s="1" t="s">
        <v>2717</v>
      </c>
      <c r="B1952" s="24" t="s">
        <v>5277</v>
      </c>
      <c r="C1952" s="4" t="s">
        <v>1156</v>
      </c>
      <c r="D1952" s="4" t="s">
        <v>913</v>
      </c>
      <c r="E1952" s="4" t="s">
        <v>1157</v>
      </c>
      <c r="F1952" s="20"/>
      <c r="G1952" s="4" t="s">
        <v>1888</v>
      </c>
      <c r="H1952" s="22">
        <v>0</v>
      </c>
      <c r="I1952" s="4">
        <v>710000000</v>
      </c>
      <c r="J1952" s="4" t="s">
        <v>1931</v>
      </c>
      <c r="K1952" s="4" t="s">
        <v>5297</v>
      </c>
      <c r="L1952" s="4" t="s">
        <v>1889</v>
      </c>
      <c r="M1952" s="8" t="s">
        <v>3195</v>
      </c>
      <c r="N1952" s="4" t="s">
        <v>1890</v>
      </c>
      <c r="O1952" s="8" t="s">
        <v>1935</v>
      </c>
      <c r="P1952" s="8">
        <v>796</v>
      </c>
      <c r="Q1952" s="8" t="s">
        <v>3196</v>
      </c>
      <c r="R1952" s="98">
        <v>1</v>
      </c>
      <c r="S1952" s="98">
        <v>1338</v>
      </c>
      <c r="T1952" s="98">
        <f t="shared" si="997"/>
        <v>1338</v>
      </c>
      <c r="U1952" s="10">
        <f t="shared" si="998"/>
        <v>1498.5600000000002</v>
      </c>
      <c r="V1952" s="1"/>
      <c r="W1952" s="1">
        <v>2015</v>
      </c>
      <c r="X1952" s="20"/>
    </row>
    <row r="1953" spans="1:24" ht="76.5" customHeight="1" outlineLevel="1" x14ac:dyDescent="0.2">
      <c r="A1953" s="1" t="s">
        <v>2718</v>
      </c>
      <c r="B1953" s="24" t="s">
        <v>5277</v>
      </c>
      <c r="C1953" s="4" t="s">
        <v>903</v>
      </c>
      <c r="D1953" s="4" t="s">
        <v>904</v>
      </c>
      <c r="E1953" s="4" t="s">
        <v>905</v>
      </c>
      <c r="F1953" s="20"/>
      <c r="G1953" s="4" t="s">
        <v>1888</v>
      </c>
      <c r="H1953" s="22">
        <v>0</v>
      </c>
      <c r="I1953" s="4">
        <v>710000000</v>
      </c>
      <c r="J1953" s="4" t="s">
        <v>1931</v>
      </c>
      <c r="K1953" s="4" t="s">
        <v>5297</v>
      </c>
      <c r="L1953" s="4" t="s">
        <v>1889</v>
      </c>
      <c r="M1953" s="8" t="s">
        <v>3195</v>
      </c>
      <c r="N1953" s="4" t="s">
        <v>1890</v>
      </c>
      <c r="O1953" s="8" t="s">
        <v>1935</v>
      </c>
      <c r="P1953" s="8">
        <v>796</v>
      </c>
      <c r="Q1953" s="8" t="s">
        <v>3196</v>
      </c>
      <c r="R1953" s="98">
        <v>2</v>
      </c>
      <c r="S1953" s="98">
        <v>13482</v>
      </c>
      <c r="T1953" s="98">
        <f t="shared" si="997"/>
        <v>26964</v>
      </c>
      <c r="U1953" s="10">
        <f t="shared" si="998"/>
        <v>30199.680000000004</v>
      </c>
      <c r="V1953" s="1"/>
      <c r="W1953" s="1">
        <v>2015</v>
      </c>
      <c r="X1953" s="20"/>
    </row>
    <row r="1954" spans="1:24" ht="76.5" customHeight="1" outlineLevel="1" x14ac:dyDescent="0.2">
      <c r="A1954" s="1" t="s">
        <v>2719</v>
      </c>
      <c r="B1954" s="24" t="s">
        <v>5277</v>
      </c>
      <c r="C1954" s="4" t="s">
        <v>1158</v>
      </c>
      <c r="D1954" s="4" t="s">
        <v>901</v>
      </c>
      <c r="E1954" s="4" t="s">
        <v>1159</v>
      </c>
      <c r="F1954" s="20"/>
      <c r="G1954" s="4" t="s">
        <v>1888</v>
      </c>
      <c r="H1954" s="22">
        <v>0</v>
      </c>
      <c r="I1954" s="4">
        <v>710000000</v>
      </c>
      <c r="J1954" s="4" t="s">
        <v>1931</v>
      </c>
      <c r="K1954" s="4" t="s">
        <v>5297</v>
      </c>
      <c r="L1954" s="4" t="s">
        <v>1889</v>
      </c>
      <c r="M1954" s="8" t="s">
        <v>3195</v>
      </c>
      <c r="N1954" s="4" t="s">
        <v>1890</v>
      </c>
      <c r="O1954" s="8" t="s">
        <v>1935</v>
      </c>
      <c r="P1954" s="8">
        <v>796</v>
      </c>
      <c r="Q1954" s="8" t="s">
        <v>3196</v>
      </c>
      <c r="R1954" s="98">
        <v>2</v>
      </c>
      <c r="S1954" s="98">
        <v>48150</v>
      </c>
      <c r="T1954" s="98">
        <f t="shared" si="997"/>
        <v>96300</v>
      </c>
      <c r="U1954" s="10">
        <f t="shared" si="998"/>
        <v>107856.00000000001</v>
      </c>
      <c r="V1954" s="1"/>
      <c r="W1954" s="1">
        <v>2015</v>
      </c>
      <c r="X1954" s="20"/>
    </row>
    <row r="1955" spans="1:24" ht="76.5" customHeight="1" outlineLevel="1" x14ac:dyDescent="0.2">
      <c r="A1955" s="1" t="s">
        <v>2720</v>
      </c>
      <c r="B1955" s="24" t="s">
        <v>5277</v>
      </c>
      <c r="C1955" s="4" t="s">
        <v>1160</v>
      </c>
      <c r="D1955" s="4" t="s">
        <v>3006</v>
      </c>
      <c r="E1955" s="4" t="s">
        <v>1161</v>
      </c>
      <c r="F1955" s="20"/>
      <c r="G1955" s="4" t="s">
        <v>1888</v>
      </c>
      <c r="H1955" s="22">
        <v>0</v>
      </c>
      <c r="I1955" s="4">
        <v>710000000</v>
      </c>
      <c r="J1955" s="4" t="s">
        <v>1931</v>
      </c>
      <c r="K1955" s="4" t="s">
        <v>5297</v>
      </c>
      <c r="L1955" s="4" t="s">
        <v>1889</v>
      </c>
      <c r="M1955" s="8" t="s">
        <v>3195</v>
      </c>
      <c r="N1955" s="4" t="s">
        <v>1890</v>
      </c>
      <c r="O1955" s="8" t="s">
        <v>1935</v>
      </c>
      <c r="P1955" s="8">
        <v>796</v>
      </c>
      <c r="Q1955" s="8" t="s">
        <v>3196</v>
      </c>
      <c r="R1955" s="98">
        <v>2</v>
      </c>
      <c r="S1955" s="98">
        <v>3059.71</v>
      </c>
      <c r="T1955" s="98">
        <f t="shared" si="997"/>
        <v>6119.42</v>
      </c>
      <c r="U1955" s="10">
        <f t="shared" si="998"/>
        <v>6853.7504000000008</v>
      </c>
      <c r="V1955" s="1"/>
      <c r="W1955" s="1">
        <v>2015</v>
      </c>
      <c r="X1955" s="20"/>
    </row>
    <row r="1956" spans="1:24" ht="76.5" customHeight="1" outlineLevel="1" x14ac:dyDescent="0.2">
      <c r="A1956" s="1" t="s">
        <v>2721</v>
      </c>
      <c r="B1956" s="24" t="s">
        <v>5277</v>
      </c>
      <c r="C1956" s="4" t="s">
        <v>1162</v>
      </c>
      <c r="D1956" s="4" t="s">
        <v>1163</v>
      </c>
      <c r="E1956" s="4" t="s">
        <v>1164</v>
      </c>
      <c r="F1956" s="20"/>
      <c r="G1956" s="4" t="s">
        <v>1888</v>
      </c>
      <c r="H1956" s="22">
        <v>0</v>
      </c>
      <c r="I1956" s="4">
        <v>710000000</v>
      </c>
      <c r="J1956" s="4" t="s">
        <v>1931</v>
      </c>
      <c r="K1956" s="4" t="s">
        <v>5297</v>
      </c>
      <c r="L1956" s="4" t="s">
        <v>1889</v>
      </c>
      <c r="M1956" s="8" t="s">
        <v>3195</v>
      </c>
      <c r="N1956" s="4" t="s">
        <v>1890</v>
      </c>
      <c r="O1956" s="8" t="s">
        <v>1935</v>
      </c>
      <c r="P1956" s="8">
        <v>796</v>
      </c>
      <c r="Q1956" s="8" t="s">
        <v>3196</v>
      </c>
      <c r="R1956" s="98">
        <v>3</v>
      </c>
      <c r="S1956" s="98">
        <v>32589</v>
      </c>
      <c r="T1956" s="98">
        <f t="shared" si="997"/>
        <v>97767</v>
      </c>
      <c r="U1956" s="10">
        <f t="shared" si="998"/>
        <v>109499.04000000001</v>
      </c>
      <c r="V1956" s="1"/>
      <c r="W1956" s="1">
        <v>2015</v>
      </c>
      <c r="X1956" s="20"/>
    </row>
    <row r="1957" spans="1:24" ht="76.5" customHeight="1" outlineLevel="1" x14ac:dyDescent="0.2">
      <c r="A1957" s="1" t="s">
        <v>2722</v>
      </c>
      <c r="B1957" s="24" t="s">
        <v>5277</v>
      </c>
      <c r="C1957" s="4" t="s">
        <v>1646</v>
      </c>
      <c r="D1957" s="4" t="s">
        <v>1647</v>
      </c>
      <c r="E1957" s="4" t="s">
        <v>1648</v>
      </c>
      <c r="F1957" s="15" t="s">
        <v>6105</v>
      </c>
      <c r="G1957" s="4" t="s">
        <v>3190</v>
      </c>
      <c r="H1957" s="22">
        <v>0</v>
      </c>
      <c r="I1957" s="18">
        <v>710000000</v>
      </c>
      <c r="J1957" s="4" t="s">
        <v>1931</v>
      </c>
      <c r="K1957" s="4" t="s">
        <v>5292</v>
      </c>
      <c r="L1957" s="4" t="s">
        <v>1889</v>
      </c>
      <c r="M1957" s="8" t="s">
        <v>3195</v>
      </c>
      <c r="N1957" s="4" t="s">
        <v>1890</v>
      </c>
      <c r="O1957" s="8" t="s">
        <v>1935</v>
      </c>
      <c r="P1957" s="8">
        <v>796</v>
      </c>
      <c r="Q1957" s="8" t="s">
        <v>3196</v>
      </c>
      <c r="R1957" s="98">
        <v>66</v>
      </c>
      <c r="S1957" s="98">
        <v>6300.14</v>
      </c>
      <c r="T1957" s="10">
        <f t="shared" si="997"/>
        <v>415809.24000000005</v>
      </c>
      <c r="U1957" s="10">
        <f t="shared" si="998"/>
        <v>465706.34880000009</v>
      </c>
      <c r="V1957" s="11"/>
      <c r="W1957" s="11">
        <v>2015</v>
      </c>
      <c r="X1957" s="20"/>
    </row>
    <row r="1958" spans="1:24" ht="76.5" customHeight="1" outlineLevel="1" x14ac:dyDescent="0.2">
      <c r="A1958" s="1" t="s">
        <v>2723</v>
      </c>
      <c r="B1958" s="24" t="s">
        <v>5277</v>
      </c>
      <c r="C1958" s="31" t="s">
        <v>1649</v>
      </c>
      <c r="D1958" s="31" t="s">
        <v>6104</v>
      </c>
      <c r="E1958" s="31" t="s">
        <v>1650</v>
      </c>
      <c r="F1958" s="4"/>
      <c r="G1958" s="4" t="s">
        <v>3190</v>
      </c>
      <c r="H1958" s="22">
        <v>0</v>
      </c>
      <c r="I1958" s="18">
        <v>710000000</v>
      </c>
      <c r="J1958" s="4" t="s">
        <v>1931</v>
      </c>
      <c r="K1958" s="4" t="s">
        <v>5292</v>
      </c>
      <c r="L1958" s="4" t="s">
        <v>1889</v>
      </c>
      <c r="M1958" s="8" t="s">
        <v>3195</v>
      </c>
      <c r="N1958" s="4" t="s">
        <v>1890</v>
      </c>
      <c r="O1958" s="8" t="s">
        <v>1935</v>
      </c>
      <c r="P1958" s="8">
        <v>796</v>
      </c>
      <c r="Q1958" s="8" t="s">
        <v>3196</v>
      </c>
      <c r="R1958" s="98">
        <v>24</v>
      </c>
      <c r="S1958" s="98">
        <v>179</v>
      </c>
      <c r="T1958" s="10">
        <f t="shared" si="997"/>
        <v>4296</v>
      </c>
      <c r="U1958" s="10">
        <f t="shared" si="998"/>
        <v>4811.5200000000004</v>
      </c>
      <c r="V1958" s="11"/>
      <c r="W1958" s="11">
        <v>2015</v>
      </c>
      <c r="X1958" s="20"/>
    </row>
    <row r="1959" spans="1:24" ht="76.5" customHeight="1" outlineLevel="1" x14ac:dyDescent="0.2">
      <c r="A1959" s="1" t="s">
        <v>2724</v>
      </c>
      <c r="B1959" s="24" t="s">
        <v>5277</v>
      </c>
      <c r="C1959" s="4" t="s">
        <v>1651</v>
      </c>
      <c r="D1959" s="4" t="s">
        <v>1652</v>
      </c>
      <c r="E1959" s="4" t="s">
        <v>1653</v>
      </c>
      <c r="F1959" s="15"/>
      <c r="G1959" s="4" t="s">
        <v>3190</v>
      </c>
      <c r="H1959" s="22">
        <v>0</v>
      </c>
      <c r="I1959" s="18">
        <v>710000000</v>
      </c>
      <c r="J1959" s="4" t="s">
        <v>1931</v>
      </c>
      <c r="K1959" s="4" t="s">
        <v>5292</v>
      </c>
      <c r="L1959" s="4" t="s">
        <v>1889</v>
      </c>
      <c r="M1959" s="8" t="s">
        <v>3195</v>
      </c>
      <c r="N1959" s="4" t="s">
        <v>1890</v>
      </c>
      <c r="O1959" s="8" t="s">
        <v>1935</v>
      </c>
      <c r="P1959" s="8">
        <v>796</v>
      </c>
      <c r="Q1959" s="8" t="s">
        <v>3196</v>
      </c>
      <c r="R1959" s="98">
        <v>3</v>
      </c>
      <c r="S1959" s="98">
        <v>24107</v>
      </c>
      <c r="T1959" s="10">
        <f t="shared" si="997"/>
        <v>72321</v>
      </c>
      <c r="U1959" s="10">
        <f t="shared" si="998"/>
        <v>80999.520000000004</v>
      </c>
      <c r="V1959" s="11"/>
      <c r="W1959" s="11">
        <v>2015</v>
      </c>
      <c r="X1959" s="20"/>
    </row>
    <row r="1960" spans="1:24" ht="76.5" customHeight="1" outlineLevel="1" x14ac:dyDescent="0.2">
      <c r="A1960" s="1" t="s">
        <v>2725</v>
      </c>
      <c r="B1960" s="24" t="s">
        <v>5277</v>
      </c>
      <c r="C1960" s="4" t="s">
        <v>1654</v>
      </c>
      <c r="D1960" s="4" t="s">
        <v>1652</v>
      </c>
      <c r="E1960" s="4" t="s">
        <v>1655</v>
      </c>
      <c r="F1960" s="15"/>
      <c r="G1960" s="4" t="s">
        <v>3190</v>
      </c>
      <c r="H1960" s="22">
        <v>0</v>
      </c>
      <c r="I1960" s="18">
        <v>710000000</v>
      </c>
      <c r="J1960" s="4" t="s">
        <v>1931</v>
      </c>
      <c r="K1960" s="4" t="s">
        <v>5292</v>
      </c>
      <c r="L1960" s="4" t="s">
        <v>1889</v>
      </c>
      <c r="M1960" s="8" t="s">
        <v>3195</v>
      </c>
      <c r="N1960" s="4" t="s">
        <v>1890</v>
      </c>
      <c r="O1960" s="8" t="s">
        <v>1935</v>
      </c>
      <c r="P1960" s="8">
        <v>796</v>
      </c>
      <c r="Q1960" s="8" t="s">
        <v>3196</v>
      </c>
      <c r="R1960" s="98">
        <v>15</v>
      </c>
      <c r="S1960" s="98">
        <v>1428.6</v>
      </c>
      <c r="T1960" s="10">
        <f t="shared" si="997"/>
        <v>21429</v>
      </c>
      <c r="U1960" s="10">
        <f t="shared" si="998"/>
        <v>24000.480000000003</v>
      </c>
      <c r="V1960" s="11"/>
      <c r="W1960" s="11">
        <v>2015</v>
      </c>
      <c r="X1960" s="20"/>
    </row>
    <row r="1961" spans="1:24" ht="89.25" customHeight="1" outlineLevel="1" x14ac:dyDescent="0.2">
      <c r="A1961" s="1" t="s">
        <v>2726</v>
      </c>
      <c r="B1961" s="24" t="s">
        <v>5277</v>
      </c>
      <c r="C1961" s="4" t="s">
        <v>3857</v>
      </c>
      <c r="D1961" s="4" t="s">
        <v>3876</v>
      </c>
      <c r="E1961" s="4" t="s">
        <v>6114</v>
      </c>
      <c r="F1961" s="4" t="s">
        <v>1656</v>
      </c>
      <c r="G1961" s="4" t="s">
        <v>3190</v>
      </c>
      <c r="H1961" s="22">
        <v>0</v>
      </c>
      <c r="I1961" s="18">
        <v>710000000</v>
      </c>
      <c r="J1961" s="4" t="s">
        <v>1931</v>
      </c>
      <c r="K1961" s="4" t="s">
        <v>5292</v>
      </c>
      <c r="L1961" s="4" t="s">
        <v>1889</v>
      </c>
      <c r="M1961" s="8" t="s">
        <v>3195</v>
      </c>
      <c r="N1961" s="4" t="s">
        <v>1890</v>
      </c>
      <c r="O1961" s="8" t="s">
        <v>1935</v>
      </c>
      <c r="P1961" s="8">
        <v>796</v>
      </c>
      <c r="Q1961" s="8" t="s">
        <v>3196</v>
      </c>
      <c r="R1961" s="98">
        <v>12</v>
      </c>
      <c r="S1961" s="98">
        <v>327</v>
      </c>
      <c r="T1961" s="10">
        <f t="shared" si="997"/>
        <v>3924</v>
      </c>
      <c r="U1961" s="10">
        <f t="shared" si="998"/>
        <v>4394.88</v>
      </c>
      <c r="V1961" s="11"/>
      <c r="W1961" s="11">
        <v>2015</v>
      </c>
      <c r="X1961" s="20"/>
    </row>
    <row r="1962" spans="1:24" ht="89.25" customHeight="1" outlineLevel="1" x14ac:dyDescent="0.2">
      <c r="A1962" s="1" t="s">
        <v>2727</v>
      </c>
      <c r="B1962" s="24" t="s">
        <v>5277</v>
      </c>
      <c r="C1962" s="4" t="s">
        <v>3857</v>
      </c>
      <c r="D1962" s="4" t="s">
        <v>3876</v>
      </c>
      <c r="E1962" s="4" t="s">
        <v>6114</v>
      </c>
      <c r="F1962" s="4" t="s">
        <v>1657</v>
      </c>
      <c r="G1962" s="4" t="s">
        <v>3190</v>
      </c>
      <c r="H1962" s="22">
        <v>0</v>
      </c>
      <c r="I1962" s="18">
        <v>710000000</v>
      </c>
      <c r="J1962" s="4" t="s">
        <v>1931</v>
      </c>
      <c r="K1962" s="4" t="s">
        <v>5292</v>
      </c>
      <c r="L1962" s="4" t="s">
        <v>1889</v>
      </c>
      <c r="M1962" s="8" t="s">
        <v>3195</v>
      </c>
      <c r="N1962" s="4" t="s">
        <v>1890</v>
      </c>
      <c r="O1962" s="8" t="s">
        <v>1935</v>
      </c>
      <c r="P1962" s="8">
        <v>796</v>
      </c>
      <c r="Q1962" s="8" t="s">
        <v>3196</v>
      </c>
      <c r="R1962" s="98">
        <v>12</v>
      </c>
      <c r="S1962" s="98">
        <v>371</v>
      </c>
      <c r="T1962" s="10">
        <f t="shared" si="997"/>
        <v>4452</v>
      </c>
      <c r="U1962" s="10">
        <f t="shared" si="998"/>
        <v>4986.2400000000007</v>
      </c>
      <c r="V1962" s="11"/>
      <c r="W1962" s="11">
        <v>2015</v>
      </c>
      <c r="X1962" s="20"/>
    </row>
    <row r="1963" spans="1:24" ht="89.25" customHeight="1" outlineLevel="1" x14ac:dyDescent="0.2">
      <c r="A1963" s="1" t="s">
        <v>2728</v>
      </c>
      <c r="B1963" s="24" t="s">
        <v>5277</v>
      </c>
      <c r="C1963" s="4" t="s">
        <v>3857</v>
      </c>
      <c r="D1963" s="4" t="s">
        <v>3876</v>
      </c>
      <c r="E1963" s="4" t="s">
        <v>6114</v>
      </c>
      <c r="F1963" s="4" t="s">
        <v>1658</v>
      </c>
      <c r="G1963" s="4" t="s">
        <v>3190</v>
      </c>
      <c r="H1963" s="22">
        <v>0</v>
      </c>
      <c r="I1963" s="18">
        <v>710000000</v>
      </c>
      <c r="J1963" s="4" t="s">
        <v>1931</v>
      </c>
      <c r="K1963" s="4" t="s">
        <v>5292</v>
      </c>
      <c r="L1963" s="4" t="s">
        <v>1889</v>
      </c>
      <c r="M1963" s="8" t="s">
        <v>3195</v>
      </c>
      <c r="N1963" s="4" t="s">
        <v>1890</v>
      </c>
      <c r="O1963" s="8" t="s">
        <v>1935</v>
      </c>
      <c r="P1963" s="8">
        <v>796</v>
      </c>
      <c r="Q1963" s="8" t="s">
        <v>3196</v>
      </c>
      <c r="R1963" s="98">
        <v>12</v>
      </c>
      <c r="S1963" s="98">
        <v>342</v>
      </c>
      <c r="T1963" s="10">
        <f t="shared" si="997"/>
        <v>4104</v>
      </c>
      <c r="U1963" s="10">
        <f t="shared" si="998"/>
        <v>4596.4800000000005</v>
      </c>
      <c r="V1963" s="11"/>
      <c r="W1963" s="11">
        <v>2015</v>
      </c>
      <c r="X1963" s="20"/>
    </row>
    <row r="1964" spans="1:24" ht="76.5" customHeight="1" outlineLevel="1" x14ac:dyDescent="0.2">
      <c r="A1964" s="1" t="s">
        <v>2729</v>
      </c>
      <c r="B1964" s="24" t="s">
        <v>5277</v>
      </c>
      <c r="C1964" s="4" t="s">
        <v>3859</v>
      </c>
      <c r="D1964" s="4" t="s">
        <v>6110</v>
      </c>
      <c r="E1964" s="4" t="s">
        <v>6111</v>
      </c>
      <c r="F1964" s="15"/>
      <c r="G1964" s="4" t="s">
        <v>3190</v>
      </c>
      <c r="H1964" s="22">
        <v>0</v>
      </c>
      <c r="I1964" s="18">
        <v>710000000</v>
      </c>
      <c r="J1964" s="4" t="s">
        <v>1931</v>
      </c>
      <c r="K1964" s="4" t="s">
        <v>5292</v>
      </c>
      <c r="L1964" s="4" t="s">
        <v>1889</v>
      </c>
      <c r="M1964" s="8" t="s">
        <v>3195</v>
      </c>
      <c r="N1964" s="4" t="s">
        <v>1890</v>
      </c>
      <c r="O1964" s="8" t="s">
        <v>1935</v>
      </c>
      <c r="P1964" s="8">
        <v>796</v>
      </c>
      <c r="Q1964" s="8" t="s">
        <v>3196</v>
      </c>
      <c r="R1964" s="98">
        <v>2000</v>
      </c>
      <c r="S1964" s="98">
        <v>8.93</v>
      </c>
      <c r="T1964" s="10">
        <f t="shared" si="997"/>
        <v>17860</v>
      </c>
      <c r="U1964" s="10">
        <f t="shared" si="998"/>
        <v>20003.2</v>
      </c>
      <c r="V1964" s="11"/>
      <c r="W1964" s="11">
        <v>2015</v>
      </c>
      <c r="X1964" s="20"/>
    </row>
    <row r="1965" spans="1:24" ht="76.5" customHeight="1" outlineLevel="1" x14ac:dyDescent="0.2">
      <c r="A1965" s="1" t="s">
        <v>2730</v>
      </c>
      <c r="B1965" s="24" t="s">
        <v>5277</v>
      </c>
      <c r="C1965" s="4" t="s">
        <v>3866</v>
      </c>
      <c r="D1965" s="4" t="s">
        <v>3865</v>
      </c>
      <c r="E1965" s="4" t="s">
        <v>6100</v>
      </c>
      <c r="F1965" s="15" t="s">
        <v>6101</v>
      </c>
      <c r="G1965" s="4" t="s">
        <v>3190</v>
      </c>
      <c r="H1965" s="22">
        <v>0</v>
      </c>
      <c r="I1965" s="18">
        <v>710000000</v>
      </c>
      <c r="J1965" s="4" t="s">
        <v>1931</v>
      </c>
      <c r="K1965" s="4" t="s">
        <v>5292</v>
      </c>
      <c r="L1965" s="4" t="s">
        <v>1889</v>
      </c>
      <c r="M1965" s="8" t="s">
        <v>3195</v>
      </c>
      <c r="N1965" s="4" t="s">
        <v>1890</v>
      </c>
      <c r="O1965" s="8" t="s">
        <v>1935</v>
      </c>
      <c r="P1965" s="8">
        <v>796</v>
      </c>
      <c r="Q1965" s="8" t="s">
        <v>3196</v>
      </c>
      <c r="R1965" s="98">
        <v>10</v>
      </c>
      <c r="S1965" s="98">
        <v>1339.3</v>
      </c>
      <c r="T1965" s="10">
        <f t="shared" si="997"/>
        <v>13393</v>
      </c>
      <c r="U1965" s="10">
        <f t="shared" si="998"/>
        <v>15000.160000000002</v>
      </c>
      <c r="V1965" s="11"/>
      <c r="W1965" s="11">
        <v>2015</v>
      </c>
      <c r="X1965" s="20"/>
    </row>
    <row r="1966" spans="1:24" ht="76.5" customHeight="1" outlineLevel="1" x14ac:dyDescent="0.2">
      <c r="A1966" s="1" t="s">
        <v>2731</v>
      </c>
      <c r="B1966" s="24" t="s">
        <v>5277</v>
      </c>
      <c r="C1966" s="4" t="s">
        <v>1659</v>
      </c>
      <c r="D1966" s="4" t="s">
        <v>1695</v>
      </c>
      <c r="E1966" s="4" t="s">
        <v>1660</v>
      </c>
      <c r="F1966" s="15" t="s">
        <v>1661</v>
      </c>
      <c r="G1966" s="4" t="s">
        <v>3190</v>
      </c>
      <c r="H1966" s="22">
        <v>0</v>
      </c>
      <c r="I1966" s="18">
        <v>710000000</v>
      </c>
      <c r="J1966" s="4" t="s">
        <v>1931</v>
      </c>
      <c r="K1966" s="4" t="s">
        <v>5292</v>
      </c>
      <c r="L1966" s="4" t="s">
        <v>1889</v>
      </c>
      <c r="M1966" s="8" t="s">
        <v>3195</v>
      </c>
      <c r="N1966" s="4" t="s">
        <v>1890</v>
      </c>
      <c r="O1966" s="8" t="s">
        <v>1935</v>
      </c>
      <c r="P1966" s="27" t="s">
        <v>3010</v>
      </c>
      <c r="Q1966" s="4" t="s">
        <v>5142</v>
      </c>
      <c r="R1966" s="98">
        <v>12</v>
      </c>
      <c r="S1966" s="98">
        <v>2411</v>
      </c>
      <c r="T1966" s="10">
        <f t="shared" si="997"/>
        <v>28932</v>
      </c>
      <c r="U1966" s="10">
        <f t="shared" si="998"/>
        <v>32403.840000000004</v>
      </c>
      <c r="V1966" s="11"/>
      <c r="W1966" s="11">
        <v>2015</v>
      </c>
      <c r="X1966" s="20"/>
    </row>
    <row r="1967" spans="1:24" ht="76.5" customHeight="1" outlineLevel="1" x14ac:dyDescent="0.2">
      <c r="A1967" s="1" t="s">
        <v>2732</v>
      </c>
      <c r="B1967" s="24" t="s">
        <v>5277</v>
      </c>
      <c r="C1967" s="4" t="s">
        <v>1662</v>
      </c>
      <c r="D1967" s="4" t="s">
        <v>1663</v>
      </c>
      <c r="E1967" s="4" t="s">
        <v>1664</v>
      </c>
      <c r="F1967" s="15"/>
      <c r="G1967" s="4" t="s">
        <v>3190</v>
      </c>
      <c r="H1967" s="22">
        <v>0</v>
      </c>
      <c r="I1967" s="18">
        <v>710000000</v>
      </c>
      <c r="J1967" s="4" t="s">
        <v>1931</v>
      </c>
      <c r="K1967" s="4" t="s">
        <v>5292</v>
      </c>
      <c r="L1967" s="4" t="s">
        <v>1889</v>
      </c>
      <c r="M1967" s="8" t="s">
        <v>3195</v>
      </c>
      <c r="N1967" s="4" t="s">
        <v>1890</v>
      </c>
      <c r="O1967" s="8" t="s">
        <v>1935</v>
      </c>
      <c r="P1967" s="8">
        <v>796</v>
      </c>
      <c r="Q1967" s="8" t="s">
        <v>3196</v>
      </c>
      <c r="R1967" s="98">
        <v>6</v>
      </c>
      <c r="S1967" s="98">
        <v>536</v>
      </c>
      <c r="T1967" s="10">
        <f t="shared" si="997"/>
        <v>3216</v>
      </c>
      <c r="U1967" s="10">
        <f t="shared" si="998"/>
        <v>3601.9200000000005</v>
      </c>
      <c r="V1967" s="11"/>
      <c r="W1967" s="11">
        <v>2015</v>
      </c>
      <c r="X1967" s="20"/>
    </row>
    <row r="1968" spans="1:24" ht="76.5" customHeight="1" outlineLevel="1" x14ac:dyDescent="0.2">
      <c r="A1968" s="1" t="s">
        <v>2733</v>
      </c>
      <c r="B1968" s="24" t="s">
        <v>5277</v>
      </c>
      <c r="C1968" s="4" t="s">
        <v>1665</v>
      </c>
      <c r="D1968" s="4" t="s">
        <v>1666</v>
      </c>
      <c r="E1968" s="4" t="s">
        <v>1667</v>
      </c>
      <c r="F1968" s="15"/>
      <c r="G1968" s="4" t="s">
        <v>3190</v>
      </c>
      <c r="H1968" s="22">
        <v>0</v>
      </c>
      <c r="I1968" s="18">
        <v>710000000</v>
      </c>
      <c r="J1968" s="4" t="s">
        <v>1931</v>
      </c>
      <c r="K1968" s="4" t="s">
        <v>5292</v>
      </c>
      <c r="L1968" s="4" t="s">
        <v>1889</v>
      </c>
      <c r="M1968" s="8" t="s">
        <v>3195</v>
      </c>
      <c r="N1968" s="4" t="s">
        <v>1890</v>
      </c>
      <c r="O1968" s="8" t="s">
        <v>1935</v>
      </c>
      <c r="P1968" s="8">
        <v>796</v>
      </c>
      <c r="Q1968" s="8" t="s">
        <v>3196</v>
      </c>
      <c r="R1968" s="98">
        <v>10</v>
      </c>
      <c r="S1968" s="98">
        <v>1339.3</v>
      </c>
      <c r="T1968" s="10">
        <f t="shared" si="997"/>
        <v>13393</v>
      </c>
      <c r="U1968" s="10">
        <f t="shared" si="998"/>
        <v>15000.160000000002</v>
      </c>
      <c r="V1968" s="11"/>
      <c r="W1968" s="11">
        <v>2015</v>
      </c>
      <c r="X1968" s="20"/>
    </row>
    <row r="1969" spans="1:24" ht="76.5" customHeight="1" outlineLevel="1" x14ac:dyDescent="0.2">
      <c r="A1969" s="1" t="s">
        <v>2734</v>
      </c>
      <c r="B1969" s="24" t="s">
        <v>5277</v>
      </c>
      <c r="C1969" s="4" t="s">
        <v>3860</v>
      </c>
      <c r="D1969" s="4" t="s">
        <v>6108</v>
      </c>
      <c r="E1969" s="4" t="s">
        <v>6109</v>
      </c>
      <c r="F1969" s="4"/>
      <c r="G1969" s="4" t="s">
        <v>3190</v>
      </c>
      <c r="H1969" s="22">
        <v>0</v>
      </c>
      <c r="I1969" s="18">
        <v>710000000</v>
      </c>
      <c r="J1969" s="4" t="s">
        <v>1931</v>
      </c>
      <c r="K1969" s="4" t="s">
        <v>5292</v>
      </c>
      <c r="L1969" s="4" t="s">
        <v>1889</v>
      </c>
      <c r="M1969" s="8" t="s">
        <v>3195</v>
      </c>
      <c r="N1969" s="4" t="s">
        <v>1890</v>
      </c>
      <c r="O1969" s="8" t="s">
        <v>1935</v>
      </c>
      <c r="P1969" s="8">
        <v>796</v>
      </c>
      <c r="Q1969" s="8" t="s">
        <v>3196</v>
      </c>
      <c r="R1969" s="98">
        <v>2000</v>
      </c>
      <c r="S1969" s="98">
        <v>8.93</v>
      </c>
      <c r="T1969" s="10">
        <f t="shared" si="997"/>
        <v>17860</v>
      </c>
      <c r="U1969" s="10">
        <f t="shared" si="998"/>
        <v>20003.2</v>
      </c>
      <c r="V1969" s="11"/>
      <c r="W1969" s="11">
        <v>2015</v>
      </c>
      <c r="X1969" s="20"/>
    </row>
    <row r="1970" spans="1:24" ht="76.5" customHeight="1" outlineLevel="1" x14ac:dyDescent="0.2">
      <c r="A1970" s="1" t="s">
        <v>3657</v>
      </c>
      <c r="B1970" s="24" t="s">
        <v>5277</v>
      </c>
      <c r="C1970" s="4" t="s">
        <v>3871</v>
      </c>
      <c r="D1970" s="4" t="s">
        <v>6093</v>
      </c>
      <c r="E1970" s="4" t="s">
        <v>6094</v>
      </c>
      <c r="F1970" s="15"/>
      <c r="G1970" s="4" t="s">
        <v>3190</v>
      </c>
      <c r="H1970" s="22">
        <v>0</v>
      </c>
      <c r="I1970" s="18">
        <v>710000000</v>
      </c>
      <c r="J1970" s="4" t="s">
        <v>1931</v>
      </c>
      <c r="K1970" s="4" t="s">
        <v>5292</v>
      </c>
      <c r="L1970" s="4" t="s">
        <v>1889</v>
      </c>
      <c r="M1970" s="8" t="s">
        <v>3195</v>
      </c>
      <c r="N1970" s="4" t="s">
        <v>1890</v>
      </c>
      <c r="O1970" s="8" t="s">
        <v>1935</v>
      </c>
      <c r="P1970" s="8">
        <v>796</v>
      </c>
      <c r="Q1970" s="8" t="s">
        <v>3196</v>
      </c>
      <c r="R1970" s="98">
        <v>3</v>
      </c>
      <c r="S1970" s="98">
        <v>580.33000000000004</v>
      </c>
      <c r="T1970" s="10">
        <f t="shared" si="997"/>
        <v>1740.9900000000002</v>
      </c>
      <c r="U1970" s="10">
        <f t="shared" si="998"/>
        <v>1949.9088000000004</v>
      </c>
      <c r="V1970" s="11"/>
      <c r="W1970" s="11">
        <v>2015</v>
      </c>
      <c r="X1970" s="20"/>
    </row>
    <row r="1971" spans="1:24" ht="76.5" customHeight="1" outlineLevel="1" x14ac:dyDescent="0.2">
      <c r="A1971" s="1" t="s">
        <v>3658</v>
      </c>
      <c r="B1971" s="24" t="s">
        <v>5277</v>
      </c>
      <c r="C1971" s="4" t="s">
        <v>3870</v>
      </c>
      <c r="D1971" s="4" t="s">
        <v>5189</v>
      </c>
      <c r="E1971" s="4" t="s">
        <v>6095</v>
      </c>
      <c r="F1971" s="4" t="s">
        <v>1668</v>
      </c>
      <c r="G1971" s="4" t="s">
        <v>3190</v>
      </c>
      <c r="H1971" s="22">
        <v>0</v>
      </c>
      <c r="I1971" s="18">
        <v>710000000</v>
      </c>
      <c r="J1971" s="4" t="s">
        <v>1931</v>
      </c>
      <c r="K1971" s="4" t="s">
        <v>5292</v>
      </c>
      <c r="L1971" s="4" t="s">
        <v>1889</v>
      </c>
      <c r="M1971" s="8" t="s">
        <v>3195</v>
      </c>
      <c r="N1971" s="4" t="s">
        <v>1890</v>
      </c>
      <c r="O1971" s="8" t="s">
        <v>1935</v>
      </c>
      <c r="P1971" s="8">
        <v>796</v>
      </c>
      <c r="Q1971" s="8" t="s">
        <v>3196</v>
      </c>
      <c r="R1971" s="98">
        <v>11</v>
      </c>
      <c r="S1971" s="98">
        <v>625</v>
      </c>
      <c r="T1971" s="10">
        <f t="shared" si="997"/>
        <v>6875</v>
      </c>
      <c r="U1971" s="10">
        <f t="shared" si="998"/>
        <v>7700.0000000000009</v>
      </c>
      <c r="V1971" s="11"/>
      <c r="W1971" s="11">
        <v>2015</v>
      </c>
      <c r="X1971" s="20"/>
    </row>
    <row r="1972" spans="1:24" ht="76.5" customHeight="1" outlineLevel="1" x14ac:dyDescent="0.2">
      <c r="A1972" s="1" t="s">
        <v>3659</v>
      </c>
      <c r="B1972" s="24" t="s">
        <v>5277</v>
      </c>
      <c r="C1972" s="4" t="s">
        <v>3870</v>
      </c>
      <c r="D1972" s="4" t="s">
        <v>5189</v>
      </c>
      <c r="E1972" s="4" t="s">
        <v>6095</v>
      </c>
      <c r="F1972" s="4" t="s">
        <v>1669</v>
      </c>
      <c r="G1972" s="4" t="s">
        <v>3190</v>
      </c>
      <c r="H1972" s="22">
        <v>0</v>
      </c>
      <c r="I1972" s="18">
        <v>710000000</v>
      </c>
      <c r="J1972" s="4" t="s">
        <v>1931</v>
      </c>
      <c r="K1972" s="4" t="s">
        <v>5292</v>
      </c>
      <c r="L1972" s="4" t="s">
        <v>1889</v>
      </c>
      <c r="M1972" s="8" t="s">
        <v>3195</v>
      </c>
      <c r="N1972" s="4" t="s">
        <v>1890</v>
      </c>
      <c r="O1972" s="8" t="s">
        <v>1935</v>
      </c>
      <c r="P1972" s="8">
        <v>796</v>
      </c>
      <c r="Q1972" s="8" t="s">
        <v>3196</v>
      </c>
      <c r="R1972" s="98">
        <v>6</v>
      </c>
      <c r="S1972" s="98">
        <v>223</v>
      </c>
      <c r="T1972" s="10">
        <f t="shared" si="997"/>
        <v>1338</v>
      </c>
      <c r="U1972" s="10">
        <f t="shared" si="998"/>
        <v>1498.5600000000002</v>
      </c>
      <c r="V1972" s="11"/>
      <c r="W1972" s="11">
        <v>2015</v>
      </c>
      <c r="X1972" s="20"/>
    </row>
    <row r="1973" spans="1:24" ht="76.5" customHeight="1" outlineLevel="1" x14ac:dyDescent="0.2">
      <c r="A1973" s="1" t="s">
        <v>3660</v>
      </c>
      <c r="B1973" s="24" t="s">
        <v>5277</v>
      </c>
      <c r="C1973" s="4" t="s">
        <v>3868</v>
      </c>
      <c r="D1973" s="4" t="s">
        <v>6473</v>
      </c>
      <c r="E1973" s="4" t="s">
        <v>6474</v>
      </c>
      <c r="F1973" s="4" t="s">
        <v>6098</v>
      </c>
      <c r="G1973" s="4" t="s">
        <v>3190</v>
      </c>
      <c r="H1973" s="22">
        <v>0</v>
      </c>
      <c r="I1973" s="18">
        <v>710000000</v>
      </c>
      <c r="J1973" s="4" t="s">
        <v>1931</v>
      </c>
      <c r="K1973" s="4" t="s">
        <v>5292</v>
      </c>
      <c r="L1973" s="4" t="s">
        <v>1889</v>
      </c>
      <c r="M1973" s="8" t="s">
        <v>3195</v>
      </c>
      <c r="N1973" s="4" t="s">
        <v>1890</v>
      </c>
      <c r="O1973" s="8" t="s">
        <v>1935</v>
      </c>
      <c r="P1973" s="8">
        <v>796</v>
      </c>
      <c r="Q1973" s="8" t="s">
        <v>3196</v>
      </c>
      <c r="R1973" s="98">
        <v>11</v>
      </c>
      <c r="S1973" s="98">
        <v>1615</v>
      </c>
      <c r="T1973" s="10">
        <f t="shared" si="997"/>
        <v>17765</v>
      </c>
      <c r="U1973" s="10">
        <f t="shared" si="998"/>
        <v>19896.800000000003</v>
      </c>
      <c r="V1973" s="11"/>
      <c r="W1973" s="11">
        <v>2015</v>
      </c>
      <c r="X1973" s="20"/>
    </row>
    <row r="1974" spans="1:24" ht="76.5" customHeight="1" outlineLevel="1" x14ac:dyDescent="0.2">
      <c r="A1974" s="1" t="s">
        <v>3661</v>
      </c>
      <c r="B1974" s="24" t="s">
        <v>5277</v>
      </c>
      <c r="C1974" s="4" t="s">
        <v>3864</v>
      </c>
      <c r="D1974" s="4" t="s">
        <v>6102</v>
      </c>
      <c r="E1974" s="4" t="s">
        <v>6103</v>
      </c>
      <c r="F1974" s="4"/>
      <c r="G1974" s="4" t="s">
        <v>3190</v>
      </c>
      <c r="H1974" s="22">
        <v>0</v>
      </c>
      <c r="I1974" s="18">
        <v>710000000</v>
      </c>
      <c r="J1974" s="4" t="s">
        <v>1931</v>
      </c>
      <c r="K1974" s="4" t="s">
        <v>5292</v>
      </c>
      <c r="L1974" s="4" t="s">
        <v>1889</v>
      </c>
      <c r="M1974" s="8" t="s">
        <v>3195</v>
      </c>
      <c r="N1974" s="4" t="s">
        <v>1890</v>
      </c>
      <c r="O1974" s="8" t="s">
        <v>1935</v>
      </c>
      <c r="P1974" s="8">
        <v>796</v>
      </c>
      <c r="Q1974" s="8" t="s">
        <v>3196</v>
      </c>
      <c r="R1974" s="98">
        <v>262</v>
      </c>
      <c r="S1974" s="98">
        <v>223.21</v>
      </c>
      <c r="T1974" s="10">
        <f t="shared" si="997"/>
        <v>58481.020000000004</v>
      </c>
      <c r="U1974" s="10">
        <f t="shared" si="998"/>
        <v>65498.74240000001</v>
      </c>
      <c r="V1974" s="11"/>
      <c r="W1974" s="11">
        <v>2015</v>
      </c>
      <c r="X1974" s="20"/>
    </row>
    <row r="1975" spans="1:24" ht="76.5" customHeight="1" outlineLevel="1" x14ac:dyDescent="0.2">
      <c r="A1975" s="1" t="s">
        <v>3662</v>
      </c>
      <c r="B1975" s="24" t="s">
        <v>5277</v>
      </c>
      <c r="C1975" s="4" t="s">
        <v>3872</v>
      </c>
      <c r="D1975" s="4" t="s">
        <v>6091</v>
      </c>
      <c r="E1975" s="4" t="s">
        <v>6092</v>
      </c>
      <c r="F1975" s="4"/>
      <c r="G1975" s="4" t="s">
        <v>3190</v>
      </c>
      <c r="H1975" s="22">
        <v>0</v>
      </c>
      <c r="I1975" s="18">
        <v>710000000</v>
      </c>
      <c r="J1975" s="4" t="s">
        <v>1931</v>
      </c>
      <c r="K1975" s="4" t="s">
        <v>5292</v>
      </c>
      <c r="L1975" s="4" t="s">
        <v>1889</v>
      </c>
      <c r="M1975" s="8" t="s">
        <v>3195</v>
      </c>
      <c r="N1975" s="4" t="s">
        <v>1890</v>
      </c>
      <c r="O1975" s="8" t="s">
        <v>1935</v>
      </c>
      <c r="P1975" s="8">
        <v>796</v>
      </c>
      <c r="Q1975" s="8" t="s">
        <v>3196</v>
      </c>
      <c r="R1975" s="98">
        <v>300</v>
      </c>
      <c r="S1975" s="98">
        <v>892.26</v>
      </c>
      <c r="T1975" s="10">
        <f t="shared" si="997"/>
        <v>267678</v>
      </c>
      <c r="U1975" s="10">
        <f t="shared" si="998"/>
        <v>299799.36000000004</v>
      </c>
      <c r="V1975" s="11"/>
      <c r="W1975" s="11">
        <v>2015</v>
      </c>
      <c r="X1975" s="20"/>
    </row>
    <row r="1976" spans="1:24" ht="76.5" customHeight="1" outlineLevel="1" x14ac:dyDescent="0.2">
      <c r="A1976" s="1" t="s">
        <v>3663</v>
      </c>
      <c r="B1976" s="24" t="s">
        <v>5277</v>
      </c>
      <c r="C1976" s="4" t="s">
        <v>3867</v>
      </c>
      <c r="D1976" s="4" t="s">
        <v>6085</v>
      </c>
      <c r="E1976" s="4" t="s">
        <v>6099</v>
      </c>
      <c r="F1976" s="4" t="s">
        <v>1670</v>
      </c>
      <c r="G1976" s="4" t="s">
        <v>3190</v>
      </c>
      <c r="H1976" s="22">
        <v>0</v>
      </c>
      <c r="I1976" s="18">
        <v>710000000</v>
      </c>
      <c r="J1976" s="4" t="s">
        <v>1931</v>
      </c>
      <c r="K1976" s="4" t="s">
        <v>5292</v>
      </c>
      <c r="L1976" s="4" t="s">
        <v>1889</v>
      </c>
      <c r="M1976" s="8" t="s">
        <v>3195</v>
      </c>
      <c r="N1976" s="4" t="s">
        <v>1890</v>
      </c>
      <c r="O1976" s="8" t="s">
        <v>1935</v>
      </c>
      <c r="P1976" s="8">
        <v>796</v>
      </c>
      <c r="Q1976" s="8" t="s">
        <v>3196</v>
      </c>
      <c r="R1976" s="98">
        <v>1</v>
      </c>
      <c r="S1976" s="98">
        <v>6964</v>
      </c>
      <c r="T1976" s="10">
        <f t="shared" si="997"/>
        <v>6964</v>
      </c>
      <c r="U1976" s="10">
        <f t="shared" si="998"/>
        <v>7799.68</v>
      </c>
      <c r="V1976" s="11"/>
      <c r="W1976" s="11">
        <v>2015</v>
      </c>
      <c r="X1976" s="20"/>
    </row>
    <row r="1977" spans="1:24" ht="89.25" customHeight="1" outlineLevel="1" x14ac:dyDescent="0.2">
      <c r="A1977" s="1" t="s">
        <v>3664</v>
      </c>
      <c r="B1977" s="24" t="s">
        <v>5277</v>
      </c>
      <c r="C1977" s="4" t="s">
        <v>3875</v>
      </c>
      <c r="D1977" s="4" t="s">
        <v>3861</v>
      </c>
      <c r="E1977" s="4" t="s">
        <v>6083</v>
      </c>
      <c r="F1977" s="4" t="s">
        <v>6084</v>
      </c>
      <c r="G1977" s="4" t="s">
        <v>3190</v>
      </c>
      <c r="H1977" s="22">
        <v>0</v>
      </c>
      <c r="I1977" s="18">
        <v>710000000</v>
      </c>
      <c r="J1977" s="4" t="s">
        <v>1931</v>
      </c>
      <c r="K1977" s="4" t="s">
        <v>5292</v>
      </c>
      <c r="L1977" s="4" t="s">
        <v>1889</v>
      </c>
      <c r="M1977" s="8" t="s">
        <v>3195</v>
      </c>
      <c r="N1977" s="4" t="s">
        <v>1890</v>
      </c>
      <c r="O1977" s="8" t="s">
        <v>1935</v>
      </c>
      <c r="P1977" s="8">
        <v>796</v>
      </c>
      <c r="Q1977" s="8" t="s">
        <v>3196</v>
      </c>
      <c r="R1977" s="98">
        <v>12</v>
      </c>
      <c r="S1977" s="98">
        <v>268</v>
      </c>
      <c r="T1977" s="10">
        <f t="shared" si="997"/>
        <v>3216</v>
      </c>
      <c r="U1977" s="10">
        <f t="shared" si="998"/>
        <v>3601.9200000000005</v>
      </c>
      <c r="V1977" s="11"/>
      <c r="W1977" s="11">
        <v>2015</v>
      </c>
      <c r="X1977" s="20"/>
    </row>
    <row r="1978" spans="1:24" ht="76.5" customHeight="1" outlineLevel="1" x14ac:dyDescent="0.2">
      <c r="A1978" s="1" t="s">
        <v>3665</v>
      </c>
      <c r="B1978" s="24" t="s">
        <v>5277</v>
      </c>
      <c r="C1978" s="4" t="s">
        <v>3862</v>
      </c>
      <c r="D1978" s="4" t="s">
        <v>3861</v>
      </c>
      <c r="E1978" s="4" t="s">
        <v>6107</v>
      </c>
      <c r="F1978" s="4"/>
      <c r="G1978" s="4" t="s">
        <v>3190</v>
      </c>
      <c r="H1978" s="22">
        <v>0</v>
      </c>
      <c r="I1978" s="18">
        <v>710000000</v>
      </c>
      <c r="J1978" s="4" t="s">
        <v>1931</v>
      </c>
      <c r="K1978" s="4" t="s">
        <v>5292</v>
      </c>
      <c r="L1978" s="4" t="s">
        <v>1889</v>
      </c>
      <c r="M1978" s="8" t="s">
        <v>3195</v>
      </c>
      <c r="N1978" s="4" t="s">
        <v>1890</v>
      </c>
      <c r="O1978" s="8" t="s">
        <v>1935</v>
      </c>
      <c r="P1978" s="8">
        <v>796</v>
      </c>
      <c r="Q1978" s="8" t="s">
        <v>3196</v>
      </c>
      <c r="R1978" s="98">
        <v>6000</v>
      </c>
      <c r="S1978" s="98">
        <v>6.25</v>
      </c>
      <c r="T1978" s="10">
        <f t="shared" si="997"/>
        <v>37500</v>
      </c>
      <c r="U1978" s="10">
        <f t="shared" si="998"/>
        <v>42000.000000000007</v>
      </c>
      <c r="V1978" s="11"/>
      <c r="W1978" s="11">
        <v>2015</v>
      </c>
      <c r="X1978" s="20"/>
    </row>
    <row r="1979" spans="1:24" ht="76.5" customHeight="1" outlineLevel="1" x14ac:dyDescent="0.2">
      <c r="A1979" s="1" t="s">
        <v>3666</v>
      </c>
      <c r="B1979" s="24" t="s">
        <v>5277</v>
      </c>
      <c r="C1979" s="4" t="s">
        <v>3874</v>
      </c>
      <c r="D1979" s="4" t="s">
        <v>6086</v>
      </c>
      <c r="E1979" s="4" t="s">
        <v>6087</v>
      </c>
      <c r="F1979" s="4" t="s">
        <v>6088</v>
      </c>
      <c r="G1979" s="4" t="s">
        <v>3190</v>
      </c>
      <c r="H1979" s="22">
        <v>0</v>
      </c>
      <c r="I1979" s="18">
        <v>710000000</v>
      </c>
      <c r="J1979" s="4" t="s">
        <v>1931</v>
      </c>
      <c r="K1979" s="4" t="s">
        <v>5292</v>
      </c>
      <c r="L1979" s="4" t="s">
        <v>1889</v>
      </c>
      <c r="M1979" s="8" t="s">
        <v>3195</v>
      </c>
      <c r="N1979" s="4" t="s">
        <v>1890</v>
      </c>
      <c r="O1979" s="8" t="s">
        <v>1935</v>
      </c>
      <c r="P1979" s="8">
        <v>796</v>
      </c>
      <c r="Q1979" s="8" t="s">
        <v>3196</v>
      </c>
      <c r="R1979" s="10">
        <v>300</v>
      </c>
      <c r="S1979" s="10">
        <v>680</v>
      </c>
      <c r="T1979" s="10">
        <f t="shared" si="997"/>
        <v>204000</v>
      </c>
      <c r="U1979" s="10">
        <f t="shared" si="998"/>
        <v>228480.00000000003</v>
      </c>
      <c r="V1979" s="11"/>
      <c r="W1979" s="11">
        <v>2015</v>
      </c>
      <c r="X1979" s="20"/>
    </row>
    <row r="1980" spans="1:24" ht="76.5" customHeight="1" outlineLevel="1" x14ac:dyDescent="0.2">
      <c r="A1980" s="1" t="s">
        <v>3667</v>
      </c>
      <c r="B1980" s="24" t="s">
        <v>5277</v>
      </c>
      <c r="C1980" s="4" t="s">
        <v>3873</v>
      </c>
      <c r="D1980" s="4" t="s">
        <v>6086</v>
      </c>
      <c r="E1980" s="4" t="s">
        <v>6089</v>
      </c>
      <c r="F1980" s="4" t="s">
        <v>6090</v>
      </c>
      <c r="G1980" s="4" t="s">
        <v>3190</v>
      </c>
      <c r="H1980" s="22">
        <v>0</v>
      </c>
      <c r="I1980" s="18">
        <v>710000000</v>
      </c>
      <c r="J1980" s="4" t="s">
        <v>1931</v>
      </c>
      <c r="K1980" s="4" t="s">
        <v>5292</v>
      </c>
      <c r="L1980" s="4" t="s">
        <v>1889</v>
      </c>
      <c r="M1980" s="8" t="s">
        <v>3195</v>
      </c>
      <c r="N1980" s="4" t="s">
        <v>1890</v>
      </c>
      <c r="O1980" s="8" t="s">
        <v>1935</v>
      </c>
      <c r="P1980" s="8">
        <v>796</v>
      </c>
      <c r="Q1980" s="8" t="s">
        <v>3196</v>
      </c>
      <c r="R1980" s="98">
        <v>300</v>
      </c>
      <c r="S1980" s="98">
        <v>590</v>
      </c>
      <c r="T1980" s="10">
        <f t="shared" si="997"/>
        <v>177000</v>
      </c>
      <c r="U1980" s="10">
        <f t="shared" si="998"/>
        <v>198240.00000000003</v>
      </c>
      <c r="V1980" s="11"/>
      <c r="W1980" s="11">
        <v>2015</v>
      </c>
      <c r="X1980" s="20"/>
    </row>
    <row r="1981" spans="1:24" ht="76.5" customHeight="1" outlineLevel="1" x14ac:dyDescent="0.2">
      <c r="A1981" s="1" t="s">
        <v>3668</v>
      </c>
      <c r="B1981" s="24" t="s">
        <v>5277</v>
      </c>
      <c r="C1981" s="4" t="s">
        <v>3863</v>
      </c>
      <c r="D1981" s="4" t="s">
        <v>6086</v>
      </c>
      <c r="E1981" s="4" t="s">
        <v>6106</v>
      </c>
      <c r="F1981" s="4"/>
      <c r="G1981" s="4" t="s">
        <v>3190</v>
      </c>
      <c r="H1981" s="22">
        <v>0</v>
      </c>
      <c r="I1981" s="18">
        <v>710000000</v>
      </c>
      <c r="J1981" s="4" t="s">
        <v>1931</v>
      </c>
      <c r="K1981" s="4" t="s">
        <v>5292</v>
      </c>
      <c r="L1981" s="4" t="s">
        <v>1889</v>
      </c>
      <c r="M1981" s="8" t="s">
        <v>3195</v>
      </c>
      <c r="N1981" s="4" t="s">
        <v>1890</v>
      </c>
      <c r="O1981" s="8" t="s">
        <v>1935</v>
      </c>
      <c r="P1981" s="8">
        <v>796</v>
      </c>
      <c r="Q1981" s="8" t="s">
        <v>3196</v>
      </c>
      <c r="R1981" s="98">
        <v>6000</v>
      </c>
      <c r="S1981" s="98">
        <v>13.39</v>
      </c>
      <c r="T1981" s="10">
        <f t="shared" ref="T1981:T2055" si="1001">S1981*R1981</f>
        <v>80340</v>
      </c>
      <c r="U1981" s="10">
        <f t="shared" si="998"/>
        <v>89980.800000000003</v>
      </c>
      <c r="V1981" s="11"/>
      <c r="W1981" s="11">
        <v>2015</v>
      </c>
      <c r="X1981" s="20"/>
    </row>
    <row r="1982" spans="1:24" ht="76.5" customHeight="1" outlineLevel="1" x14ac:dyDescent="0.2">
      <c r="A1982" s="1" t="s">
        <v>3669</v>
      </c>
      <c r="B1982" s="24" t="s">
        <v>5277</v>
      </c>
      <c r="C1982" s="4" t="s">
        <v>3858</v>
      </c>
      <c r="D1982" s="4" t="s">
        <v>6112</v>
      </c>
      <c r="E1982" s="4" t="s">
        <v>6113</v>
      </c>
      <c r="F1982" s="4"/>
      <c r="G1982" s="4" t="s">
        <v>3190</v>
      </c>
      <c r="H1982" s="22">
        <v>0</v>
      </c>
      <c r="I1982" s="18">
        <v>710000000</v>
      </c>
      <c r="J1982" s="4" t="s">
        <v>1931</v>
      </c>
      <c r="K1982" s="4" t="s">
        <v>5292</v>
      </c>
      <c r="L1982" s="4" t="s">
        <v>1889</v>
      </c>
      <c r="M1982" s="8" t="s">
        <v>3195</v>
      </c>
      <c r="N1982" s="4" t="s">
        <v>1890</v>
      </c>
      <c r="O1982" s="8" t="s">
        <v>1935</v>
      </c>
      <c r="P1982" s="8">
        <v>796</v>
      </c>
      <c r="Q1982" s="8" t="s">
        <v>3196</v>
      </c>
      <c r="R1982" s="98">
        <v>5</v>
      </c>
      <c r="S1982" s="98">
        <v>1875</v>
      </c>
      <c r="T1982" s="10">
        <f t="shared" si="1001"/>
        <v>9375</v>
      </c>
      <c r="U1982" s="10">
        <f t="shared" si="998"/>
        <v>10500.000000000002</v>
      </c>
      <c r="V1982" s="11"/>
      <c r="W1982" s="11">
        <v>2015</v>
      </c>
      <c r="X1982" s="20"/>
    </row>
    <row r="1983" spans="1:24" ht="76.5" customHeight="1" outlineLevel="1" x14ac:dyDescent="0.2">
      <c r="A1983" s="1" t="s">
        <v>3670</v>
      </c>
      <c r="B1983" s="24" t="s">
        <v>5277</v>
      </c>
      <c r="C1983" s="4" t="s">
        <v>1671</v>
      </c>
      <c r="D1983" s="4" t="s">
        <v>1672</v>
      </c>
      <c r="E1983" s="4" t="s">
        <v>1673</v>
      </c>
      <c r="F1983" s="4" t="s">
        <v>1674</v>
      </c>
      <c r="G1983" s="4" t="s">
        <v>3190</v>
      </c>
      <c r="H1983" s="22">
        <v>0</v>
      </c>
      <c r="I1983" s="18">
        <v>710000000</v>
      </c>
      <c r="J1983" s="4" t="s">
        <v>1931</v>
      </c>
      <c r="K1983" s="4" t="s">
        <v>5292</v>
      </c>
      <c r="L1983" s="4" t="s">
        <v>1889</v>
      </c>
      <c r="M1983" s="8" t="s">
        <v>3195</v>
      </c>
      <c r="N1983" s="4" t="s">
        <v>1890</v>
      </c>
      <c r="O1983" s="8" t="s">
        <v>1935</v>
      </c>
      <c r="P1983" s="8">
        <v>796</v>
      </c>
      <c r="Q1983" s="8" t="s">
        <v>3196</v>
      </c>
      <c r="R1983" s="98">
        <v>2</v>
      </c>
      <c r="S1983" s="98">
        <v>3929</v>
      </c>
      <c r="T1983" s="10">
        <f t="shared" si="1001"/>
        <v>7858</v>
      </c>
      <c r="U1983" s="10">
        <f t="shared" si="998"/>
        <v>8800.9600000000009</v>
      </c>
      <c r="V1983" s="11"/>
      <c r="W1983" s="11">
        <v>2015</v>
      </c>
      <c r="X1983" s="20"/>
    </row>
    <row r="1984" spans="1:24" ht="76.5" customHeight="1" outlineLevel="1" x14ac:dyDescent="0.2">
      <c r="A1984" s="1" t="s">
        <v>3671</v>
      </c>
      <c r="B1984" s="24" t="s">
        <v>5277</v>
      </c>
      <c r="C1984" s="4" t="s">
        <v>3869</v>
      </c>
      <c r="D1984" s="4" t="s">
        <v>6096</v>
      </c>
      <c r="E1984" s="4" t="s">
        <v>6097</v>
      </c>
      <c r="F1984" s="4"/>
      <c r="G1984" s="4" t="s">
        <v>3190</v>
      </c>
      <c r="H1984" s="22">
        <v>0</v>
      </c>
      <c r="I1984" s="18">
        <v>710000000</v>
      </c>
      <c r="J1984" s="4" t="s">
        <v>1931</v>
      </c>
      <c r="K1984" s="4" t="s">
        <v>5292</v>
      </c>
      <c r="L1984" s="4" t="s">
        <v>1889</v>
      </c>
      <c r="M1984" s="8" t="s">
        <v>3195</v>
      </c>
      <c r="N1984" s="4" t="s">
        <v>1890</v>
      </c>
      <c r="O1984" s="8" t="s">
        <v>1935</v>
      </c>
      <c r="P1984" s="8">
        <v>796</v>
      </c>
      <c r="Q1984" s="8" t="s">
        <v>3196</v>
      </c>
      <c r="R1984" s="98">
        <v>1</v>
      </c>
      <c r="S1984" s="98">
        <v>2253</v>
      </c>
      <c r="T1984" s="10">
        <f t="shared" si="1001"/>
        <v>2253</v>
      </c>
      <c r="U1984" s="10">
        <f t="shared" si="998"/>
        <v>2523.36</v>
      </c>
      <c r="V1984" s="11"/>
      <c r="W1984" s="11">
        <v>2015</v>
      </c>
      <c r="X1984" s="20"/>
    </row>
    <row r="1985" spans="1:26" ht="76.5" customHeight="1" outlineLevel="1" x14ac:dyDescent="0.2">
      <c r="A1985" s="1" t="s">
        <v>3672</v>
      </c>
      <c r="B1985" s="24" t="s">
        <v>5277</v>
      </c>
      <c r="C1985" s="4" t="s">
        <v>3856</v>
      </c>
      <c r="D1985" s="4" t="s">
        <v>6115</v>
      </c>
      <c r="E1985" s="4" t="s">
        <v>6116</v>
      </c>
      <c r="F1985" s="4"/>
      <c r="G1985" s="4" t="s">
        <v>3190</v>
      </c>
      <c r="H1985" s="22">
        <v>0</v>
      </c>
      <c r="I1985" s="18">
        <v>710000000</v>
      </c>
      <c r="J1985" s="4" t="s">
        <v>1931</v>
      </c>
      <c r="K1985" s="4" t="s">
        <v>5292</v>
      </c>
      <c r="L1985" s="4" t="s">
        <v>1889</v>
      </c>
      <c r="M1985" s="8" t="s">
        <v>3195</v>
      </c>
      <c r="N1985" s="4" t="s">
        <v>1890</v>
      </c>
      <c r="O1985" s="8" t="s">
        <v>1935</v>
      </c>
      <c r="P1985" s="8">
        <v>796</v>
      </c>
      <c r="Q1985" s="8" t="s">
        <v>3196</v>
      </c>
      <c r="R1985" s="98">
        <v>5</v>
      </c>
      <c r="S1985" s="98">
        <v>357</v>
      </c>
      <c r="T1985" s="10">
        <f t="shared" si="1001"/>
        <v>1785</v>
      </c>
      <c r="U1985" s="10">
        <f t="shared" si="998"/>
        <v>1999.2000000000003</v>
      </c>
      <c r="V1985" s="11"/>
      <c r="W1985" s="11">
        <v>2015</v>
      </c>
      <c r="X1985" s="20"/>
    </row>
    <row r="1986" spans="1:26" ht="76.5" customHeight="1" outlineLevel="1" x14ac:dyDescent="0.2">
      <c r="A1986" s="1" t="s">
        <v>3673</v>
      </c>
      <c r="B1986" s="24" t="s">
        <v>5277</v>
      </c>
      <c r="C1986" s="4" t="s">
        <v>1675</v>
      </c>
      <c r="D1986" s="4" t="s">
        <v>1676</v>
      </c>
      <c r="E1986" s="4" t="s">
        <v>1677</v>
      </c>
      <c r="F1986" s="4" t="s">
        <v>1678</v>
      </c>
      <c r="G1986" s="4" t="s">
        <v>3190</v>
      </c>
      <c r="H1986" s="22">
        <v>0</v>
      </c>
      <c r="I1986" s="18">
        <v>710000000</v>
      </c>
      <c r="J1986" s="4" t="s">
        <v>1931</v>
      </c>
      <c r="K1986" s="4" t="s">
        <v>5292</v>
      </c>
      <c r="L1986" s="4" t="s">
        <v>1889</v>
      </c>
      <c r="M1986" s="8" t="s">
        <v>3195</v>
      </c>
      <c r="N1986" s="4" t="s">
        <v>1890</v>
      </c>
      <c r="O1986" s="8" t="s">
        <v>1935</v>
      </c>
      <c r="P1986" s="8">
        <v>796</v>
      </c>
      <c r="Q1986" s="8" t="s">
        <v>3196</v>
      </c>
      <c r="R1986" s="98">
        <v>3</v>
      </c>
      <c r="S1986" s="98">
        <v>1071</v>
      </c>
      <c r="T1986" s="10">
        <f t="shared" si="1001"/>
        <v>3213</v>
      </c>
      <c r="U1986" s="10">
        <f t="shared" ref="U1986:U2115" si="1002">T1986*1.12</f>
        <v>3598.5600000000004</v>
      </c>
      <c r="V1986" s="11"/>
      <c r="W1986" s="11">
        <v>2015</v>
      </c>
      <c r="X1986" s="20"/>
    </row>
    <row r="1987" spans="1:26" ht="76.5" customHeight="1" outlineLevel="1" x14ac:dyDescent="0.2">
      <c r="A1987" s="1" t="s">
        <v>3674</v>
      </c>
      <c r="B1987" s="24" t="s">
        <v>5277</v>
      </c>
      <c r="C1987" s="4" t="s">
        <v>1679</v>
      </c>
      <c r="D1987" s="4" t="s">
        <v>1680</v>
      </c>
      <c r="E1987" s="4" t="s">
        <v>1681</v>
      </c>
      <c r="F1987" s="4" t="s">
        <v>1682</v>
      </c>
      <c r="G1987" s="4" t="s">
        <v>3190</v>
      </c>
      <c r="H1987" s="22">
        <v>0</v>
      </c>
      <c r="I1987" s="18">
        <v>710000000</v>
      </c>
      <c r="J1987" s="4" t="s">
        <v>1931</v>
      </c>
      <c r="K1987" s="4" t="s">
        <v>5292</v>
      </c>
      <c r="L1987" s="4" t="s">
        <v>1889</v>
      </c>
      <c r="M1987" s="8" t="s">
        <v>3195</v>
      </c>
      <c r="N1987" s="4" t="s">
        <v>1890</v>
      </c>
      <c r="O1987" s="8" t="s">
        <v>1935</v>
      </c>
      <c r="P1987" s="8">
        <v>704</v>
      </c>
      <c r="Q1987" s="4" t="s">
        <v>5196</v>
      </c>
      <c r="R1987" s="98">
        <v>4</v>
      </c>
      <c r="S1987" s="98">
        <v>500</v>
      </c>
      <c r="T1987" s="10">
        <f t="shared" si="1001"/>
        <v>2000</v>
      </c>
      <c r="U1987" s="10">
        <f t="shared" si="1002"/>
        <v>2240</v>
      </c>
      <c r="V1987" s="11"/>
      <c r="W1987" s="11">
        <v>2015</v>
      </c>
      <c r="X1987" s="20"/>
    </row>
    <row r="1988" spans="1:26" ht="76.5" customHeight="1" outlineLevel="1" x14ac:dyDescent="0.2">
      <c r="A1988" s="1" t="s">
        <v>3675</v>
      </c>
      <c r="B1988" s="24" t="s">
        <v>5277</v>
      </c>
      <c r="C1988" s="4" t="s">
        <v>1683</v>
      </c>
      <c r="D1988" s="4" t="s">
        <v>1684</v>
      </c>
      <c r="E1988" s="4" t="s">
        <v>1685</v>
      </c>
      <c r="F1988" s="4" t="s">
        <v>1686</v>
      </c>
      <c r="G1988" s="4" t="s">
        <v>3190</v>
      </c>
      <c r="H1988" s="22">
        <v>0</v>
      </c>
      <c r="I1988" s="18">
        <v>710000000</v>
      </c>
      <c r="J1988" s="4" t="s">
        <v>1931</v>
      </c>
      <c r="K1988" s="4" t="s">
        <v>5292</v>
      </c>
      <c r="L1988" s="4" t="s">
        <v>1889</v>
      </c>
      <c r="M1988" s="8" t="s">
        <v>3195</v>
      </c>
      <c r="N1988" s="4" t="s">
        <v>1890</v>
      </c>
      <c r="O1988" s="8" t="s">
        <v>1935</v>
      </c>
      <c r="P1988" s="8">
        <v>796</v>
      </c>
      <c r="Q1988" s="8" t="s">
        <v>3196</v>
      </c>
      <c r="R1988" s="98">
        <v>600</v>
      </c>
      <c r="S1988" s="98">
        <v>420</v>
      </c>
      <c r="T1988" s="10">
        <f t="shared" si="1001"/>
        <v>252000</v>
      </c>
      <c r="U1988" s="10">
        <f t="shared" si="1002"/>
        <v>282240</v>
      </c>
      <c r="V1988" s="11"/>
      <c r="W1988" s="11">
        <v>2015</v>
      </c>
      <c r="X1988" s="20"/>
    </row>
    <row r="1989" spans="1:26" ht="76.5" customHeight="1" outlineLevel="1" x14ac:dyDescent="0.2">
      <c r="A1989" s="1" t="s">
        <v>3676</v>
      </c>
      <c r="B1989" s="24" t="s">
        <v>5277</v>
      </c>
      <c r="C1989" s="4" t="s">
        <v>3878</v>
      </c>
      <c r="D1989" s="4" t="s">
        <v>3877</v>
      </c>
      <c r="E1989" s="4" t="s">
        <v>6082</v>
      </c>
      <c r="F1989" s="4"/>
      <c r="G1989" s="4" t="s">
        <v>3190</v>
      </c>
      <c r="H1989" s="22">
        <v>0</v>
      </c>
      <c r="I1989" s="18">
        <v>710000000</v>
      </c>
      <c r="J1989" s="4" t="s">
        <v>1931</v>
      </c>
      <c r="K1989" s="4" t="s">
        <v>5292</v>
      </c>
      <c r="L1989" s="4" t="s">
        <v>1889</v>
      </c>
      <c r="M1989" s="8" t="s">
        <v>3195</v>
      </c>
      <c r="N1989" s="4" t="s">
        <v>1890</v>
      </c>
      <c r="O1989" s="8" t="s">
        <v>1935</v>
      </c>
      <c r="P1989" s="8">
        <v>796</v>
      </c>
      <c r="Q1989" s="8" t="s">
        <v>3196</v>
      </c>
      <c r="R1989" s="98">
        <v>2</v>
      </c>
      <c r="S1989" s="98">
        <v>2410</v>
      </c>
      <c r="T1989" s="10">
        <f t="shared" si="1001"/>
        <v>4820</v>
      </c>
      <c r="U1989" s="10">
        <f t="shared" si="1002"/>
        <v>5398.4000000000005</v>
      </c>
      <c r="V1989" s="11"/>
      <c r="W1989" s="11">
        <v>2015</v>
      </c>
      <c r="X1989" s="20"/>
    </row>
    <row r="1990" spans="1:26" ht="89.25" customHeight="1" outlineLevel="1" x14ac:dyDescent="0.2">
      <c r="A1990" s="1" t="s">
        <v>3677</v>
      </c>
      <c r="B1990" s="15" t="s">
        <v>5277</v>
      </c>
      <c r="C1990" s="16" t="s">
        <v>3424</v>
      </c>
      <c r="D1990" s="16" t="s">
        <v>6044</v>
      </c>
      <c r="E1990" s="16" t="s">
        <v>6045</v>
      </c>
      <c r="F1990" s="16" t="s">
        <v>1690</v>
      </c>
      <c r="G1990" s="1" t="s">
        <v>3187</v>
      </c>
      <c r="H1990" s="22">
        <v>0</v>
      </c>
      <c r="I1990" s="18">
        <v>710000000</v>
      </c>
      <c r="J1990" s="4" t="s">
        <v>1931</v>
      </c>
      <c r="K1990" s="4" t="s">
        <v>5282</v>
      </c>
      <c r="L1990" s="7" t="s">
        <v>1940</v>
      </c>
      <c r="M1990" s="8" t="s">
        <v>3195</v>
      </c>
      <c r="N1990" s="4" t="s">
        <v>1890</v>
      </c>
      <c r="O1990" s="8" t="s">
        <v>1935</v>
      </c>
      <c r="P1990" s="8">
        <v>796</v>
      </c>
      <c r="Q1990" s="8" t="s">
        <v>3196</v>
      </c>
      <c r="R1990" s="10">
        <v>10</v>
      </c>
      <c r="S1990" s="10">
        <v>16250</v>
      </c>
      <c r="T1990" s="10">
        <f t="shared" si="1001"/>
        <v>162500</v>
      </c>
      <c r="U1990" s="10">
        <f t="shared" si="1002"/>
        <v>182000.00000000003</v>
      </c>
      <c r="V1990" s="11"/>
      <c r="W1990" s="11">
        <v>2015</v>
      </c>
      <c r="X1990" s="20"/>
    </row>
    <row r="1991" spans="1:26" s="23" customFormat="1" ht="76.5" customHeight="1" outlineLevel="1" x14ac:dyDescent="0.2">
      <c r="A1991" s="1" t="s">
        <v>3678</v>
      </c>
      <c r="B1991" s="24" t="s">
        <v>5277</v>
      </c>
      <c r="C1991" s="4" t="s">
        <v>3022</v>
      </c>
      <c r="D1991" s="4" t="s">
        <v>5427</v>
      </c>
      <c r="E1991" s="4" t="s">
        <v>1645</v>
      </c>
      <c r="F1991" s="4"/>
      <c r="G1991" s="4" t="s">
        <v>3190</v>
      </c>
      <c r="H1991" s="22">
        <v>0</v>
      </c>
      <c r="I1991" s="18">
        <v>710000000</v>
      </c>
      <c r="J1991" s="4" t="s">
        <v>1931</v>
      </c>
      <c r="K1991" s="4" t="s">
        <v>5706</v>
      </c>
      <c r="L1991" s="4" t="s">
        <v>1889</v>
      </c>
      <c r="M1991" s="8" t="s">
        <v>3195</v>
      </c>
      <c r="N1991" s="4" t="s">
        <v>1890</v>
      </c>
      <c r="O1991" s="8" t="s">
        <v>1935</v>
      </c>
      <c r="P1991" s="8">
        <v>796</v>
      </c>
      <c r="Q1991" s="8" t="s">
        <v>3196</v>
      </c>
      <c r="R1991" s="34">
        <v>24</v>
      </c>
      <c r="S1991" s="10">
        <v>3115.71</v>
      </c>
      <c r="T1991" s="10">
        <f t="shared" si="1001"/>
        <v>74777.040000000008</v>
      </c>
      <c r="U1991" s="10">
        <f t="shared" si="1002"/>
        <v>83750.284800000023</v>
      </c>
      <c r="V1991" s="11"/>
      <c r="W1991" s="11">
        <v>2015</v>
      </c>
      <c r="X1991" s="4"/>
    </row>
    <row r="1992" spans="1:26" ht="132" customHeight="1" outlineLevel="1" x14ac:dyDescent="0.2">
      <c r="A1992" s="1" t="s">
        <v>3679</v>
      </c>
      <c r="B1992" s="24" t="s">
        <v>5277</v>
      </c>
      <c r="C1992" s="7" t="s">
        <v>3452</v>
      </c>
      <c r="D1992" s="7" t="s">
        <v>6205</v>
      </c>
      <c r="E1992" s="18" t="s">
        <v>6206</v>
      </c>
      <c r="F1992" s="25" t="s">
        <v>6205</v>
      </c>
      <c r="G1992" s="1" t="s">
        <v>3190</v>
      </c>
      <c r="H1992" s="17">
        <v>0</v>
      </c>
      <c r="I1992" s="18">
        <v>710000000</v>
      </c>
      <c r="J1992" s="4" t="s">
        <v>1931</v>
      </c>
      <c r="K1992" s="4" t="s">
        <v>5297</v>
      </c>
      <c r="L1992" s="7" t="s">
        <v>5668</v>
      </c>
      <c r="M1992" s="8" t="s">
        <v>3195</v>
      </c>
      <c r="N1992" s="8" t="s">
        <v>1890</v>
      </c>
      <c r="O1992" s="8" t="s">
        <v>1935</v>
      </c>
      <c r="P1992" s="8">
        <v>796</v>
      </c>
      <c r="Q1992" s="8" t="s">
        <v>3196</v>
      </c>
      <c r="R1992" s="10">
        <v>23</v>
      </c>
      <c r="S1992" s="10">
        <v>2179.0830000000001</v>
      </c>
      <c r="T1992" s="10">
        <v>0</v>
      </c>
      <c r="U1992" s="10">
        <f t="shared" si="1002"/>
        <v>0</v>
      </c>
      <c r="V1992" s="8"/>
      <c r="W1992" s="11">
        <v>2015</v>
      </c>
      <c r="X1992" s="8">
        <v>11</v>
      </c>
    </row>
    <row r="1993" spans="1:26" ht="132" customHeight="1" outlineLevel="1" x14ac:dyDescent="0.2">
      <c r="A1993" s="1" t="s">
        <v>10089</v>
      </c>
      <c r="B1993" s="24" t="s">
        <v>5277</v>
      </c>
      <c r="C1993" s="7" t="s">
        <v>3452</v>
      </c>
      <c r="D1993" s="7" t="s">
        <v>6205</v>
      </c>
      <c r="E1993" s="18" t="s">
        <v>6206</v>
      </c>
      <c r="F1993" s="25" t="s">
        <v>6205</v>
      </c>
      <c r="G1993" s="1" t="s">
        <v>3190</v>
      </c>
      <c r="H1993" s="17">
        <v>0</v>
      </c>
      <c r="I1993" s="18">
        <v>710000000</v>
      </c>
      <c r="J1993" s="4" t="s">
        <v>1931</v>
      </c>
      <c r="K1993" s="4" t="s">
        <v>10090</v>
      </c>
      <c r="L1993" s="7" t="s">
        <v>5668</v>
      </c>
      <c r="M1993" s="8" t="s">
        <v>3195</v>
      </c>
      <c r="N1993" s="8" t="s">
        <v>1890</v>
      </c>
      <c r="O1993" s="8" t="s">
        <v>1935</v>
      </c>
      <c r="P1993" s="8">
        <v>796</v>
      </c>
      <c r="Q1993" s="8" t="s">
        <v>3196</v>
      </c>
      <c r="R1993" s="10">
        <v>23</v>
      </c>
      <c r="S1993" s="10">
        <v>2179.0830000000001</v>
      </c>
      <c r="T1993" s="10">
        <f t="shared" ref="T1993" si="1003">S1993*R1993</f>
        <v>50118.909</v>
      </c>
      <c r="U1993" s="10">
        <f t="shared" si="1002"/>
        <v>56133.178080000005</v>
      </c>
      <c r="V1993" s="19"/>
      <c r="W1993" s="11">
        <v>2015</v>
      </c>
      <c r="X1993" s="8"/>
    </row>
    <row r="1994" spans="1:26" ht="76.5" customHeight="1" outlineLevel="1" x14ac:dyDescent="0.2">
      <c r="A1994" s="1" t="s">
        <v>3680</v>
      </c>
      <c r="B1994" s="15" t="s">
        <v>5277</v>
      </c>
      <c r="C1994" s="16" t="s">
        <v>1687</v>
      </c>
      <c r="D1994" s="16" t="s">
        <v>1688</v>
      </c>
      <c r="E1994" s="16" t="s">
        <v>1689</v>
      </c>
      <c r="F1994" s="16"/>
      <c r="G1994" s="4" t="s">
        <v>3190</v>
      </c>
      <c r="H1994" s="22">
        <v>0</v>
      </c>
      <c r="I1994" s="18">
        <v>710000000</v>
      </c>
      <c r="J1994" s="4" t="s">
        <v>1931</v>
      </c>
      <c r="K1994" s="4" t="s">
        <v>5282</v>
      </c>
      <c r="L1994" s="7" t="s">
        <v>1940</v>
      </c>
      <c r="M1994" s="8" t="s">
        <v>3195</v>
      </c>
      <c r="N1994" s="4" t="s">
        <v>1890</v>
      </c>
      <c r="O1994" s="8" t="s">
        <v>1935</v>
      </c>
      <c r="P1994" s="8">
        <v>796</v>
      </c>
      <c r="Q1994" s="8" t="s">
        <v>3196</v>
      </c>
      <c r="R1994" s="10">
        <v>120</v>
      </c>
      <c r="S1994" s="10">
        <v>7054</v>
      </c>
      <c r="T1994" s="10">
        <v>0</v>
      </c>
      <c r="U1994" s="10">
        <f t="shared" si="1002"/>
        <v>0</v>
      </c>
      <c r="V1994" s="11"/>
      <c r="W1994" s="11">
        <v>2015</v>
      </c>
      <c r="X1994" s="1" t="s">
        <v>9876</v>
      </c>
      <c r="Z1994" s="138"/>
    </row>
    <row r="1995" spans="1:26" ht="76.5" customHeight="1" outlineLevel="1" x14ac:dyDescent="0.2">
      <c r="A1995" s="1" t="s">
        <v>9873</v>
      </c>
      <c r="B1995" s="15" t="s">
        <v>5277</v>
      </c>
      <c r="C1995" s="16" t="s">
        <v>1687</v>
      </c>
      <c r="D1995" s="16" t="s">
        <v>1688</v>
      </c>
      <c r="E1995" s="16" t="s">
        <v>1689</v>
      </c>
      <c r="F1995" s="16" t="s">
        <v>9875</v>
      </c>
      <c r="G1995" s="4" t="s">
        <v>3190</v>
      </c>
      <c r="H1995" s="22">
        <v>0</v>
      </c>
      <c r="I1995" s="18">
        <v>710000000</v>
      </c>
      <c r="J1995" s="4" t="s">
        <v>1931</v>
      </c>
      <c r="K1995" s="4" t="s">
        <v>9874</v>
      </c>
      <c r="L1995" s="7" t="s">
        <v>1940</v>
      </c>
      <c r="M1995" s="8" t="s">
        <v>3195</v>
      </c>
      <c r="N1995" s="4" t="s">
        <v>1890</v>
      </c>
      <c r="O1995" s="8" t="s">
        <v>1935</v>
      </c>
      <c r="P1995" s="8">
        <v>796</v>
      </c>
      <c r="Q1995" s="8" t="s">
        <v>3196</v>
      </c>
      <c r="R1995" s="10">
        <v>120</v>
      </c>
      <c r="S1995" s="10">
        <v>5000</v>
      </c>
      <c r="T1995" s="10">
        <v>0</v>
      </c>
      <c r="U1995" s="10">
        <f t="shared" ref="U1995" si="1004">T1995*1.12</f>
        <v>0</v>
      </c>
      <c r="V1995" s="11"/>
      <c r="W1995" s="11">
        <v>2015</v>
      </c>
      <c r="X1995" s="1" t="s">
        <v>6582</v>
      </c>
    </row>
    <row r="1996" spans="1:26" ht="76.5" customHeight="1" outlineLevel="1" x14ac:dyDescent="0.2">
      <c r="A1996" s="1" t="s">
        <v>9951</v>
      </c>
      <c r="B1996" s="15" t="s">
        <v>5277</v>
      </c>
      <c r="C1996" s="16" t="s">
        <v>1687</v>
      </c>
      <c r="D1996" s="16" t="s">
        <v>1688</v>
      </c>
      <c r="E1996" s="16" t="s">
        <v>1689</v>
      </c>
      <c r="F1996" s="16" t="s">
        <v>9875</v>
      </c>
      <c r="G1996" s="4" t="s">
        <v>3190</v>
      </c>
      <c r="H1996" s="22">
        <v>0</v>
      </c>
      <c r="I1996" s="18">
        <v>710000000</v>
      </c>
      <c r="J1996" s="4" t="s">
        <v>1931</v>
      </c>
      <c r="K1996" s="4" t="s">
        <v>9874</v>
      </c>
      <c r="L1996" s="7" t="s">
        <v>1940</v>
      </c>
      <c r="M1996" s="8" t="s">
        <v>3195</v>
      </c>
      <c r="N1996" s="4" t="s">
        <v>1890</v>
      </c>
      <c r="O1996" s="8" t="s">
        <v>1935</v>
      </c>
      <c r="P1996" s="8">
        <v>796</v>
      </c>
      <c r="Q1996" s="8" t="s">
        <v>3196</v>
      </c>
      <c r="R1996" s="10">
        <v>80</v>
      </c>
      <c r="S1996" s="10">
        <v>5000</v>
      </c>
      <c r="T1996" s="10">
        <f t="shared" ref="T1996" si="1005">S1996*R1996</f>
        <v>400000</v>
      </c>
      <c r="U1996" s="10">
        <f t="shared" ref="U1996" si="1006">T1996*1.12</f>
        <v>448000.00000000006</v>
      </c>
      <c r="V1996" s="11"/>
      <c r="W1996" s="11">
        <v>2015</v>
      </c>
      <c r="X1996" s="20"/>
    </row>
    <row r="1997" spans="1:26" ht="76.5" customHeight="1" outlineLevel="1" x14ac:dyDescent="0.2">
      <c r="A1997" s="1" t="s">
        <v>3681</v>
      </c>
      <c r="B1997" s="15" t="s">
        <v>5277</v>
      </c>
      <c r="C1997" s="16" t="s">
        <v>1691</v>
      </c>
      <c r="D1997" s="16" t="s">
        <v>1692</v>
      </c>
      <c r="E1997" s="16" t="s">
        <v>1693</v>
      </c>
      <c r="F1997" s="16" t="s">
        <v>1694</v>
      </c>
      <c r="G1997" s="1" t="s">
        <v>3187</v>
      </c>
      <c r="H1997" s="22">
        <v>0</v>
      </c>
      <c r="I1997" s="18">
        <v>710000000</v>
      </c>
      <c r="J1997" s="4" t="s">
        <v>1931</v>
      </c>
      <c r="K1997" s="4" t="s">
        <v>5282</v>
      </c>
      <c r="L1997" s="7" t="s">
        <v>1940</v>
      </c>
      <c r="M1997" s="8" t="s">
        <v>3195</v>
      </c>
      <c r="N1997" s="4" t="s">
        <v>1890</v>
      </c>
      <c r="O1997" s="8" t="s">
        <v>1935</v>
      </c>
      <c r="P1997" s="8">
        <v>839</v>
      </c>
      <c r="Q1997" s="4" t="s">
        <v>5413</v>
      </c>
      <c r="R1997" s="10">
        <v>240</v>
      </c>
      <c r="S1997" s="10">
        <v>15000</v>
      </c>
      <c r="T1997" s="10">
        <v>0</v>
      </c>
      <c r="U1997" s="10">
        <f t="shared" si="1002"/>
        <v>0</v>
      </c>
      <c r="V1997" s="11"/>
      <c r="W1997" s="11">
        <v>2015</v>
      </c>
      <c r="X1997" s="1" t="s">
        <v>6563</v>
      </c>
    </row>
    <row r="1998" spans="1:26" ht="76.5" customHeight="1" outlineLevel="1" x14ac:dyDescent="0.2">
      <c r="A1998" s="1" t="s">
        <v>6564</v>
      </c>
      <c r="B1998" s="15" t="s">
        <v>5277</v>
      </c>
      <c r="C1998" s="16" t="s">
        <v>1691</v>
      </c>
      <c r="D1998" s="16" t="s">
        <v>1692</v>
      </c>
      <c r="E1998" s="16" t="s">
        <v>1693</v>
      </c>
      <c r="F1998" s="16" t="s">
        <v>1694</v>
      </c>
      <c r="G1998" s="1" t="s">
        <v>3187</v>
      </c>
      <c r="H1998" s="22">
        <v>0</v>
      </c>
      <c r="I1998" s="18">
        <v>710000000</v>
      </c>
      <c r="J1998" s="4" t="s">
        <v>1931</v>
      </c>
      <c r="K1998" s="4" t="s">
        <v>5282</v>
      </c>
      <c r="L1998" s="7" t="s">
        <v>1940</v>
      </c>
      <c r="M1998" s="8" t="s">
        <v>3195</v>
      </c>
      <c r="N1998" s="4" t="s">
        <v>1890</v>
      </c>
      <c r="O1998" s="8" t="s">
        <v>1935</v>
      </c>
      <c r="P1998" s="8">
        <v>839</v>
      </c>
      <c r="Q1998" s="4" t="s">
        <v>5413</v>
      </c>
      <c r="R1998" s="10">
        <v>180</v>
      </c>
      <c r="S1998" s="10">
        <v>15000</v>
      </c>
      <c r="T1998" s="10">
        <v>0</v>
      </c>
      <c r="U1998" s="10">
        <f t="shared" ref="U1998:U2000" si="1007">T1998*1.12</f>
        <v>0</v>
      </c>
      <c r="V1998" s="11"/>
      <c r="W1998" s="11">
        <v>2015</v>
      </c>
      <c r="X1998" s="1" t="s">
        <v>6565</v>
      </c>
    </row>
    <row r="1999" spans="1:26" ht="126.75" customHeight="1" outlineLevel="1" x14ac:dyDescent="0.2">
      <c r="A1999" s="1" t="s">
        <v>3682</v>
      </c>
      <c r="B1999" s="24" t="s">
        <v>5277</v>
      </c>
      <c r="C1999" s="25" t="s">
        <v>1404</v>
      </c>
      <c r="D1999" s="25" t="s">
        <v>1405</v>
      </c>
      <c r="E1999" s="25" t="s">
        <v>1406</v>
      </c>
      <c r="F1999" s="25" t="s">
        <v>1407</v>
      </c>
      <c r="G1999" s="1" t="s">
        <v>3190</v>
      </c>
      <c r="H1999" s="17">
        <v>0</v>
      </c>
      <c r="I1999" s="18">
        <v>710000000</v>
      </c>
      <c r="J1999" s="4" t="s">
        <v>1931</v>
      </c>
      <c r="K1999" s="4" t="s">
        <v>5297</v>
      </c>
      <c r="L1999" s="7" t="s">
        <v>5689</v>
      </c>
      <c r="M1999" s="8" t="s">
        <v>3195</v>
      </c>
      <c r="N1999" s="8" t="s">
        <v>1890</v>
      </c>
      <c r="O1999" s="8" t="s">
        <v>1935</v>
      </c>
      <c r="P1999" s="8">
        <v>796</v>
      </c>
      <c r="Q1999" s="8" t="s">
        <v>3196</v>
      </c>
      <c r="R1999" s="10">
        <v>5</v>
      </c>
      <c r="S1999" s="10">
        <v>14564.78</v>
      </c>
      <c r="T1999" s="10">
        <v>0</v>
      </c>
      <c r="U1999" s="10">
        <f t="shared" si="1007"/>
        <v>0</v>
      </c>
      <c r="V1999" s="19"/>
      <c r="W1999" s="11">
        <v>2015</v>
      </c>
      <c r="X1999" s="1">
        <v>11</v>
      </c>
    </row>
    <row r="2000" spans="1:26" ht="126.75" customHeight="1" outlineLevel="1" x14ac:dyDescent="0.2">
      <c r="A2000" s="1" t="s">
        <v>10091</v>
      </c>
      <c r="B2000" s="24" t="s">
        <v>5277</v>
      </c>
      <c r="C2000" s="25" t="s">
        <v>1404</v>
      </c>
      <c r="D2000" s="25" t="s">
        <v>1405</v>
      </c>
      <c r="E2000" s="25" t="s">
        <v>1406</v>
      </c>
      <c r="F2000" s="25" t="s">
        <v>1407</v>
      </c>
      <c r="G2000" s="1" t="s">
        <v>3190</v>
      </c>
      <c r="H2000" s="17">
        <v>0</v>
      </c>
      <c r="I2000" s="18">
        <v>710000000</v>
      </c>
      <c r="J2000" s="4" t="s">
        <v>1931</v>
      </c>
      <c r="K2000" s="4" t="s">
        <v>10033</v>
      </c>
      <c r="L2000" s="7" t="s">
        <v>5689</v>
      </c>
      <c r="M2000" s="8" t="s">
        <v>3195</v>
      </c>
      <c r="N2000" s="8" t="s">
        <v>1890</v>
      </c>
      <c r="O2000" s="8" t="s">
        <v>1935</v>
      </c>
      <c r="P2000" s="8">
        <v>796</v>
      </c>
      <c r="Q2000" s="8" t="s">
        <v>3196</v>
      </c>
      <c r="R2000" s="10">
        <v>5</v>
      </c>
      <c r="S2000" s="10">
        <v>14564.78</v>
      </c>
      <c r="T2000" s="10">
        <f t="shared" ref="T2000" si="1008">S2000*R2000</f>
        <v>72823.900000000009</v>
      </c>
      <c r="U2000" s="10">
        <f t="shared" si="1007"/>
        <v>81562.768000000011</v>
      </c>
      <c r="V2000" s="8"/>
      <c r="W2000" s="11">
        <v>2015</v>
      </c>
      <c r="X2000" s="1"/>
    </row>
    <row r="2001" spans="1:24" ht="76.5" customHeight="1" outlineLevel="1" x14ac:dyDescent="0.2">
      <c r="A2001" s="1" t="s">
        <v>3683</v>
      </c>
      <c r="B2001" s="24" t="s">
        <v>5277</v>
      </c>
      <c r="C2001" s="25" t="s">
        <v>801</v>
      </c>
      <c r="D2001" s="25" t="s">
        <v>802</v>
      </c>
      <c r="E2001" s="25" t="s">
        <v>803</v>
      </c>
      <c r="F2001" s="25" t="s">
        <v>804</v>
      </c>
      <c r="G2001" s="1" t="s">
        <v>3190</v>
      </c>
      <c r="H2001" s="17">
        <v>0</v>
      </c>
      <c r="I2001" s="18">
        <v>710000000</v>
      </c>
      <c r="J2001" s="4" t="s">
        <v>1931</v>
      </c>
      <c r="K2001" s="4" t="s">
        <v>5297</v>
      </c>
      <c r="L2001" s="124" t="s">
        <v>2985</v>
      </c>
      <c r="M2001" s="8" t="s">
        <v>3195</v>
      </c>
      <c r="N2001" s="8" t="s">
        <v>1890</v>
      </c>
      <c r="O2001" s="8" t="s">
        <v>1935</v>
      </c>
      <c r="P2001" s="1">
        <v>778</v>
      </c>
      <c r="Q2001" s="8" t="s">
        <v>3327</v>
      </c>
      <c r="R2001" s="10">
        <f>50+86+5</f>
        <v>141</v>
      </c>
      <c r="S2001" s="10">
        <v>95.54</v>
      </c>
      <c r="T2001" s="10">
        <v>0</v>
      </c>
      <c r="U2001" s="10">
        <f t="shared" si="1002"/>
        <v>0</v>
      </c>
      <c r="V2001" s="8"/>
      <c r="W2001" s="11">
        <v>2015</v>
      </c>
      <c r="X2001" s="8" t="s">
        <v>7518</v>
      </c>
    </row>
    <row r="2002" spans="1:24" ht="76.5" customHeight="1" outlineLevel="1" x14ac:dyDescent="0.2">
      <c r="A2002" s="1" t="s">
        <v>9124</v>
      </c>
      <c r="B2002" s="24" t="s">
        <v>5277</v>
      </c>
      <c r="C2002" s="25" t="s">
        <v>801</v>
      </c>
      <c r="D2002" s="25" t="s">
        <v>802</v>
      </c>
      <c r="E2002" s="25" t="s">
        <v>803</v>
      </c>
      <c r="F2002" s="25" t="s">
        <v>804</v>
      </c>
      <c r="G2002" s="1" t="s">
        <v>3190</v>
      </c>
      <c r="H2002" s="17">
        <v>0</v>
      </c>
      <c r="I2002" s="18">
        <v>710000000</v>
      </c>
      <c r="J2002" s="4" t="s">
        <v>1931</v>
      </c>
      <c r="K2002" s="4" t="s">
        <v>9078</v>
      </c>
      <c r="L2002" s="124" t="s">
        <v>2985</v>
      </c>
      <c r="M2002" s="8" t="s">
        <v>3195</v>
      </c>
      <c r="N2002" s="8" t="s">
        <v>1890</v>
      </c>
      <c r="O2002" s="8" t="s">
        <v>1935</v>
      </c>
      <c r="P2002" s="1">
        <v>778</v>
      </c>
      <c r="Q2002" s="8" t="s">
        <v>3327</v>
      </c>
      <c r="R2002" s="10">
        <f>50+86+5+100</f>
        <v>241</v>
      </c>
      <c r="S2002" s="10">
        <v>95.54</v>
      </c>
      <c r="T2002" s="10">
        <f t="shared" ref="T2002" si="1009">S2002*R2002</f>
        <v>23025.140000000003</v>
      </c>
      <c r="U2002" s="10">
        <f t="shared" ref="U2002" si="1010">T2002*1.12</f>
        <v>25788.156800000004</v>
      </c>
      <c r="V2002" s="8"/>
      <c r="W2002" s="11">
        <v>2015</v>
      </c>
      <c r="X2002" s="8"/>
    </row>
    <row r="2003" spans="1:24" ht="76.5" customHeight="1" outlineLevel="1" x14ac:dyDescent="0.2">
      <c r="A2003" s="1" t="s">
        <v>3684</v>
      </c>
      <c r="B2003" s="16" t="s">
        <v>5277</v>
      </c>
      <c r="C2003" s="25" t="s">
        <v>805</v>
      </c>
      <c r="D2003" s="25" t="s">
        <v>806</v>
      </c>
      <c r="E2003" s="25" t="s">
        <v>807</v>
      </c>
      <c r="F2003" s="16" t="s">
        <v>808</v>
      </c>
      <c r="G2003" s="1" t="s">
        <v>3190</v>
      </c>
      <c r="H2003" s="22">
        <v>0</v>
      </c>
      <c r="I2003" s="18">
        <v>710000000</v>
      </c>
      <c r="J2003" s="4" t="s">
        <v>1931</v>
      </c>
      <c r="K2003" s="4" t="s">
        <v>5297</v>
      </c>
      <c r="L2003" s="124" t="s">
        <v>2985</v>
      </c>
      <c r="M2003" s="8" t="s">
        <v>3195</v>
      </c>
      <c r="N2003" s="8" t="s">
        <v>1890</v>
      </c>
      <c r="O2003" s="4" t="s">
        <v>1935</v>
      </c>
      <c r="P2003" s="4">
        <v>778</v>
      </c>
      <c r="Q2003" s="4" t="s">
        <v>3327</v>
      </c>
      <c r="R2003" s="10">
        <f>100+100+28</f>
        <v>228</v>
      </c>
      <c r="S2003" s="10">
        <v>95.54</v>
      </c>
      <c r="T2003" s="10">
        <v>0</v>
      </c>
      <c r="U2003" s="10">
        <f t="shared" si="1002"/>
        <v>0</v>
      </c>
      <c r="V2003" s="4"/>
      <c r="W2003" s="11">
        <v>2015</v>
      </c>
      <c r="X2003" s="8" t="s">
        <v>7518</v>
      </c>
    </row>
    <row r="2004" spans="1:24" ht="76.5" customHeight="1" outlineLevel="1" x14ac:dyDescent="0.2">
      <c r="A2004" s="1" t="s">
        <v>9125</v>
      </c>
      <c r="B2004" s="16" t="s">
        <v>5277</v>
      </c>
      <c r="C2004" s="25" t="s">
        <v>805</v>
      </c>
      <c r="D2004" s="25" t="s">
        <v>806</v>
      </c>
      <c r="E2004" s="25" t="s">
        <v>807</v>
      </c>
      <c r="F2004" s="16" t="s">
        <v>808</v>
      </c>
      <c r="G2004" s="1" t="s">
        <v>3190</v>
      </c>
      <c r="H2004" s="22">
        <v>0</v>
      </c>
      <c r="I2004" s="18">
        <v>710000000</v>
      </c>
      <c r="J2004" s="4" t="s">
        <v>1931</v>
      </c>
      <c r="K2004" s="4" t="s">
        <v>9078</v>
      </c>
      <c r="L2004" s="124" t="s">
        <v>2985</v>
      </c>
      <c r="M2004" s="8" t="s">
        <v>3195</v>
      </c>
      <c r="N2004" s="8" t="s">
        <v>1890</v>
      </c>
      <c r="O2004" s="4" t="s">
        <v>1935</v>
      </c>
      <c r="P2004" s="4">
        <v>778</v>
      </c>
      <c r="Q2004" s="4" t="s">
        <v>3327</v>
      </c>
      <c r="R2004" s="10">
        <f>100+100+28+200</f>
        <v>428</v>
      </c>
      <c r="S2004" s="10">
        <v>95.54</v>
      </c>
      <c r="T2004" s="10">
        <f t="shared" ref="T2004" si="1011">S2004*R2004</f>
        <v>40891.120000000003</v>
      </c>
      <c r="U2004" s="10">
        <f t="shared" ref="U2004" si="1012">T2004*1.12</f>
        <v>45798.054400000008</v>
      </c>
      <c r="V2004" s="4"/>
      <c r="W2004" s="11">
        <v>2015</v>
      </c>
      <c r="X2004" s="8"/>
    </row>
    <row r="2005" spans="1:24" ht="76.5" customHeight="1" outlineLevel="1" x14ac:dyDescent="0.2">
      <c r="A2005" s="1" t="s">
        <v>3685</v>
      </c>
      <c r="B2005" s="24" t="s">
        <v>5277</v>
      </c>
      <c r="C2005" s="7" t="s">
        <v>809</v>
      </c>
      <c r="D2005" s="7" t="s">
        <v>810</v>
      </c>
      <c r="E2005" s="7" t="s">
        <v>811</v>
      </c>
      <c r="F2005" s="25" t="s">
        <v>812</v>
      </c>
      <c r="G2005" s="1" t="s">
        <v>3190</v>
      </c>
      <c r="H2005" s="17">
        <v>0</v>
      </c>
      <c r="I2005" s="18">
        <v>710000000</v>
      </c>
      <c r="J2005" s="4" t="s">
        <v>1931</v>
      </c>
      <c r="K2005" s="4" t="s">
        <v>5297</v>
      </c>
      <c r="L2005" s="124" t="s">
        <v>2985</v>
      </c>
      <c r="M2005" s="8" t="s">
        <v>3195</v>
      </c>
      <c r="N2005" s="8" t="s">
        <v>1890</v>
      </c>
      <c r="O2005" s="8" t="s">
        <v>1935</v>
      </c>
      <c r="P2005" s="8">
        <v>796</v>
      </c>
      <c r="Q2005" s="8" t="s">
        <v>3196</v>
      </c>
      <c r="R2005" s="10">
        <f>300+30+2</f>
        <v>332</v>
      </c>
      <c r="S2005" s="10">
        <v>238.84</v>
      </c>
      <c r="T2005" s="10">
        <v>0</v>
      </c>
      <c r="U2005" s="10">
        <f t="shared" si="1002"/>
        <v>0</v>
      </c>
      <c r="V2005" s="8"/>
      <c r="W2005" s="11">
        <v>2015</v>
      </c>
      <c r="X2005" s="8" t="s">
        <v>7518</v>
      </c>
    </row>
    <row r="2006" spans="1:24" ht="76.5" customHeight="1" outlineLevel="1" x14ac:dyDescent="0.2">
      <c r="A2006" s="1" t="s">
        <v>9986</v>
      </c>
      <c r="B2006" s="24" t="s">
        <v>5277</v>
      </c>
      <c r="C2006" s="7" t="s">
        <v>809</v>
      </c>
      <c r="D2006" s="7" t="s">
        <v>810</v>
      </c>
      <c r="E2006" s="7" t="s">
        <v>811</v>
      </c>
      <c r="F2006" s="25" t="s">
        <v>812</v>
      </c>
      <c r="G2006" s="1" t="s">
        <v>3190</v>
      </c>
      <c r="H2006" s="17">
        <v>0</v>
      </c>
      <c r="I2006" s="18">
        <v>710000000</v>
      </c>
      <c r="J2006" s="4" t="s">
        <v>1931</v>
      </c>
      <c r="K2006" s="4" t="s">
        <v>9078</v>
      </c>
      <c r="L2006" s="124" t="s">
        <v>2985</v>
      </c>
      <c r="M2006" s="8" t="s">
        <v>3195</v>
      </c>
      <c r="N2006" s="8" t="s">
        <v>1890</v>
      </c>
      <c r="O2006" s="8" t="s">
        <v>1935</v>
      </c>
      <c r="P2006" s="8">
        <v>796</v>
      </c>
      <c r="Q2006" s="8" t="s">
        <v>3196</v>
      </c>
      <c r="R2006" s="10">
        <f>300+30+2+300</f>
        <v>632</v>
      </c>
      <c r="S2006" s="10">
        <v>238.84</v>
      </c>
      <c r="T2006" s="10">
        <f t="shared" ref="T2006" si="1013">S2006*R2006</f>
        <v>150946.88</v>
      </c>
      <c r="U2006" s="10">
        <f t="shared" ref="U2006" si="1014">T2006*1.12</f>
        <v>169060.50560000003</v>
      </c>
      <c r="V2006" s="8"/>
      <c r="W2006" s="11">
        <v>2015</v>
      </c>
      <c r="X2006" s="8"/>
    </row>
    <row r="2007" spans="1:24" ht="127.5" customHeight="1" outlineLevel="1" x14ac:dyDescent="0.2">
      <c r="A2007" s="1" t="s">
        <v>3686</v>
      </c>
      <c r="B2007" s="16" t="s">
        <v>5277</v>
      </c>
      <c r="C2007" s="125" t="s">
        <v>813</v>
      </c>
      <c r="D2007" s="126" t="s">
        <v>814</v>
      </c>
      <c r="E2007" s="125" t="s">
        <v>815</v>
      </c>
      <c r="F2007" s="127" t="s">
        <v>816</v>
      </c>
      <c r="G2007" s="1" t="s">
        <v>3190</v>
      </c>
      <c r="H2007" s="22">
        <v>0</v>
      </c>
      <c r="I2007" s="18">
        <v>710000000</v>
      </c>
      <c r="J2007" s="4" t="s">
        <v>1931</v>
      </c>
      <c r="K2007" s="4" t="s">
        <v>5297</v>
      </c>
      <c r="L2007" s="124" t="s">
        <v>2985</v>
      </c>
      <c r="M2007" s="8" t="s">
        <v>3195</v>
      </c>
      <c r="N2007" s="8" t="s">
        <v>1890</v>
      </c>
      <c r="O2007" s="4" t="s">
        <v>1935</v>
      </c>
      <c r="P2007" s="4">
        <v>166</v>
      </c>
      <c r="Q2007" s="4" t="s">
        <v>3819</v>
      </c>
      <c r="R2007" s="10">
        <f>2837+1250</f>
        <v>4087</v>
      </c>
      <c r="S2007" s="10">
        <v>83.95</v>
      </c>
      <c r="T2007" s="10">
        <v>0</v>
      </c>
      <c r="U2007" s="10">
        <f t="shared" si="1002"/>
        <v>0</v>
      </c>
      <c r="V2007" s="4"/>
      <c r="W2007" s="11">
        <v>2015</v>
      </c>
      <c r="X2007" s="8" t="s">
        <v>7518</v>
      </c>
    </row>
    <row r="2008" spans="1:24" ht="127.5" customHeight="1" outlineLevel="1" x14ac:dyDescent="0.2">
      <c r="A2008" s="1" t="s">
        <v>9126</v>
      </c>
      <c r="B2008" s="16" t="s">
        <v>5277</v>
      </c>
      <c r="C2008" s="125" t="s">
        <v>813</v>
      </c>
      <c r="D2008" s="126" t="s">
        <v>814</v>
      </c>
      <c r="E2008" s="125" t="s">
        <v>815</v>
      </c>
      <c r="F2008" s="127" t="s">
        <v>816</v>
      </c>
      <c r="G2008" s="1" t="s">
        <v>3190</v>
      </c>
      <c r="H2008" s="22">
        <v>0</v>
      </c>
      <c r="I2008" s="18">
        <v>710000000</v>
      </c>
      <c r="J2008" s="4" t="s">
        <v>1931</v>
      </c>
      <c r="K2008" s="4" t="s">
        <v>9078</v>
      </c>
      <c r="L2008" s="124" t="s">
        <v>2985</v>
      </c>
      <c r="M2008" s="8" t="s">
        <v>3195</v>
      </c>
      <c r="N2008" s="8" t="s">
        <v>1890</v>
      </c>
      <c r="O2008" s="4" t="s">
        <v>1935</v>
      </c>
      <c r="P2008" s="4">
        <v>166</v>
      </c>
      <c r="Q2008" s="4" t="s">
        <v>3819</v>
      </c>
      <c r="R2008" s="10">
        <f>2837+1250+3500</f>
        <v>7587</v>
      </c>
      <c r="S2008" s="10">
        <v>83.95</v>
      </c>
      <c r="T2008" s="10">
        <f t="shared" ref="T2008" si="1015">S2008*R2008</f>
        <v>636928.65</v>
      </c>
      <c r="U2008" s="10">
        <f t="shared" ref="U2008" si="1016">T2008*1.12</f>
        <v>713360.08800000011</v>
      </c>
      <c r="V2008" s="4"/>
      <c r="W2008" s="11">
        <v>2015</v>
      </c>
      <c r="X2008" s="8"/>
    </row>
    <row r="2009" spans="1:24" ht="76.5" customHeight="1" outlineLevel="1" x14ac:dyDescent="0.2">
      <c r="A2009" s="1" t="s">
        <v>3687</v>
      </c>
      <c r="B2009" s="24" t="s">
        <v>5277</v>
      </c>
      <c r="C2009" s="25" t="s">
        <v>817</v>
      </c>
      <c r="D2009" s="25" t="s">
        <v>806</v>
      </c>
      <c r="E2009" s="25" t="s">
        <v>818</v>
      </c>
      <c r="F2009" s="25" t="s">
        <v>819</v>
      </c>
      <c r="G2009" s="1" t="s">
        <v>3190</v>
      </c>
      <c r="H2009" s="17">
        <v>0</v>
      </c>
      <c r="I2009" s="18">
        <v>710000000</v>
      </c>
      <c r="J2009" s="4" t="s">
        <v>1931</v>
      </c>
      <c r="K2009" s="4" t="s">
        <v>5297</v>
      </c>
      <c r="L2009" s="124" t="s">
        <v>2985</v>
      </c>
      <c r="M2009" s="8" t="s">
        <v>3195</v>
      </c>
      <c r="N2009" s="8" t="s">
        <v>1890</v>
      </c>
      <c r="O2009" s="8" t="s">
        <v>1935</v>
      </c>
      <c r="P2009" s="4">
        <v>778</v>
      </c>
      <c r="Q2009" s="4" t="s">
        <v>3327</v>
      </c>
      <c r="R2009" s="10">
        <f>50+50</f>
        <v>100</v>
      </c>
      <c r="S2009" s="10">
        <v>382.14</v>
      </c>
      <c r="T2009" s="10">
        <v>0</v>
      </c>
      <c r="U2009" s="10">
        <f t="shared" si="1002"/>
        <v>0</v>
      </c>
      <c r="V2009" s="7"/>
      <c r="W2009" s="11">
        <v>2015</v>
      </c>
      <c r="X2009" s="8" t="s">
        <v>7518</v>
      </c>
    </row>
    <row r="2010" spans="1:24" ht="76.5" customHeight="1" outlineLevel="1" x14ac:dyDescent="0.2">
      <c r="A2010" s="1" t="s">
        <v>9127</v>
      </c>
      <c r="B2010" s="24" t="s">
        <v>5277</v>
      </c>
      <c r="C2010" s="25" t="s">
        <v>817</v>
      </c>
      <c r="D2010" s="25" t="s">
        <v>806</v>
      </c>
      <c r="E2010" s="25" t="s">
        <v>818</v>
      </c>
      <c r="F2010" s="25" t="s">
        <v>819</v>
      </c>
      <c r="G2010" s="1" t="s">
        <v>3190</v>
      </c>
      <c r="H2010" s="17">
        <v>0</v>
      </c>
      <c r="I2010" s="18">
        <v>710000000</v>
      </c>
      <c r="J2010" s="4" t="s">
        <v>1931</v>
      </c>
      <c r="K2010" s="4" t="s">
        <v>9078</v>
      </c>
      <c r="L2010" s="124" t="s">
        <v>2985</v>
      </c>
      <c r="M2010" s="8" t="s">
        <v>3195</v>
      </c>
      <c r="N2010" s="8" t="s">
        <v>1890</v>
      </c>
      <c r="O2010" s="8" t="s">
        <v>1935</v>
      </c>
      <c r="P2010" s="4">
        <v>778</v>
      </c>
      <c r="Q2010" s="4" t="s">
        <v>3327</v>
      </c>
      <c r="R2010" s="10">
        <f>50+50+90</f>
        <v>190</v>
      </c>
      <c r="S2010" s="10">
        <v>382.14</v>
      </c>
      <c r="T2010" s="10">
        <f t="shared" ref="T2010" si="1017">S2010*R2010</f>
        <v>72606.599999999991</v>
      </c>
      <c r="U2010" s="10">
        <f t="shared" ref="U2010" si="1018">T2010*1.12</f>
        <v>81319.391999999993</v>
      </c>
      <c r="V2010" s="7"/>
      <c r="W2010" s="11">
        <v>2015</v>
      </c>
      <c r="X2010" s="8"/>
    </row>
    <row r="2011" spans="1:24" ht="76.5" customHeight="1" outlineLevel="1" x14ac:dyDescent="0.2">
      <c r="A2011" s="1" t="s">
        <v>3688</v>
      </c>
      <c r="B2011" s="24" t="s">
        <v>5277</v>
      </c>
      <c r="C2011" s="25" t="s">
        <v>820</v>
      </c>
      <c r="D2011" s="25" t="s">
        <v>821</v>
      </c>
      <c r="E2011" s="25" t="s">
        <v>822</v>
      </c>
      <c r="F2011" s="25" t="s">
        <v>823</v>
      </c>
      <c r="G2011" s="1" t="s">
        <v>3190</v>
      </c>
      <c r="H2011" s="17">
        <v>0</v>
      </c>
      <c r="I2011" s="18">
        <v>710000000</v>
      </c>
      <c r="J2011" s="4" t="s">
        <v>1931</v>
      </c>
      <c r="K2011" s="4" t="s">
        <v>5297</v>
      </c>
      <c r="L2011" s="124" t="s">
        <v>2985</v>
      </c>
      <c r="M2011" s="8" t="s">
        <v>3195</v>
      </c>
      <c r="N2011" s="8" t="s">
        <v>1890</v>
      </c>
      <c r="O2011" s="8" t="s">
        <v>1935</v>
      </c>
      <c r="P2011" s="1">
        <v>778</v>
      </c>
      <c r="Q2011" s="4" t="s">
        <v>3327</v>
      </c>
      <c r="R2011" s="10">
        <f>50+500+10</f>
        <v>560</v>
      </c>
      <c r="S2011" s="10">
        <v>477.68</v>
      </c>
      <c r="T2011" s="10">
        <v>0</v>
      </c>
      <c r="U2011" s="10">
        <f t="shared" si="1002"/>
        <v>0</v>
      </c>
      <c r="V2011" s="7"/>
      <c r="W2011" s="11">
        <v>2015</v>
      </c>
      <c r="X2011" s="8" t="s">
        <v>7518</v>
      </c>
    </row>
    <row r="2012" spans="1:24" ht="76.5" customHeight="1" outlineLevel="1" x14ac:dyDescent="0.2">
      <c r="A2012" s="1" t="s">
        <v>9128</v>
      </c>
      <c r="B2012" s="24" t="s">
        <v>5277</v>
      </c>
      <c r="C2012" s="25" t="s">
        <v>820</v>
      </c>
      <c r="D2012" s="25" t="s">
        <v>821</v>
      </c>
      <c r="E2012" s="25" t="s">
        <v>822</v>
      </c>
      <c r="F2012" s="25" t="s">
        <v>823</v>
      </c>
      <c r="G2012" s="1" t="s">
        <v>3190</v>
      </c>
      <c r="H2012" s="17">
        <v>0</v>
      </c>
      <c r="I2012" s="18">
        <v>710000000</v>
      </c>
      <c r="J2012" s="4" t="s">
        <v>1931</v>
      </c>
      <c r="K2012" s="4" t="s">
        <v>9078</v>
      </c>
      <c r="L2012" s="124" t="s">
        <v>2985</v>
      </c>
      <c r="M2012" s="8" t="s">
        <v>3195</v>
      </c>
      <c r="N2012" s="8" t="s">
        <v>1890</v>
      </c>
      <c r="O2012" s="8" t="s">
        <v>1935</v>
      </c>
      <c r="P2012" s="1">
        <v>778</v>
      </c>
      <c r="Q2012" s="4" t="s">
        <v>3327</v>
      </c>
      <c r="R2012" s="10">
        <f>50+500+10+500</f>
        <v>1060</v>
      </c>
      <c r="S2012" s="10">
        <v>477.68</v>
      </c>
      <c r="T2012" s="10">
        <f t="shared" ref="T2012" si="1019">S2012*R2012</f>
        <v>506340.8</v>
      </c>
      <c r="U2012" s="10">
        <f t="shared" ref="U2012" si="1020">T2012*1.12</f>
        <v>567101.696</v>
      </c>
      <c r="V2012" s="7"/>
      <c r="W2012" s="11">
        <v>2015</v>
      </c>
      <c r="X2012" s="8"/>
    </row>
    <row r="2013" spans="1:24" ht="76.5" customHeight="1" outlineLevel="1" x14ac:dyDescent="0.2">
      <c r="A2013" s="1" t="s">
        <v>3689</v>
      </c>
      <c r="B2013" s="24" t="s">
        <v>5277</v>
      </c>
      <c r="C2013" s="25" t="s">
        <v>824</v>
      </c>
      <c r="D2013" s="25" t="s">
        <v>825</v>
      </c>
      <c r="E2013" s="25" t="s">
        <v>826</v>
      </c>
      <c r="F2013" s="25" t="s">
        <v>827</v>
      </c>
      <c r="G2013" s="1" t="s">
        <v>3190</v>
      </c>
      <c r="H2013" s="17">
        <v>0</v>
      </c>
      <c r="I2013" s="18">
        <v>710000000</v>
      </c>
      <c r="J2013" s="4" t="s">
        <v>1931</v>
      </c>
      <c r="K2013" s="4" t="s">
        <v>5297</v>
      </c>
      <c r="L2013" s="124" t="s">
        <v>2985</v>
      </c>
      <c r="M2013" s="8" t="s">
        <v>3195</v>
      </c>
      <c r="N2013" s="8" t="s">
        <v>1890</v>
      </c>
      <c r="O2013" s="8" t="s">
        <v>1935</v>
      </c>
      <c r="P2013" s="4">
        <v>166</v>
      </c>
      <c r="Q2013" s="4" t="s">
        <v>3819</v>
      </c>
      <c r="R2013" s="10">
        <f>500+50</f>
        <v>550</v>
      </c>
      <c r="S2013" s="10">
        <v>95.36</v>
      </c>
      <c r="T2013" s="10">
        <v>0</v>
      </c>
      <c r="U2013" s="10">
        <f t="shared" si="1002"/>
        <v>0</v>
      </c>
      <c r="V2013" s="7"/>
      <c r="W2013" s="11">
        <v>2015</v>
      </c>
      <c r="X2013" s="8" t="s">
        <v>7518</v>
      </c>
    </row>
    <row r="2014" spans="1:24" ht="76.5" customHeight="1" outlineLevel="1" x14ac:dyDescent="0.2">
      <c r="A2014" s="1" t="s">
        <v>9129</v>
      </c>
      <c r="B2014" s="24" t="s">
        <v>5277</v>
      </c>
      <c r="C2014" s="25" t="s">
        <v>824</v>
      </c>
      <c r="D2014" s="25" t="s">
        <v>825</v>
      </c>
      <c r="E2014" s="25" t="s">
        <v>826</v>
      </c>
      <c r="F2014" s="25" t="s">
        <v>827</v>
      </c>
      <c r="G2014" s="1" t="s">
        <v>3190</v>
      </c>
      <c r="H2014" s="17">
        <v>0</v>
      </c>
      <c r="I2014" s="18">
        <v>710000000</v>
      </c>
      <c r="J2014" s="4" t="s">
        <v>1931</v>
      </c>
      <c r="K2014" s="4" t="s">
        <v>9078</v>
      </c>
      <c r="L2014" s="124" t="s">
        <v>2985</v>
      </c>
      <c r="M2014" s="8" t="s">
        <v>3195</v>
      </c>
      <c r="N2014" s="8" t="s">
        <v>1890</v>
      </c>
      <c r="O2014" s="8" t="s">
        <v>1935</v>
      </c>
      <c r="P2014" s="4">
        <v>166</v>
      </c>
      <c r="Q2014" s="4" t="s">
        <v>3819</v>
      </c>
      <c r="R2014" s="10">
        <f>500+50+550</f>
        <v>1100</v>
      </c>
      <c r="S2014" s="10">
        <v>95.36</v>
      </c>
      <c r="T2014" s="10">
        <f t="shared" ref="T2014" si="1021">S2014*R2014</f>
        <v>104896</v>
      </c>
      <c r="U2014" s="10">
        <f t="shared" ref="U2014" si="1022">T2014*1.12</f>
        <v>117483.52</v>
      </c>
      <c r="V2014" s="7"/>
      <c r="W2014" s="11">
        <v>2015</v>
      </c>
      <c r="X2014" s="8"/>
    </row>
    <row r="2015" spans="1:24" ht="76.5" customHeight="1" outlineLevel="1" x14ac:dyDescent="0.2">
      <c r="A2015" s="1" t="s">
        <v>3690</v>
      </c>
      <c r="B2015" s="24" t="s">
        <v>5277</v>
      </c>
      <c r="C2015" s="25" t="s">
        <v>817</v>
      </c>
      <c r="D2015" s="25" t="s">
        <v>806</v>
      </c>
      <c r="E2015" s="25" t="s">
        <v>818</v>
      </c>
      <c r="F2015" s="25" t="s">
        <v>828</v>
      </c>
      <c r="G2015" s="1" t="s">
        <v>3190</v>
      </c>
      <c r="H2015" s="17">
        <v>0</v>
      </c>
      <c r="I2015" s="18">
        <v>710000000</v>
      </c>
      <c r="J2015" s="4" t="s">
        <v>1931</v>
      </c>
      <c r="K2015" s="4" t="s">
        <v>5297</v>
      </c>
      <c r="L2015" s="124" t="s">
        <v>2985</v>
      </c>
      <c r="M2015" s="8" t="s">
        <v>3195</v>
      </c>
      <c r="N2015" s="8" t="s">
        <v>1890</v>
      </c>
      <c r="O2015" s="8" t="s">
        <v>1935</v>
      </c>
      <c r="P2015" s="4">
        <v>778</v>
      </c>
      <c r="Q2015" s="4" t="s">
        <v>3327</v>
      </c>
      <c r="R2015" s="10">
        <v>2</v>
      </c>
      <c r="S2015" s="10">
        <v>1246.43</v>
      </c>
      <c r="T2015" s="10">
        <v>0</v>
      </c>
      <c r="U2015" s="10">
        <f t="shared" si="1002"/>
        <v>0</v>
      </c>
      <c r="V2015" s="7"/>
      <c r="W2015" s="11">
        <v>2015</v>
      </c>
      <c r="X2015" s="8" t="s">
        <v>7518</v>
      </c>
    </row>
    <row r="2016" spans="1:24" ht="76.5" customHeight="1" outlineLevel="1" x14ac:dyDescent="0.2">
      <c r="A2016" s="1" t="s">
        <v>9130</v>
      </c>
      <c r="B2016" s="24" t="s">
        <v>5277</v>
      </c>
      <c r="C2016" s="25" t="s">
        <v>817</v>
      </c>
      <c r="D2016" s="25" t="s">
        <v>806</v>
      </c>
      <c r="E2016" s="25" t="s">
        <v>818</v>
      </c>
      <c r="F2016" s="25" t="s">
        <v>828</v>
      </c>
      <c r="G2016" s="1" t="s">
        <v>3190</v>
      </c>
      <c r="H2016" s="17">
        <v>0</v>
      </c>
      <c r="I2016" s="18">
        <v>710000000</v>
      </c>
      <c r="J2016" s="4" t="s">
        <v>1931</v>
      </c>
      <c r="K2016" s="4" t="s">
        <v>9078</v>
      </c>
      <c r="L2016" s="124" t="s">
        <v>2985</v>
      </c>
      <c r="M2016" s="8" t="s">
        <v>3195</v>
      </c>
      <c r="N2016" s="8" t="s">
        <v>1890</v>
      </c>
      <c r="O2016" s="8" t="s">
        <v>1935</v>
      </c>
      <c r="P2016" s="4">
        <v>778</v>
      </c>
      <c r="Q2016" s="4" t="s">
        <v>3327</v>
      </c>
      <c r="R2016" s="10">
        <f>2+1</f>
        <v>3</v>
      </c>
      <c r="S2016" s="10">
        <v>1246.43</v>
      </c>
      <c r="T2016" s="10">
        <f t="shared" ref="T2016" si="1023">S2016*R2016</f>
        <v>3739.29</v>
      </c>
      <c r="U2016" s="10">
        <f t="shared" ref="U2016:U2022" si="1024">T2016*1.12</f>
        <v>4188.0048000000006</v>
      </c>
      <c r="V2016" s="7"/>
      <c r="W2016" s="11">
        <v>2015</v>
      </c>
      <c r="X2016" s="8"/>
    </row>
    <row r="2017" spans="1:24" ht="76.5" customHeight="1" outlineLevel="1" x14ac:dyDescent="0.2">
      <c r="A2017" s="1" t="s">
        <v>3691</v>
      </c>
      <c r="B2017" s="24" t="s">
        <v>5277</v>
      </c>
      <c r="C2017" s="25" t="s">
        <v>824</v>
      </c>
      <c r="D2017" s="25" t="s">
        <v>825</v>
      </c>
      <c r="E2017" s="25" t="s">
        <v>826</v>
      </c>
      <c r="F2017" s="25" t="s">
        <v>827</v>
      </c>
      <c r="G2017" s="1" t="s">
        <v>3190</v>
      </c>
      <c r="H2017" s="17">
        <v>0</v>
      </c>
      <c r="I2017" s="18">
        <v>710000000</v>
      </c>
      <c r="J2017" s="4" t="s">
        <v>1931</v>
      </c>
      <c r="K2017" s="4" t="s">
        <v>5297</v>
      </c>
      <c r="L2017" s="124" t="s">
        <v>1889</v>
      </c>
      <c r="M2017" s="8" t="s">
        <v>3195</v>
      </c>
      <c r="N2017" s="8" t="s">
        <v>1890</v>
      </c>
      <c r="O2017" s="8" t="s">
        <v>1935</v>
      </c>
      <c r="P2017" s="4">
        <v>166</v>
      </c>
      <c r="Q2017" s="4" t="s">
        <v>3819</v>
      </c>
      <c r="R2017" s="10">
        <v>295</v>
      </c>
      <c r="S2017" s="10">
        <v>95.36</v>
      </c>
      <c r="T2017" s="10">
        <v>0</v>
      </c>
      <c r="U2017" s="10">
        <f t="shared" si="1024"/>
        <v>0</v>
      </c>
      <c r="V2017" s="7"/>
      <c r="W2017" s="11">
        <v>2015</v>
      </c>
      <c r="X2017" s="8" t="s">
        <v>8195</v>
      </c>
    </row>
    <row r="2018" spans="1:24" ht="100.5" customHeight="1" outlineLevel="1" x14ac:dyDescent="0.2">
      <c r="A2018" s="1" t="s">
        <v>10045</v>
      </c>
      <c r="B2018" s="24" t="s">
        <v>5277</v>
      </c>
      <c r="C2018" s="25" t="s">
        <v>824</v>
      </c>
      <c r="D2018" s="25" t="s">
        <v>825</v>
      </c>
      <c r="E2018" s="25" t="s">
        <v>826</v>
      </c>
      <c r="F2018" s="25" t="s">
        <v>10046</v>
      </c>
      <c r="G2018" s="1" t="s">
        <v>3190</v>
      </c>
      <c r="H2018" s="17">
        <v>0</v>
      </c>
      <c r="I2018" s="18">
        <v>710000000</v>
      </c>
      <c r="J2018" s="4" t="s">
        <v>1931</v>
      </c>
      <c r="K2018" s="4" t="s">
        <v>10047</v>
      </c>
      <c r="L2018" s="124" t="s">
        <v>1889</v>
      </c>
      <c r="M2018" s="8" t="s">
        <v>3195</v>
      </c>
      <c r="N2018" s="8" t="s">
        <v>1890</v>
      </c>
      <c r="O2018" s="8" t="s">
        <v>1935</v>
      </c>
      <c r="P2018" s="4">
        <v>166</v>
      </c>
      <c r="Q2018" s="4" t="s">
        <v>3819</v>
      </c>
      <c r="R2018" s="10">
        <v>120</v>
      </c>
      <c r="S2018" s="10">
        <v>235.4</v>
      </c>
      <c r="T2018" s="10">
        <f t="shared" ref="T2018" si="1025">S2018*R2018</f>
        <v>28248</v>
      </c>
      <c r="U2018" s="10">
        <f t="shared" si="1024"/>
        <v>31637.760000000002</v>
      </c>
      <c r="V2018" s="7"/>
      <c r="W2018" s="11">
        <v>2015</v>
      </c>
      <c r="X2018" s="8"/>
    </row>
    <row r="2019" spans="1:24" ht="265.5" customHeight="1" outlineLevel="1" x14ac:dyDescent="0.2">
      <c r="A2019" s="1" t="s">
        <v>3692</v>
      </c>
      <c r="B2019" s="16" t="s">
        <v>5277</v>
      </c>
      <c r="C2019" s="125" t="s">
        <v>813</v>
      </c>
      <c r="D2019" s="126" t="s">
        <v>814</v>
      </c>
      <c r="E2019" s="125" t="s">
        <v>815</v>
      </c>
      <c r="F2019" s="127" t="s">
        <v>816</v>
      </c>
      <c r="G2019" s="1" t="s">
        <v>3190</v>
      </c>
      <c r="H2019" s="22">
        <v>0</v>
      </c>
      <c r="I2019" s="18">
        <v>710000000</v>
      </c>
      <c r="J2019" s="4" t="s">
        <v>1931</v>
      </c>
      <c r="K2019" s="4" t="s">
        <v>5297</v>
      </c>
      <c r="L2019" s="124" t="s">
        <v>1889</v>
      </c>
      <c r="M2019" s="8" t="s">
        <v>3195</v>
      </c>
      <c r="N2019" s="8" t="s">
        <v>1890</v>
      </c>
      <c r="O2019" s="4" t="s">
        <v>1935</v>
      </c>
      <c r="P2019" s="4">
        <v>166</v>
      </c>
      <c r="Q2019" s="4" t="s">
        <v>3819</v>
      </c>
      <c r="R2019" s="10">
        <v>100</v>
      </c>
      <c r="S2019" s="10">
        <v>83.95</v>
      </c>
      <c r="T2019" s="10">
        <v>0</v>
      </c>
      <c r="U2019" s="10">
        <f t="shared" si="1024"/>
        <v>0</v>
      </c>
      <c r="V2019" s="7"/>
      <c r="W2019" s="11">
        <v>2015</v>
      </c>
      <c r="X2019" s="8" t="s">
        <v>8195</v>
      </c>
    </row>
    <row r="2020" spans="1:24" ht="258.75" customHeight="1" outlineLevel="1" x14ac:dyDescent="0.2">
      <c r="A2020" s="1" t="s">
        <v>10048</v>
      </c>
      <c r="B2020" s="16" t="s">
        <v>5277</v>
      </c>
      <c r="C2020" s="125" t="s">
        <v>813</v>
      </c>
      <c r="D2020" s="126" t="s">
        <v>814</v>
      </c>
      <c r="E2020" s="125" t="s">
        <v>815</v>
      </c>
      <c r="F2020" s="127" t="s">
        <v>816</v>
      </c>
      <c r="G2020" s="1" t="s">
        <v>3190</v>
      </c>
      <c r="H2020" s="22">
        <v>0</v>
      </c>
      <c r="I2020" s="18">
        <v>710000000</v>
      </c>
      <c r="J2020" s="4" t="s">
        <v>1931</v>
      </c>
      <c r="K2020" s="4" t="s">
        <v>10047</v>
      </c>
      <c r="L2020" s="124" t="s">
        <v>1889</v>
      </c>
      <c r="M2020" s="8" t="s">
        <v>3195</v>
      </c>
      <c r="N2020" s="8" t="s">
        <v>1890</v>
      </c>
      <c r="O2020" s="4" t="s">
        <v>1935</v>
      </c>
      <c r="P2020" s="4">
        <v>166</v>
      </c>
      <c r="Q2020" s="4" t="s">
        <v>3819</v>
      </c>
      <c r="R2020" s="10">
        <v>250</v>
      </c>
      <c r="S2020" s="10">
        <v>34.24</v>
      </c>
      <c r="T2020" s="10">
        <f t="shared" ref="T2020" si="1026">S2020*R2020</f>
        <v>8560</v>
      </c>
      <c r="U2020" s="10">
        <f t="shared" si="1024"/>
        <v>9587.2000000000007</v>
      </c>
      <c r="V2020" s="7"/>
      <c r="W2020" s="11">
        <v>2015</v>
      </c>
      <c r="X2020" s="8"/>
    </row>
    <row r="2021" spans="1:24" ht="76.5" customHeight="1" outlineLevel="1" x14ac:dyDescent="0.2">
      <c r="A2021" s="1" t="s">
        <v>3693</v>
      </c>
      <c r="B2021" s="16" t="s">
        <v>5277</v>
      </c>
      <c r="C2021" s="25" t="s">
        <v>805</v>
      </c>
      <c r="D2021" s="25" t="s">
        <v>806</v>
      </c>
      <c r="E2021" s="25" t="s">
        <v>807</v>
      </c>
      <c r="F2021" s="16" t="s">
        <v>808</v>
      </c>
      <c r="G2021" s="1" t="s">
        <v>3190</v>
      </c>
      <c r="H2021" s="22">
        <v>0</v>
      </c>
      <c r="I2021" s="18">
        <v>710000000</v>
      </c>
      <c r="J2021" s="4" t="s">
        <v>1931</v>
      </c>
      <c r="K2021" s="4" t="s">
        <v>5297</v>
      </c>
      <c r="L2021" s="124" t="s">
        <v>1889</v>
      </c>
      <c r="M2021" s="8" t="s">
        <v>3195</v>
      </c>
      <c r="N2021" s="8" t="s">
        <v>1890</v>
      </c>
      <c r="O2021" s="4" t="s">
        <v>1935</v>
      </c>
      <c r="P2021" s="4">
        <v>778</v>
      </c>
      <c r="Q2021" s="4" t="s">
        <v>3327</v>
      </c>
      <c r="R2021" s="10">
        <f>20+4</f>
        <v>24</v>
      </c>
      <c r="S2021" s="10">
        <v>114.5</v>
      </c>
      <c r="T2021" s="10">
        <v>0</v>
      </c>
      <c r="U2021" s="10">
        <f t="shared" si="1024"/>
        <v>0</v>
      </c>
      <c r="V2021" s="7"/>
      <c r="W2021" s="11">
        <v>2015</v>
      </c>
      <c r="X2021" s="8">
        <v>11</v>
      </c>
    </row>
    <row r="2022" spans="1:24" ht="76.5" customHeight="1" outlineLevel="1" x14ac:dyDescent="0.2">
      <c r="A2022" s="1" t="s">
        <v>10049</v>
      </c>
      <c r="B2022" s="16" t="s">
        <v>5277</v>
      </c>
      <c r="C2022" s="25" t="s">
        <v>805</v>
      </c>
      <c r="D2022" s="25" t="s">
        <v>806</v>
      </c>
      <c r="E2022" s="25" t="s">
        <v>807</v>
      </c>
      <c r="F2022" s="16" t="s">
        <v>808</v>
      </c>
      <c r="G2022" s="1" t="s">
        <v>3190</v>
      </c>
      <c r="H2022" s="22">
        <v>0</v>
      </c>
      <c r="I2022" s="18">
        <v>710000000</v>
      </c>
      <c r="J2022" s="4" t="s">
        <v>1931</v>
      </c>
      <c r="K2022" s="4" t="s">
        <v>10047</v>
      </c>
      <c r="L2022" s="124" t="s">
        <v>1889</v>
      </c>
      <c r="M2022" s="8" t="s">
        <v>3195</v>
      </c>
      <c r="N2022" s="8" t="s">
        <v>1890</v>
      </c>
      <c r="O2022" s="4" t="s">
        <v>1935</v>
      </c>
      <c r="P2022" s="4">
        <v>778</v>
      </c>
      <c r="Q2022" s="4" t="s">
        <v>3327</v>
      </c>
      <c r="R2022" s="10">
        <f>20+4</f>
        <v>24</v>
      </c>
      <c r="S2022" s="10">
        <v>114</v>
      </c>
      <c r="T2022" s="10">
        <f t="shared" ref="T2022" si="1027">S2022*R2022</f>
        <v>2736</v>
      </c>
      <c r="U2022" s="10">
        <f t="shared" si="1024"/>
        <v>3064.32</v>
      </c>
      <c r="V2022" s="7"/>
      <c r="W2022" s="11">
        <v>2015</v>
      </c>
      <c r="X2022" s="8"/>
    </row>
    <row r="2023" spans="1:24" s="13" customFormat="1" ht="76.5" customHeight="1" outlineLevel="1" x14ac:dyDescent="0.2">
      <c r="A2023" s="1" t="s">
        <v>3694</v>
      </c>
      <c r="B2023" s="38" t="s">
        <v>5277</v>
      </c>
      <c r="C2023" s="2" t="s">
        <v>553</v>
      </c>
      <c r="D2023" s="2" t="s">
        <v>5231</v>
      </c>
      <c r="E2023" s="2" t="s">
        <v>552</v>
      </c>
      <c r="F2023" s="39" t="s">
        <v>6205</v>
      </c>
      <c r="G2023" s="1" t="s">
        <v>3187</v>
      </c>
      <c r="H2023" s="5">
        <v>0</v>
      </c>
      <c r="I2023" s="6">
        <v>710000000</v>
      </c>
      <c r="J2023" s="4" t="s">
        <v>1931</v>
      </c>
      <c r="K2023" s="4" t="s">
        <v>5297</v>
      </c>
      <c r="L2023" s="3" t="s">
        <v>1165</v>
      </c>
      <c r="M2023" s="8" t="s">
        <v>3195</v>
      </c>
      <c r="N2023" s="3" t="s">
        <v>1890</v>
      </c>
      <c r="O2023" s="8" t="s">
        <v>1935</v>
      </c>
      <c r="P2023" s="8">
        <v>796</v>
      </c>
      <c r="Q2023" s="8" t="s">
        <v>3196</v>
      </c>
      <c r="R2023" s="9">
        <v>10</v>
      </c>
      <c r="S2023" s="9">
        <v>44633.93</v>
      </c>
      <c r="T2023" s="10">
        <f t="shared" si="1001"/>
        <v>446339.3</v>
      </c>
      <c r="U2023" s="10">
        <f t="shared" si="1002"/>
        <v>499900.01600000006</v>
      </c>
      <c r="V2023" s="7"/>
      <c r="W2023" s="11">
        <v>2015</v>
      </c>
      <c r="X2023" s="12"/>
    </row>
    <row r="2024" spans="1:24" s="13" customFormat="1" ht="76.5" customHeight="1" outlineLevel="1" x14ac:dyDescent="0.2">
      <c r="A2024" s="1" t="s">
        <v>3695</v>
      </c>
      <c r="B2024" s="2" t="s">
        <v>5277</v>
      </c>
      <c r="C2024" s="2" t="s">
        <v>3099</v>
      </c>
      <c r="D2024" s="2" t="s">
        <v>5231</v>
      </c>
      <c r="E2024" s="2" t="s">
        <v>5232</v>
      </c>
      <c r="F2024" s="2" t="s">
        <v>551</v>
      </c>
      <c r="G2024" s="1" t="s">
        <v>3187</v>
      </c>
      <c r="H2024" s="5">
        <v>0</v>
      </c>
      <c r="I2024" s="6">
        <v>710000000</v>
      </c>
      <c r="J2024" s="4" t="s">
        <v>1931</v>
      </c>
      <c r="K2024" s="4" t="s">
        <v>5297</v>
      </c>
      <c r="L2024" s="3" t="s">
        <v>1165</v>
      </c>
      <c r="M2024" s="8" t="s">
        <v>3195</v>
      </c>
      <c r="N2024" s="3" t="s">
        <v>1890</v>
      </c>
      <c r="O2024" s="8" t="s">
        <v>1935</v>
      </c>
      <c r="P2024" s="8">
        <v>796</v>
      </c>
      <c r="Q2024" s="8" t="s">
        <v>3196</v>
      </c>
      <c r="R2024" s="69">
        <f>10+10+50</f>
        <v>70</v>
      </c>
      <c r="S2024" s="69">
        <v>3821.43</v>
      </c>
      <c r="T2024" s="10">
        <v>0</v>
      </c>
      <c r="U2024" s="10">
        <f t="shared" si="1002"/>
        <v>0</v>
      </c>
      <c r="V2024" s="7"/>
      <c r="W2024" s="1">
        <v>2015</v>
      </c>
      <c r="X2024" s="62" t="s">
        <v>7678</v>
      </c>
    </row>
    <row r="2025" spans="1:24" s="13" customFormat="1" ht="76.5" customHeight="1" outlineLevel="1" x14ac:dyDescent="0.2">
      <c r="A2025" s="1" t="s">
        <v>7672</v>
      </c>
      <c r="B2025" s="2" t="s">
        <v>5277</v>
      </c>
      <c r="C2025" s="2" t="s">
        <v>3099</v>
      </c>
      <c r="D2025" s="2" t="s">
        <v>5231</v>
      </c>
      <c r="E2025" s="2" t="s">
        <v>5232</v>
      </c>
      <c r="F2025" s="2" t="s">
        <v>551</v>
      </c>
      <c r="G2025" s="1" t="s">
        <v>3190</v>
      </c>
      <c r="H2025" s="5">
        <v>0</v>
      </c>
      <c r="I2025" s="6">
        <v>710000000</v>
      </c>
      <c r="J2025" s="4" t="s">
        <v>1931</v>
      </c>
      <c r="K2025" s="4" t="s">
        <v>756</v>
      </c>
      <c r="L2025" s="3" t="s">
        <v>1165</v>
      </c>
      <c r="M2025" s="8" t="s">
        <v>3195</v>
      </c>
      <c r="N2025" s="3" t="s">
        <v>1890</v>
      </c>
      <c r="O2025" s="8" t="s">
        <v>1935</v>
      </c>
      <c r="P2025" s="8">
        <v>796</v>
      </c>
      <c r="Q2025" s="8" t="s">
        <v>3196</v>
      </c>
      <c r="R2025" s="69">
        <f>7+5+30</f>
        <v>42</v>
      </c>
      <c r="S2025" s="69">
        <v>3821.43</v>
      </c>
      <c r="T2025" s="10">
        <f t="shared" ref="T2025" si="1028">S2025*R2025</f>
        <v>160500.06</v>
      </c>
      <c r="U2025" s="10">
        <f t="shared" ref="U2025" si="1029">T2025*1.12</f>
        <v>179760.06720000002</v>
      </c>
      <c r="V2025" s="7"/>
      <c r="W2025" s="1">
        <v>2015</v>
      </c>
      <c r="X2025" s="62"/>
    </row>
    <row r="2026" spans="1:24" s="13" customFormat="1" ht="76.5" customHeight="1" outlineLevel="1" x14ac:dyDescent="0.2">
      <c r="A2026" s="1" t="s">
        <v>3696</v>
      </c>
      <c r="B2026" s="2" t="s">
        <v>5277</v>
      </c>
      <c r="C2026" s="2" t="s">
        <v>3099</v>
      </c>
      <c r="D2026" s="2" t="s">
        <v>5231</v>
      </c>
      <c r="E2026" s="2" t="s">
        <v>5232</v>
      </c>
      <c r="F2026" s="2" t="s">
        <v>550</v>
      </c>
      <c r="G2026" s="1" t="s">
        <v>3187</v>
      </c>
      <c r="H2026" s="5">
        <v>0</v>
      </c>
      <c r="I2026" s="6">
        <v>710000000</v>
      </c>
      <c r="J2026" s="4" t="s">
        <v>1931</v>
      </c>
      <c r="K2026" s="4" t="s">
        <v>5297</v>
      </c>
      <c r="L2026" s="3" t="s">
        <v>1165</v>
      </c>
      <c r="M2026" s="8" t="s">
        <v>3195</v>
      </c>
      <c r="N2026" s="3" t="s">
        <v>1890</v>
      </c>
      <c r="O2026" s="8" t="s">
        <v>1935</v>
      </c>
      <c r="P2026" s="8">
        <v>796</v>
      </c>
      <c r="Q2026" s="8" t="s">
        <v>3196</v>
      </c>
      <c r="R2026" s="69">
        <v>20</v>
      </c>
      <c r="S2026" s="69">
        <v>8202.68</v>
      </c>
      <c r="T2026" s="10">
        <v>0</v>
      </c>
      <c r="U2026" s="10">
        <f t="shared" si="1002"/>
        <v>0</v>
      </c>
      <c r="V2026" s="7"/>
      <c r="W2026" s="1">
        <v>2015</v>
      </c>
      <c r="X2026" s="62" t="s">
        <v>7678</v>
      </c>
    </row>
    <row r="2027" spans="1:24" s="13" customFormat="1" ht="76.5" customHeight="1" outlineLevel="1" x14ac:dyDescent="0.2">
      <c r="A2027" s="1" t="s">
        <v>7673</v>
      </c>
      <c r="B2027" s="2" t="s">
        <v>5277</v>
      </c>
      <c r="C2027" s="2" t="s">
        <v>3099</v>
      </c>
      <c r="D2027" s="2" t="s">
        <v>5231</v>
      </c>
      <c r="E2027" s="2" t="s">
        <v>5232</v>
      </c>
      <c r="F2027" s="2" t="s">
        <v>550</v>
      </c>
      <c r="G2027" s="1" t="s">
        <v>3190</v>
      </c>
      <c r="H2027" s="5">
        <v>0</v>
      </c>
      <c r="I2027" s="6">
        <v>710000000</v>
      </c>
      <c r="J2027" s="4" t="s">
        <v>1931</v>
      </c>
      <c r="K2027" s="4" t="s">
        <v>756</v>
      </c>
      <c r="L2027" s="3" t="s">
        <v>1165</v>
      </c>
      <c r="M2027" s="8" t="s">
        <v>3195</v>
      </c>
      <c r="N2027" s="3" t="s">
        <v>1890</v>
      </c>
      <c r="O2027" s="8" t="s">
        <v>1935</v>
      </c>
      <c r="P2027" s="8">
        <v>796</v>
      </c>
      <c r="Q2027" s="8" t="s">
        <v>3196</v>
      </c>
      <c r="R2027" s="69">
        <v>15</v>
      </c>
      <c r="S2027" s="69">
        <v>8202.68</v>
      </c>
      <c r="T2027" s="10">
        <f t="shared" ref="T2027" si="1030">S2027*R2027</f>
        <v>123040.20000000001</v>
      </c>
      <c r="U2027" s="10">
        <f t="shared" ref="U2027" si="1031">T2027*1.12</f>
        <v>137805.02400000003</v>
      </c>
      <c r="V2027" s="7"/>
      <c r="W2027" s="1">
        <v>2015</v>
      </c>
      <c r="X2027" s="62"/>
    </row>
    <row r="2028" spans="1:24" s="13" customFormat="1" ht="76.5" customHeight="1" outlineLevel="1" x14ac:dyDescent="0.2">
      <c r="A2028" s="1" t="s">
        <v>3697</v>
      </c>
      <c r="B2028" s="2" t="s">
        <v>5277</v>
      </c>
      <c r="C2028" s="2" t="s">
        <v>3082</v>
      </c>
      <c r="D2028" s="2" t="s">
        <v>5481</v>
      </c>
      <c r="E2028" s="2" t="s">
        <v>5482</v>
      </c>
      <c r="F2028" s="2" t="s">
        <v>525</v>
      </c>
      <c r="G2028" s="1" t="s">
        <v>3187</v>
      </c>
      <c r="H2028" s="5">
        <v>0</v>
      </c>
      <c r="I2028" s="6">
        <v>710000000</v>
      </c>
      <c r="J2028" s="4" t="s">
        <v>1931</v>
      </c>
      <c r="K2028" s="4" t="s">
        <v>5297</v>
      </c>
      <c r="L2028" s="3" t="s">
        <v>1165</v>
      </c>
      <c r="M2028" s="8" t="s">
        <v>3195</v>
      </c>
      <c r="N2028" s="3" t="s">
        <v>1890</v>
      </c>
      <c r="O2028" s="8" t="s">
        <v>1935</v>
      </c>
      <c r="P2028" s="8">
        <v>796</v>
      </c>
      <c r="Q2028" s="8" t="s">
        <v>3196</v>
      </c>
      <c r="R2028" s="69">
        <f>30+10+7+5+500</f>
        <v>552</v>
      </c>
      <c r="S2028" s="69">
        <v>1170</v>
      </c>
      <c r="T2028" s="10">
        <v>0</v>
      </c>
      <c r="U2028" s="10">
        <f t="shared" si="1002"/>
        <v>0</v>
      </c>
      <c r="V2028" s="7"/>
      <c r="W2028" s="1">
        <v>2015</v>
      </c>
      <c r="X2028" s="62" t="s">
        <v>7678</v>
      </c>
    </row>
    <row r="2029" spans="1:24" s="13" customFormat="1" ht="76.5" customHeight="1" outlineLevel="1" x14ac:dyDescent="0.2">
      <c r="A2029" s="1" t="s">
        <v>7674</v>
      </c>
      <c r="B2029" s="2" t="s">
        <v>5277</v>
      </c>
      <c r="C2029" s="2" t="s">
        <v>3082</v>
      </c>
      <c r="D2029" s="2" t="s">
        <v>5481</v>
      </c>
      <c r="E2029" s="2" t="s">
        <v>5482</v>
      </c>
      <c r="F2029" s="2" t="s">
        <v>525</v>
      </c>
      <c r="G2029" s="1" t="s">
        <v>3190</v>
      </c>
      <c r="H2029" s="5">
        <v>0</v>
      </c>
      <c r="I2029" s="6">
        <v>710000000</v>
      </c>
      <c r="J2029" s="4" t="s">
        <v>1931</v>
      </c>
      <c r="K2029" s="4" t="s">
        <v>756</v>
      </c>
      <c r="L2029" s="3" t="s">
        <v>1165</v>
      </c>
      <c r="M2029" s="8" t="s">
        <v>3195</v>
      </c>
      <c r="N2029" s="3" t="s">
        <v>1890</v>
      </c>
      <c r="O2029" s="8" t="s">
        <v>1935</v>
      </c>
      <c r="P2029" s="8">
        <v>796</v>
      </c>
      <c r="Q2029" s="8" t="s">
        <v>3196</v>
      </c>
      <c r="R2029" s="69">
        <f>10+5+5+300</f>
        <v>320</v>
      </c>
      <c r="S2029" s="69">
        <v>1170</v>
      </c>
      <c r="T2029" s="10">
        <f t="shared" ref="T2029" si="1032">S2029*R2029</f>
        <v>374400</v>
      </c>
      <c r="U2029" s="10">
        <f t="shared" ref="U2029" si="1033">T2029*1.12</f>
        <v>419328.00000000006</v>
      </c>
      <c r="V2029" s="7"/>
      <c r="W2029" s="1">
        <v>2015</v>
      </c>
      <c r="X2029" s="62"/>
    </row>
    <row r="2030" spans="1:24" s="13" customFormat="1" ht="76.5" customHeight="1" outlineLevel="1" x14ac:dyDescent="0.2">
      <c r="A2030" s="1" t="s">
        <v>3731</v>
      </c>
      <c r="B2030" s="2" t="s">
        <v>5277</v>
      </c>
      <c r="C2030" s="2" t="s">
        <v>3083</v>
      </c>
      <c r="D2030" s="2" t="s">
        <v>5483</v>
      </c>
      <c r="E2030" s="2" t="s">
        <v>524</v>
      </c>
      <c r="F2030" s="2"/>
      <c r="G2030" s="1" t="s">
        <v>3187</v>
      </c>
      <c r="H2030" s="5">
        <v>0</v>
      </c>
      <c r="I2030" s="6">
        <v>710000000</v>
      </c>
      <c r="J2030" s="4" t="s">
        <v>1931</v>
      </c>
      <c r="K2030" s="4" t="s">
        <v>5297</v>
      </c>
      <c r="L2030" s="3" t="s">
        <v>1165</v>
      </c>
      <c r="M2030" s="8" t="s">
        <v>3195</v>
      </c>
      <c r="N2030" s="3" t="s">
        <v>1890</v>
      </c>
      <c r="O2030" s="8" t="s">
        <v>1935</v>
      </c>
      <c r="P2030" s="8">
        <v>796</v>
      </c>
      <c r="Q2030" s="8" t="s">
        <v>3196</v>
      </c>
      <c r="R2030" s="69">
        <f>5+3+2</f>
        <v>10</v>
      </c>
      <c r="S2030" s="69">
        <v>5669.64</v>
      </c>
      <c r="T2030" s="10">
        <v>0</v>
      </c>
      <c r="U2030" s="10">
        <f t="shared" si="1002"/>
        <v>0</v>
      </c>
      <c r="V2030" s="7"/>
      <c r="W2030" s="1">
        <v>2015</v>
      </c>
      <c r="X2030" s="62">
        <v>7.11</v>
      </c>
    </row>
    <row r="2031" spans="1:24" s="13" customFormat="1" ht="76.5" customHeight="1" outlineLevel="1" x14ac:dyDescent="0.2">
      <c r="A2031" s="1" t="s">
        <v>7675</v>
      </c>
      <c r="B2031" s="2" t="s">
        <v>5277</v>
      </c>
      <c r="C2031" s="2" t="s">
        <v>3083</v>
      </c>
      <c r="D2031" s="2" t="s">
        <v>5483</v>
      </c>
      <c r="E2031" s="2" t="s">
        <v>524</v>
      </c>
      <c r="F2031" s="2"/>
      <c r="G2031" s="1" t="s">
        <v>3190</v>
      </c>
      <c r="H2031" s="5">
        <v>0</v>
      </c>
      <c r="I2031" s="6">
        <v>710000000</v>
      </c>
      <c r="J2031" s="4" t="s">
        <v>1931</v>
      </c>
      <c r="K2031" s="4" t="s">
        <v>756</v>
      </c>
      <c r="L2031" s="3" t="s">
        <v>1165</v>
      </c>
      <c r="M2031" s="8" t="s">
        <v>3195</v>
      </c>
      <c r="N2031" s="3" t="s">
        <v>1890</v>
      </c>
      <c r="O2031" s="8" t="s">
        <v>1935</v>
      </c>
      <c r="P2031" s="8">
        <v>796</v>
      </c>
      <c r="Q2031" s="8" t="s">
        <v>3196</v>
      </c>
      <c r="R2031" s="69">
        <f>5+3+2</f>
        <v>10</v>
      </c>
      <c r="S2031" s="69">
        <v>5669.64</v>
      </c>
      <c r="T2031" s="10">
        <f t="shared" ref="T2031" si="1034">S2031*R2031</f>
        <v>56696.4</v>
      </c>
      <c r="U2031" s="10">
        <f t="shared" ref="U2031" si="1035">T2031*1.12</f>
        <v>63499.968000000008</v>
      </c>
      <c r="V2031" s="7"/>
      <c r="W2031" s="1">
        <v>2015</v>
      </c>
      <c r="X2031" s="62"/>
    </row>
    <row r="2032" spans="1:24" s="13" customFormat="1" ht="76.5" customHeight="1" outlineLevel="1" x14ac:dyDescent="0.2">
      <c r="A2032" s="1" t="s">
        <v>3732</v>
      </c>
      <c r="B2032" s="2" t="s">
        <v>5277</v>
      </c>
      <c r="C2032" s="2" t="s">
        <v>549</v>
      </c>
      <c r="D2032" s="2" t="s">
        <v>5483</v>
      </c>
      <c r="E2032" s="2" t="s">
        <v>5484</v>
      </c>
      <c r="F2032" s="2"/>
      <c r="G2032" s="1" t="s">
        <v>3187</v>
      </c>
      <c r="H2032" s="5">
        <v>0</v>
      </c>
      <c r="I2032" s="6">
        <v>710000000</v>
      </c>
      <c r="J2032" s="4" t="s">
        <v>1931</v>
      </c>
      <c r="K2032" s="4" t="s">
        <v>5297</v>
      </c>
      <c r="L2032" s="3" t="s">
        <v>1165</v>
      </c>
      <c r="M2032" s="8" t="s">
        <v>3195</v>
      </c>
      <c r="N2032" s="3" t="s">
        <v>1890</v>
      </c>
      <c r="O2032" s="8" t="s">
        <v>1935</v>
      </c>
      <c r="P2032" s="8">
        <v>796</v>
      </c>
      <c r="Q2032" s="8" t="s">
        <v>3196</v>
      </c>
      <c r="R2032" s="69">
        <f>5+10</f>
        <v>15</v>
      </c>
      <c r="S2032" s="69">
        <v>6875</v>
      </c>
      <c r="T2032" s="10">
        <v>0</v>
      </c>
      <c r="U2032" s="10">
        <f t="shared" si="1002"/>
        <v>0</v>
      </c>
      <c r="V2032" s="7"/>
      <c r="W2032" s="1">
        <v>2015</v>
      </c>
      <c r="X2032" s="62">
        <v>7.11</v>
      </c>
    </row>
    <row r="2033" spans="1:24" s="13" customFormat="1" ht="76.5" customHeight="1" outlineLevel="1" x14ac:dyDescent="0.2">
      <c r="A2033" s="1" t="s">
        <v>7676</v>
      </c>
      <c r="B2033" s="2" t="s">
        <v>5277</v>
      </c>
      <c r="C2033" s="2" t="s">
        <v>549</v>
      </c>
      <c r="D2033" s="2" t="s">
        <v>5483</v>
      </c>
      <c r="E2033" s="2" t="s">
        <v>5484</v>
      </c>
      <c r="F2033" s="2"/>
      <c r="G2033" s="1" t="s">
        <v>3190</v>
      </c>
      <c r="H2033" s="5">
        <v>0</v>
      </c>
      <c r="I2033" s="6">
        <v>710000000</v>
      </c>
      <c r="J2033" s="4" t="s">
        <v>1931</v>
      </c>
      <c r="K2033" s="4" t="s">
        <v>756</v>
      </c>
      <c r="L2033" s="3" t="s">
        <v>1165</v>
      </c>
      <c r="M2033" s="8" t="s">
        <v>3195</v>
      </c>
      <c r="N2033" s="3" t="s">
        <v>1890</v>
      </c>
      <c r="O2033" s="8" t="s">
        <v>1935</v>
      </c>
      <c r="P2033" s="8">
        <v>796</v>
      </c>
      <c r="Q2033" s="8" t="s">
        <v>3196</v>
      </c>
      <c r="R2033" s="69">
        <f>5+10</f>
        <v>15</v>
      </c>
      <c r="S2033" s="69">
        <v>6875</v>
      </c>
      <c r="T2033" s="10">
        <v>0</v>
      </c>
      <c r="U2033" s="10">
        <f t="shared" ref="U2033" si="1036">T2033*1.12</f>
        <v>0</v>
      </c>
      <c r="V2033" s="7"/>
      <c r="W2033" s="1">
        <v>2015</v>
      </c>
      <c r="X2033" s="62" t="s">
        <v>7518</v>
      </c>
    </row>
    <row r="2034" spans="1:24" s="13" customFormat="1" ht="76.5" customHeight="1" outlineLevel="1" x14ac:dyDescent="0.2">
      <c r="A2034" s="1" t="s">
        <v>9650</v>
      </c>
      <c r="B2034" s="2" t="s">
        <v>5277</v>
      </c>
      <c r="C2034" s="2" t="s">
        <v>549</v>
      </c>
      <c r="D2034" s="2" t="s">
        <v>5483</v>
      </c>
      <c r="E2034" s="2" t="s">
        <v>5484</v>
      </c>
      <c r="F2034" s="2"/>
      <c r="G2034" s="1" t="s">
        <v>3190</v>
      </c>
      <c r="H2034" s="5">
        <v>0</v>
      </c>
      <c r="I2034" s="6">
        <v>710000000</v>
      </c>
      <c r="J2034" s="4" t="s">
        <v>1931</v>
      </c>
      <c r="K2034" s="4" t="s">
        <v>9276</v>
      </c>
      <c r="L2034" s="3" t="s">
        <v>1165</v>
      </c>
      <c r="M2034" s="8" t="s">
        <v>3195</v>
      </c>
      <c r="N2034" s="3" t="s">
        <v>1890</v>
      </c>
      <c r="O2034" s="8" t="s">
        <v>1935</v>
      </c>
      <c r="P2034" s="8">
        <v>796</v>
      </c>
      <c r="Q2034" s="8" t="s">
        <v>3196</v>
      </c>
      <c r="R2034" s="69">
        <f>5+10+20+5</f>
        <v>40</v>
      </c>
      <c r="S2034" s="69">
        <v>6875</v>
      </c>
      <c r="T2034" s="10">
        <f t="shared" ref="T2034" si="1037">S2034*R2034</f>
        <v>275000</v>
      </c>
      <c r="U2034" s="10">
        <f t="shared" ref="U2034" si="1038">T2034*1.12</f>
        <v>308000.00000000006</v>
      </c>
      <c r="V2034" s="7"/>
      <c r="W2034" s="1">
        <v>2015</v>
      </c>
      <c r="X2034" s="62"/>
    </row>
    <row r="2035" spans="1:24" s="13" customFormat="1" ht="76.5" customHeight="1" outlineLevel="1" x14ac:dyDescent="0.2">
      <c r="A2035" s="1" t="s">
        <v>3733</v>
      </c>
      <c r="B2035" s="2" t="s">
        <v>5277</v>
      </c>
      <c r="C2035" s="2" t="s">
        <v>546</v>
      </c>
      <c r="D2035" s="2" t="s">
        <v>5310</v>
      </c>
      <c r="E2035" s="2" t="s">
        <v>545</v>
      </c>
      <c r="F2035" s="2" t="s">
        <v>5485</v>
      </c>
      <c r="G2035" s="1" t="s">
        <v>3187</v>
      </c>
      <c r="H2035" s="5">
        <v>0</v>
      </c>
      <c r="I2035" s="6">
        <v>710000000</v>
      </c>
      <c r="J2035" s="4" t="s">
        <v>1931</v>
      </c>
      <c r="K2035" s="4" t="s">
        <v>5297</v>
      </c>
      <c r="L2035" s="3" t="s">
        <v>1165</v>
      </c>
      <c r="M2035" s="8" t="s">
        <v>3195</v>
      </c>
      <c r="N2035" s="3" t="s">
        <v>1890</v>
      </c>
      <c r="O2035" s="8" t="s">
        <v>1935</v>
      </c>
      <c r="P2035" s="8">
        <v>796</v>
      </c>
      <c r="Q2035" s="8" t="s">
        <v>3196</v>
      </c>
      <c r="R2035" s="69">
        <f>20+30</f>
        <v>50</v>
      </c>
      <c r="S2035" s="69">
        <v>3127</v>
      </c>
      <c r="T2035" s="10">
        <v>0</v>
      </c>
      <c r="U2035" s="10">
        <f t="shared" si="1002"/>
        <v>0</v>
      </c>
      <c r="V2035" s="7"/>
      <c r="W2035" s="1">
        <v>2015</v>
      </c>
      <c r="X2035" s="62">
        <v>7.11</v>
      </c>
    </row>
    <row r="2036" spans="1:24" s="13" customFormat="1" ht="76.5" customHeight="1" outlineLevel="1" x14ac:dyDescent="0.2">
      <c r="A2036" s="1" t="s">
        <v>7677</v>
      </c>
      <c r="B2036" s="2" t="s">
        <v>5277</v>
      </c>
      <c r="C2036" s="2" t="s">
        <v>546</v>
      </c>
      <c r="D2036" s="2" t="s">
        <v>5310</v>
      </c>
      <c r="E2036" s="2" t="s">
        <v>545</v>
      </c>
      <c r="F2036" s="2" t="s">
        <v>5485</v>
      </c>
      <c r="G2036" s="1" t="s">
        <v>3190</v>
      </c>
      <c r="H2036" s="5">
        <v>0</v>
      </c>
      <c r="I2036" s="6">
        <v>710000000</v>
      </c>
      <c r="J2036" s="4" t="s">
        <v>1931</v>
      </c>
      <c r="K2036" s="4" t="s">
        <v>756</v>
      </c>
      <c r="L2036" s="3" t="s">
        <v>1165</v>
      </c>
      <c r="M2036" s="8" t="s">
        <v>3195</v>
      </c>
      <c r="N2036" s="3" t="s">
        <v>1890</v>
      </c>
      <c r="O2036" s="8" t="s">
        <v>1935</v>
      </c>
      <c r="P2036" s="8">
        <v>796</v>
      </c>
      <c r="Q2036" s="8" t="s">
        <v>3196</v>
      </c>
      <c r="R2036" s="69">
        <f>20+30</f>
        <v>50</v>
      </c>
      <c r="S2036" s="69">
        <v>3127</v>
      </c>
      <c r="T2036" s="10">
        <f t="shared" ref="T2036" si="1039">S2036*R2036</f>
        <v>156350</v>
      </c>
      <c r="U2036" s="10">
        <f t="shared" ref="U2036" si="1040">T2036*1.12</f>
        <v>175112.00000000003</v>
      </c>
      <c r="V2036" s="7"/>
      <c r="W2036" s="1">
        <v>2015</v>
      </c>
      <c r="X2036" s="62"/>
    </row>
    <row r="2037" spans="1:24" s="13" customFormat="1" ht="76.5" customHeight="1" outlineLevel="1" x14ac:dyDescent="0.2">
      <c r="A2037" s="1" t="s">
        <v>3734</v>
      </c>
      <c r="B2037" s="2" t="s">
        <v>5277</v>
      </c>
      <c r="C2037" s="2" t="s">
        <v>548</v>
      </c>
      <c r="D2037" s="2" t="s">
        <v>5310</v>
      </c>
      <c r="E2037" s="2" t="s">
        <v>547</v>
      </c>
      <c r="F2037" s="2"/>
      <c r="G2037" s="1" t="s">
        <v>3187</v>
      </c>
      <c r="H2037" s="5">
        <v>0</v>
      </c>
      <c r="I2037" s="6">
        <v>710000000</v>
      </c>
      <c r="J2037" s="4" t="s">
        <v>1931</v>
      </c>
      <c r="K2037" s="4" t="s">
        <v>5297</v>
      </c>
      <c r="L2037" s="3" t="s">
        <v>1165</v>
      </c>
      <c r="M2037" s="8" t="s">
        <v>3195</v>
      </c>
      <c r="N2037" s="3" t="s">
        <v>1890</v>
      </c>
      <c r="O2037" s="8" t="s">
        <v>1935</v>
      </c>
      <c r="P2037" s="8">
        <v>796</v>
      </c>
      <c r="Q2037" s="8" t="s">
        <v>3196</v>
      </c>
      <c r="R2037" s="69">
        <v>20</v>
      </c>
      <c r="S2037" s="69">
        <v>8928.57</v>
      </c>
      <c r="T2037" s="10">
        <v>0</v>
      </c>
      <c r="U2037" s="10">
        <f t="shared" si="1002"/>
        <v>0</v>
      </c>
      <c r="V2037" s="7"/>
      <c r="W2037" s="1">
        <v>2015</v>
      </c>
      <c r="X2037" s="62">
        <v>7.11</v>
      </c>
    </row>
    <row r="2038" spans="1:24" s="13" customFormat="1" ht="76.5" customHeight="1" outlineLevel="1" x14ac:dyDescent="0.2">
      <c r="A2038" s="1" t="s">
        <v>7679</v>
      </c>
      <c r="B2038" s="2" t="s">
        <v>5277</v>
      </c>
      <c r="C2038" s="2" t="s">
        <v>548</v>
      </c>
      <c r="D2038" s="2" t="s">
        <v>5310</v>
      </c>
      <c r="E2038" s="2" t="s">
        <v>547</v>
      </c>
      <c r="F2038" s="2"/>
      <c r="G2038" s="1" t="s">
        <v>3190</v>
      </c>
      <c r="H2038" s="5">
        <v>0</v>
      </c>
      <c r="I2038" s="6">
        <v>710000000</v>
      </c>
      <c r="J2038" s="4" t="s">
        <v>1931</v>
      </c>
      <c r="K2038" s="4" t="s">
        <v>756</v>
      </c>
      <c r="L2038" s="3" t="s">
        <v>1165</v>
      </c>
      <c r="M2038" s="8" t="s">
        <v>3195</v>
      </c>
      <c r="N2038" s="3" t="s">
        <v>1890</v>
      </c>
      <c r="O2038" s="8" t="s">
        <v>1935</v>
      </c>
      <c r="P2038" s="8">
        <v>796</v>
      </c>
      <c r="Q2038" s="8" t="s">
        <v>3196</v>
      </c>
      <c r="R2038" s="69">
        <v>20</v>
      </c>
      <c r="S2038" s="69">
        <v>8928.57</v>
      </c>
      <c r="T2038" s="10">
        <f t="shared" ref="T2038" si="1041">S2038*R2038</f>
        <v>178571.4</v>
      </c>
      <c r="U2038" s="10">
        <f t="shared" ref="U2038" si="1042">T2038*1.12</f>
        <v>199999.96800000002</v>
      </c>
      <c r="V2038" s="7"/>
      <c r="W2038" s="1">
        <v>2015</v>
      </c>
      <c r="X2038" s="62"/>
    </row>
    <row r="2039" spans="1:24" s="13" customFormat="1" ht="76.5" customHeight="1" outlineLevel="1" x14ac:dyDescent="0.2">
      <c r="A2039" s="1" t="s">
        <v>3735</v>
      </c>
      <c r="B2039" s="2" t="s">
        <v>5277</v>
      </c>
      <c r="C2039" s="2" t="s">
        <v>546</v>
      </c>
      <c r="D2039" s="2" t="s">
        <v>5310</v>
      </c>
      <c r="E2039" s="2" t="s">
        <v>545</v>
      </c>
      <c r="F2039" s="2" t="s">
        <v>544</v>
      </c>
      <c r="G2039" s="1" t="s">
        <v>3187</v>
      </c>
      <c r="H2039" s="5">
        <v>0</v>
      </c>
      <c r="I2039" s="6">
        <v>710000000</v>
      </c>
      <c r="J2039" s="4" t="s">
        <v>1931</v>
      </c>
      <c r="K2039" s="4" t="s">
        <v>5297</v>
      </c>
      <c r="L2039" s="3" t="s">
        <v>1165</v>
      </c>
      <c r="M2039" s="8" t="s">
        <v>3195</v>
      </c>
      <c r="N2039" s="3" t="s">
        <v>1890</v>
      </c>
      <c r="O2039" s="8" t="s">
        <v>1935</v>
      </c>
      <c r="P2039" s="8">
        <v>796</v>
      </c>
      <c r="Q2039" s="8" t="s">
        <v>3196</v>
      </c>
      <c r="R2039" s="69">
        <v>30</v>
      </c>
      <c r="S2039" s="69">
        <v>1910.71</v>
      </c>
      <c r="T2039" s="10">
        <v>0</v>
      </c>
      <c r="U2039" s="10">
        <f t="shared" si="1002"/>
        <v>0</v>
      </c>
      <c r="V2039" s="7"/>
      <c r="W2039" s="1">
        <v>2015</v>
      </c>
      <c r="X2039" s="62">
        <v>7.11</v>
      </c>
    </row>
    <row r="2040" spans="1:24" s="13" customFormat="1" ht="76.5" customHeight="1" outlineLevel="1" x14ac:dyDescent="0.2">
      <c r="A2040" s="1" t="s">
        <v>7680</v>
      </c>
      <c r="B2040" s="2" t="s">
        <v>5277</v>
      </c>
      <c r="C2040" s="2" t="s">
        <v>546</v>
      </c>
      <c r="D2040" s="2" t="s">
        <v>5310</v>
      </c>
      <c r="E2040" s="2" t="s">
        <v>545</v>
      </c>
      <c r="F2040" s="2" t="s">
        <v>544</v>
      </c>
      <c r="G2040" s="1" t="s">
        <v>3190</v>
      </c>
      <c r="H2040" s="5">
        <v>0</v>
      </c>
      <c r="I2040" s="6">
        <v>710000000</v>
      </c>
      <c r="J2040" s="4" t="s">
        <v>1931</v>
      </c>
      <c r="K2040" s="4" t="s">
        <v>756</v>
      </c>
      <c r="L2040" s="3" t="s">
        <v>1165</v>
      </c>
      <c r="M2040" s="8" t="s">
        <v>3195</v>
      </c>
      <c r="N2040" s="3" t="s">
        <v>1890</v>
      </c>
      <c r="O2040" s="8" t="s">
        <v>1935</v>
      </c>
      <c r="P2040" s="8">
        <v>796</v>
      </c>
      <c r="Q2040" s="8" t="s">
        <v>3196</v>
      </c>
      <c r="R2040" s="69">
        <v>30</v>
      </c>
      <c r="S2040" s="69">
        <v>1910.71</v>
      </c>
      <c r="T2040" s="10">
        <f t="shared" ref="T2040" si="1043">S2040*R2040</f>
        <v>57321.3</v>
      </c>
      <c r="U2040" s="10">
        <f t="shared" ref="U2040" si="1044">T2040*1.12</f>
        <v>64199.856000000007</v>
      </c>
      <c r="V2040" s="7"/>
      <c r="W2040" s="1">
        <v>2015</v>
      </c>
      <c r="X2040" s="62"/>
    </row>
    <row r="2041" spans="1:24" s="13" customFormat="1" ht="76.5" customHeight="1" outlineLevel="1" x14ac:dyDescent="0.2">
      <c r="A2041" s="1" t="s">
        <v>3736</v>
      </c>
      <c r="B2041" s="2" t="s">
        <v>5277</v>
      </c>
      <c r="C2041" s="2" t="s">
        <v>543</v>
      </c>
      <c r="D2041" s="2" t="s">
        <v>542</v>
      </c>
      <c r="E2041" s="2" t="s">
        <v>541</v>
      </c>
      <c r="F2041" s="2" t="s">
        <v>540</v>
      </c>
      <c r="G2041" s="1" t="s">
        <v>3187</v>
      </c>
      <c r="H2041" s="5">
        <v>0</v>
      </c>
      <c r="I2041" s="6">
        <v>710000000</v>
      </c>
      <c r="J2041" s="4" t="s">
        <v>1931</v>
      </c>
      <c r="K2041" s="4" t="s">
        <v>5297</v>
      </c>
      <c r="L2041" s="3" t="s">
        <v>1165</v>
      </c>
      <c r="M2041" s="8" t="s">
        <v>3195</v>
      </c>
      <c r="N2041" s="3" t="s">
        <v>1890</v>
      </c>
      <c r="O2041" s="8" t="s">
        <v>1935</v>
      </c>
      <c r="P2041" s="8">
        <v>796</v>
      </c>
      <c r="Q2041" s="8" t="s">
        <v>3196</v>
      </c>
      <c r="R2041" s="69">
        <v>15</v>
      </c>
      <c r="S2041" s="69">
        <v>1433.04</v>
      </c>
      <c r="T2041" s="10">
        <v>0</v>
      </c>
      <c r="U2041" s="10">
        <f t="shared" si="1002"/>
        <v>0</v>
      </c>
      <c r="V2041" s="7"/>
      <c r="W2041" s="1">
        <v>2015</v>
      </c>
      <c r="X2041" s="62" t="s">
        <v>7678</v>
      </c>
    </row>
    <row r="2042" spans="1:24" s="13" customFormat="1" ht="76.5" customHeight="1" outlineLevel="1" x14ac:dyDescent="0.2">
      <c r="A2042" s="1" t="s">
        <v>7681</v>
      </c>
      <c r="B2042" s="2" t="s">
        <v>5277</v>
      </c>
      <c r="C2042" s="2" t="s">
        <v>543</v>
      </c>
      <c r="D2042" s="2" t="s">
        <v>542</v>
      </c>
      <c r="E2042" s="2" t="s">
        <v>541</v>
      </c>
      <c r="F2042" s="2" t="s">
        <v>540</v>
      </c>
      <c r="G2042" s="1" t="s">
        <v>3190</v>
      </c>
      <c r="H2042" s="5">
        <v>0</v>
      </c>
      <c r="I2042" s="6">
        <v>710000000</v>
      </c>
      <c r="J2042" s="4" t="s">
        <v>1931</v>
      </c>
      <c r="K2042" s="4" t="s">
        <v>756</v>
      </c>
      <c r="L2042" s="3" t="s">
        <v>1165</v>
      </c>
      <c r="M2042" s="8" t="s">
        <v>3195</v>
      </c>
      <c r="N2042" s="3" t="s">
        <v>1890</v>
      </c>
      <c r="O2042" s="8" t="s">
        <v>1935</v>
      </c>
      <c r="P2042" s="8">
        <v>796</v>
      </c>
      <c r="Q2042" s="8" t="s">
        <v>3196</v>
      </c>
      <c r="R2042" s="69">
        <v>10</v>
      </c>
      <c r="S2042" s="69">
        <v>1433.04</v>
      </c>
      <c r="T2042" s="10">
        <v>0</v>
      </c>
      <c r="U2042" s="10">
        <f t="shared" ref="U2042" si="1045">T2042*1.12</f>
        <v>0</v>
      </c>
      <c r="V2042" s="7"/>
      <c r="W2042" s="1">
        <v>2015</v>
      </c>
      <c r="X2042" s="62" t="s">
        <v>7518</v>
      </c>
    </row>
    <row r="2043" spans="1:24" s="13" customFormat="1" ht="76.5" customHeight="1" outlineLevel="1" x14ac:dyDescent="0.2">
      <c r="A2043" s="1" t="s">
        <v>10167</v>
      </c>
      <c r="B2043" s="2" t="s">
        <v>5277</v>
      </c>
      <c r="C2043" s="2" t="s">
        <v>543</v>
      </c>
      <c r="D2043" s="2" t="s">
        <v>542</v>
      </c>
      <c r="E2043" s="2" t="s">
        <v>541</v>
      </c>
      <c r="F2043" s="2" t="s">
        <v>540</v>
      </c>
      <c r="G2043" s="1" t="s">
        <v>3190</v>
      </c>
      <c r="H2043" s="5">
        <v>0</v>
      </c>
      <c r="I2043" s="6">
        <v>710000000</v>
      </c>
      <c r="J2043" s="4" t="s">
        <v>1931</v>
      </c>
      <c r="K2043" s="4" t="s">
        <v>10162</v>
      </c>
      <c r="L2043" s="3" t="s">
        <v>1165</v>
      </c>
      <c r="M2043" s="8" t="s">
        <v>3195</v>
      </c>
      <c r="N2043" s="3" t="s">
        <v>1890</v>
      </c>
      <c r="O2043" s="8" t="s">
        <v>1935</v>
      </c>
      <c r="P2043" s="8">
        <v>796</v>
      </c>
      <c r="Q2043" s="8" t="s">
        <v>3196</v>
      </c>
      <c r="R2043" s="69">
        <f>10+20</f>
        <v>30</v>
      </c>
      <c r="S2043" s="69">
        <v>1433.04</v>
      </c>
      <c r="T2043" s="10">
        <f t="shared" ref="T2043" si="1046">S2043*R2043</f>
        <v>42991.199999999997</v>
      </c>
      <c r="U2043" s="10">
        <f t="shared" ref="U2043" si="1047">T2043*1.12</f>
        <v>48150.144</v>
      </c>
      <c r="V2043" s="7"/>
      <c r="W2043" s="1">
        <v>2015</v>
      </c>
      <c r="X2043" s="62"/>
    </row>
    <row r="2044" spans="1:24" s="13" customFormat="1" ht="76.5" customHeight="1" outlineLevel="1" x14ac:dyDescent="0.2">
      <c r="A2044" s="1" t="s">
        <v>3737</v>
      </c>
      <c r="B2044" s="2" t="s">
        <v>5277</v>
      </c>
      <c r="C2044" s="2" t="s">
        <v>3094</v>
      </c>
      <c r="D2044" s="2" t="s">
        <v>5221</v>
      </c>
      <c r="E2044" s="6" t="s">
        <v>5222</v>
      </c>
      <c r="F2044" s="2"/>
      <c r="G2044" s="1" t="s">
        <v>3187</v>
      </c>
      <c r="H2044" s="5">
        <v>0</v>
      </c>
      <c r="I2044" s="6">
        <v>710000000</v>
      </c>
      <c r="J2044" s="4" t="s">
        <v>1931</v>
      </c>
      <c r="K2044" s="4" t="s">
        <v>5297</v>
      </c>
      <c r="L2044" s="3" t="s">
        <v>1165</v>
      </c>
      <c r="M2044" s="8" t="s">
        <v>3195</v>
      </c>
      <c r="N2044" s="3" t="s">
        <v>1890</v>
      </c>
      <c r="O2044" s="8" t="s">
        <v>1935</v>
      </c>
      <c r="P2044" s="8">
        <v>796</v>
      </c>
      <c r="Q2044" s="8" t="s">
        <v>3196</v>
      </c>
      <c r="R2044" s="69">
        <f>10+15</f>
        <v>25</v>
      </c>
      <c r="S2044" s="69">
        <v>955.36</v>
      </c>
      <c r="T2044" s="10">
        <v>0</v>
      </c>
      <c r="U2044" s="10">
        <f t="shared" si="1002"/>
        <v>0</v>
      </c>
      <c r="V2044" s="7"/>
      <c r="W2044" s="1">
        <v>2015</v>
      </c>
      <c r="X2044" s="62" t="s">
        <v>7678</v>
      </c>
    </row>
    <row r="2045" spans="1:24" s="13" customFormat="1" ht="76.5" customHeight="1" outlineLevel="1" x14ac:dyDescent="0.2">
      <c r="A2045" s="1" t="s">
        <v>7682</v>
      </c>
      <c r="B2045" s="2" t="s">
        <v>5277</v>
      </c>
      <c r="C2045" s="2" t="s">
        <v>3094</v>
      </c>
      <c r="D2045" s="2" t="s">
        <v>5221</v>
      </c>
      <c r="E2045" s="6" t="s">
        <v>5222</v>
      </c>
      <c r="F2045" s="2"/>
      <c r="G2045" s="1" t="s">
        <v>3190</v>
      </c>
      <c r="H2045" s="5">
        <v>0</v>
      </c>
      <c r="I2045" s="6">
        <v>710000000</v>
      </c>
      <c r="J2045" s="4" t="s">
        <v>1931</v>
      </c>
      <c r="K2045" s="4" t="s">
        <v>756</v>
      </c>
      <c r="L2045" s="3" t="s">
        <v>1165</v>
      </c>
      <c r="M2045" s="8" t="s">
        <v>3195</v>
      </c>
      <c r="N2045" s="3" t="s">
        <v>1890</v>
      </c>
      <c r="O2045" s="8" t="s">
        <v>1935</v>
      </c>
      <c r="P2045" s="8">
        <v>796</v>
      </c>
      <c r="Q2045" s="8" t="s">
        <v>3196</v>
      </c>
      <c r="R2045" s="69">
        <f>10+5</f>
        <v>15</v>
      </c>
      <c r="S2045" s="69">
        <v>955.36</v>
      </c>
      <c r="T2045" s="10">
        <f t="shared" ref="T2045" si="1048">S2045*R2045</f>
        <v>14330.4</v>
      </c>
      <c r="U2045" s="10">
        <f t="shared" ref="U2045" si="1049">T2045*1.12</f>
        <v>16050.048000000001</v>
      </c>
      <c r="V2045" s="7"/>
      <c r="W2045" s="1">
        <v>2015</v>
      </c>
      <c r="X2045" s="62"/>
    </row>
    <row r="2046" spans="1:24" s="13" customFormat="1" ht="76.5" customHeight="1" outlineLevel="1" x14ac:dyDescent="0.2">
      <c r="A2046" s="1" t="s">
        <v>3738</v>
      </c>
      <c r="B2046" s="2" t="s">
        <v>5277</v>
      </c>
      <c r="C2046" s="6" t="s">
        <v>539</v>
      </c>
      <c r="D2046" s="6" t="s">
        <v>535</v>
      </c>
      <c r="E2046" s="6" t="s">
        <v>538</v>
      </c>
      <c r="F2046" s="2" t="s">
        <v>537</v>
      </c>
      <c r="G2046" s="1" t="s">
        <v>3187</v>
      </c>
      <c r="H2046" s="5">
        <v>0</v>
      </c>
      <c r="I2046" s="6">
        <v>710000000</v>
      </c>
      <c r="J2046" s="4" t="s">
        <v>1931</v>
      </c>
      <c r="K2046" s="4" t="s">
        <v>5297</v>
      </c>
      <c r="L2046" s="3" t="s">
        <v>1165</v>
      </c>
      <c r="M2046" s="8" t="s">
        <v>3195</v>
      </c>
      <c r="N2046" s="3" t="s">
        <v>1890</v>
      </c>
      <c r="O2046" s="8" t="s">
        <v>1935</v>
      </c>
      <c r="P2046" s="8">
        <v>796</v>
      </c>
      <c r="Q2046" s="8" t="s">
        <v>3196</v>
      </c>
      <c r="R2046" s="69">
        <f>20+15</f>
        <v>35</v>
      </c>
      <c r="S2046" s="69">
        <v>955.36</v>
      </c>
      <c r="T2046" s="10">
        <v>0</v>
      </c>
      <c r="U2046" s="10">
        <f t="shared" si="1002"/>
        <v>0</v>
      </c>
      <c r="V2046" s="7"/>
      <c r="W2046" s="1">
        <v>2015</v>
      </c>
      <c r="X2046" s="62">
        <v>7.11</v>
      </c>
    </row>
    <row r="2047" spans="1:24" s="13" customFormat="1" ht="76.5" customHeight="1" outlineLevel="1" x14ac:dyDescent="0.2">
      <c r="A2047" s="1" t="s">
        <v>7683</v>
      </c>
      <c r="B2047" s="2" t="s">
        <v>5277</v>
      </c>
      <c r="C2047" s="6" t="s">
        <v>539</v>
      </c>
      <c r="D2047" s="6" t="s">
        <v>535</v>
      </c>
      <c r="E2047" s="6" t="s">
        <v>538</v>
      </c>
      <c r="F2047" s="2" t="s">
        <v>537</v>
      </c>
      <c r="G2047" s="1" t="s">
        <v>3190</v>
      </c>
      <c r="H2047" s="5">
        <v>0</v>
      </c>
      <c r="I2047" s="6">
        <v>710000000</v>
      </c>
      <c r="J2047" s="4" t="s">
        <v>1931</v>
      </c>
      <c r="K2047" s="4" t="s">
        <v>756</v>
      </c>
      <c r="L2047" s="3" t="s">
        <v>1165</v>
      </c>
      <c r="M2047" s="8" t="s">
        <v>3195</v>
      </c>
      <c r="N2047" s="3" t="s">
        <v>1890</v>
      </c>
      <c r="O2047" s="8" t="s">
        <v>1935</v>
      </c>
      <c r="P2047" s="8">
        <v>796</v>
      </c>
      <c r="Q2047" s="8" t="s">
        <v>3196</v>
      </c>
      <c r="R2047" s="69">
        <f>20+15</f>
        <v>35</v>
      </c>
      <c r="S2047" s="69">
        <v>955.36</v>
      </c>
      <c r="T2047" s="10">
        <f t="shared" ref="T2047" si="1050">S2047*R2047</f>
        <v>33437.599999999999</v>
      </c>
      <c r="U2047" s="10">
        <f t="shared" ref="U2047" si="1051">T2047*1.12</f>
        <v>37450.112000000001</v>
      </c>
      <c r="V2047" s="7"/>
      <c r="W2047" s="1">
        <v>2015</v>
      </c>
      <c r="X2047" s="62"/>
    </row>
    <row r="2048" spans="1:24" s="13" customFormat="1" ht="76.5" customHeight="1" outlineLevel="1" x14ac:dyDescent="0.2">
      <c r="A2048" s="1" t="s">
        <v>3739</v>
      </c>
      <c r="B2048" s="2" t="s">
        <v>5277</v>
      </c>
      <c r="C2048" s="6" t="s">
        <v>536</v>
      </c>
      <c r="D2048" s="6" t="s">
        <v>535</v>
      </c>
      <c r="E2048" s="6" t="s">
        <v>534</v>
      </c>
      <c r="F2048" s="2" t="s">
        <v>530</v>
      </c>
      <c r="G2048" s="1" t="s">
        <v>3187</v>
      </c>
      <c r="H2048" s="5">
        <v>0</v>
      </c>
      <c r="I2048" s="6">
        <v>710000000</v>
      </c>
      <c r="J2048" s="4" t="s">
        <v>1931</v>
      </c>
      <c r="K2048" s="4" t="s">
        <v>5297</v>
      </c>
      <c r="L2048" s="3" t="s">
        <v>1165</v>
      </c>
      <c r="M2048" s="8" t="s">
        <v>3195</v>
      </c>
      <c r="N2048" s="3" t="s">
        <v>1890</v>
      </c>
      <c r="O2048" s="8" t="s">
        <v>1935</v>
      </c>
      <c r="P2048" s="8">
        <v>796</v>
      </c>
      <c r="Q2048" s="8" t="s">
        <v>3196</v>
      </c>
      <c r="R2048" s="69">
        <v>15</v>
      </c>
      <c r="S2048" s="69">
        <v>195.54</v>
      </c>
      <c r="T2048" s="10">
        <v>0</v>
      </c>
      <c r="U2048" s="10">
        <f t="shared" si="1002"/>
        <v>0</v>
      </c>
      <c r="V2048" s="7"/>
      <c r="W2048" s="1">
        <v>2015</v>
      </c>
      <c r="X2048" s="62">
        <v>7.11</v>
      </c>
    </row>
    <row r="2049" spans="1:24" s="13" customFormat="1" ht="76.5" customHeight="1" outlineLevel="1" x14ac:dyDescent="0.2">
      <c r="A2049" s="1" t="s">
        <v>7684</v>
      </c>
      <c r="B2049" s="2" t="s">
        <v>5277</v>
      </c>
      <c r="C2049" s="6" t="s">
        <v>536</v>
      </c>
      <c r="D2049" s="6" t="s">
        <v>535</v>
      </c>
      <c r="E2049" s="6" t="s">
        <v>534</v>
      </c>
      <c r="F2049" s="2" t="s">
        <v>530</v>
      </c>
      <c r="G2049" s="1" t="s">
        <v>3190</v>
      </c>
      <c r="H2049" s="5">
        <v>0</v>
      </c>
      <c r="I2049" s="6">
        <v>710000000</v>
      </c>
      <c r="J2049" s="4" t="s">
        <v>1931</v>
      </c>
      <c r="K2049" s="4" t="s">
        <v>756</v>
      </c>
      <c r="L2049" s="3" t="s">
        <v>1165</v>
      </c>
      <c r="M2049" s="8" t="s">
        <v>3195</v>
      </c>
      <c r="N2049" s="3" t="s">
        <v>1890</v>
      </c>
      <c r="O2049" s="8" t="s">
        <v>1935</v>
      </c>
      <c r="P2049" s="8">
        <v>796</v>
      </c>
      <c r="Q2049" s="8" t="s">
        <v>3196</v>
      </c>
      <c r="R2049" s="69">
        <v>15</v>
      </c>
      <c r="S2049" s="69">
        <v>195.54</v>
      </c>
      <c r="T2049" s="10">
        <f t="shared" ref="T2049" si="1052">S2049*R2049</f>
        <v>2933.1</v>
      </c>
      <c r="U2049" s="10">
        <f t="shared" ref="U2049" si="1053">T2049*1.12</f>
        <v>3285.0720000000001</v>
      </c>
      <c r="V2049" s="7"/>
      <c r="W2049" s="1">
        <v>2015</v>
      </c>
      <c r="X2049" s="62"/>
    </row>
    <row r="2050" spans="1:24" s="13" customFormat="1" ht="76.5" customHeight="1" outlineLevel="1" x14ac:dyDescent="0.2">
      <c r="A2050" s="1" t="s">
        <v>3740</v>
      </c>
      <c r="B2050" s="2" t="s">
        <v>5277</v>
      </c>
      <c r="C2050" s="6" t="s">
        <v>533</v>
      </c>
      <c r="D2050" s="6" t="s">
        <v>532</v>
      </c>
      <c r="E2050" s="6" t="s">
        <v>531</v>
      </c>
      <c r="F2050" s="2" t="s">
        <v>530</v>
      </c>
      <c r="G2050" s="1" t="s">
        <v>3187</v>
      </c>
      <c r="H2050" s="5">
        <v>0</v>
      </c>
      <c r="I2050" s="6">
        <v>710000000</v>
      </c>
      <c r="J2050" s="4" t="s">
        <v>1931</v>
      </c>
      <c r="K2050" s="4" t="s">
        <v>5297</v>
      </c>
      <c r="L2050" s="3" t="s">
        <v>1165</v>
      </c>
      <c r="M2050" s="8" t="s">
        <v>3195</v>
      </c>
      <c r="N2050" s="3" t="s">
        <v>1890</v>
      </c>
      <c r="O2050" s="8" t="s">
        <v>1935</v>
      </c>
      <c r="P2050" s="8">
        <v>796</v>
      </c>
      <c r="Q2050" s="8" t="s">
        <v>3196</v>
      </c>
      <c r="R2050" s="69">
        <v>25</v>
      </c>
      <c r="S2050" s="69">
        <v>1910.71</v>
      </c>
      <c r="T2050" s="10">
        <v>0</v>
      </c>
      <c r="U2050" s="10">
        <f t="shared" si="1002"/>
        <v>0</v>
      </c>
      <c r="V2050" s="7"/>
      <c r="W2050" s="1">
        <v>2015</v>
      </c>
      <c r="X2050" s="62">
        <v>7.11</v>
      </c>
    </row>
    <row r="2051" spans="1:24" s="13" customFormat="1" ht="76.5" customHeight="1" outlineLevel="1" x14ac:dyDescent="0.2">
      <c r="A2051" s="1" t="s">
        <v>7685</v>
      </c>
      <c r="B2051" s="2" t="s">
        <v>5277</v>
      </c>
      <c r="C2051" s="6" t="s">
        <v>533</v>
      </c>
      <c r="D2051" s="6" t="s">
        <v>532</v>
      </c>
      <c r="E2051" s="6" t="s">
        <v>531</v>
      </c>
      <c r="F2051" s="2" t="s">
        <v>530</v>
      </c>
      <c r="G2051" s="1" t="s">
        <v>3190</v>
      </c>
      <c r="H2051" s="5">
        <v>0</v>
      </c>
      <c r="I2051" s="6">
        <v>710000000</v>
      </c>
      <c r="J2051" s="4" t="s">
        <v>1931</v>
      </c>
      <c r="K2051" s="4" t="s">
        <v>756</v>
      </c>
      <c r="L2051" s="3" t="s">
        <v>1165</v>
      </c>
      <c r="M2051" s="8" t="s">
        <v>3195</v>
      </c>
      <c r="N2051" s="3" t="s">
        <v>1890</v>
      </c>
      <c r="O2051" s="8" t="s">
        <v>1935</v>
      </c>
      <c r="P2051" s="8">
        <v>796</v>
      </c>
      <c r="Q2051" s="8" t="s">
        <v>3196</v>
      </c>
      <c r="R2051" s="69">
        <v>20</v>
      </c>
      <c r="S2051" s="69">
        <v>1910.71</v>
      </c>
      <c r="T2051" s="10">
        <v>0</v>
      </c>
      <c r="U2051" s="10">
        <f t="shared" ref="U2051" si="1054">T2051*1.12</f>
        <v>0</v>
      </c>
      <c r="V2051" s="7"/>
      <c r="W2051" s="1">
        <v>2015</v>
      </c>
      <c r="X2051" s="62" t="s">
        <v>7518</v>
      </c>
    </row>
    <row r="2052" spans="1:24" s="13" customFormat="1" ht="76.5" customHeight="1" outlineLevel="1" x14ac:dyDescent="0.2">
      <c r="A2052" s="1" t="s">
        <v>10165</v>
      </c>
      <c r="B2052" s="2" t="s">
        <v>5277</v>
      </c>
      <c r="C2052" s="6" t="s">
        <v>533</v>
      </c>
      <c r="D2052" s="6" t="s">
        <v>532</v>
      </c>
      <c r="E2052" s="6" t="s">
        <v>531</v>
      </c>
      <c r="F2052" s="2" t="s">
        <v>530</v>
      </c>
      <c r="G2052" s="1" t="s">
        <v>3190</v>
      </c>
      <c r="H2052" s="5">
        <v>0</v>
      </c>
      <c r="I2052" s="6">
        <v>710000000</v>
      </c>
      <c r="J2052" s="4" t="s">
        <v>1931</v>
      </c>
      <c r="K2052" s="4" t="s">
        <v>10166</v>
      </c>
      <c r="L2052" s="3" t="s">
        <v>1165</v>
      </c>
      <c r="M2052" s="8" t="s">
        <v>3195</v>
      </c>
      <c r="N2052" s="3" t="s">
        <v>1890</v>
      </c>
      <c r="O2052" s="8" t="s">
        <v>1935</v>
      </c>
      <c r="P2052" s="8">
        <v>796</v>
      </c>
      <c r="Q2052" s="8" t="s">
        <v>3196</v>
      </c>
      <c r="R2052" s="69">
        <f>20+20</f>
        <v>40</v>
      </c>
      <c r="S2052" s="69">
        <v>1910.71</v>
      </c>
      <c r="T2052" s="10">
        <f t="shared" ref="T2052" si="1055">S2052*R2052</f>
        <v>76428.399999999994</v>
      </c>
      <c r="U2052" s="10">
        <f t="shared" ref="U2052" si="1056">T2052*1.12</f>
        <v>85599.808000000005</v>
      </c>
      <c r="V2052" s="7"/>
      <c r="W2052" s="1">
        <v>2015</v>
      </c>
      <c r="X2052" s="62"/>
    </row>
    <row r="2053" spans="1:24" s="13" customFormat="1" ht="76.5" customHeight="1" outlineLevel="1" x14ac:dyDescent="0.2">
      <c r="A2053" s="1" t="s">
        <v>3741</v>
      </c>
      <c r="B2053" s="2" t="s">
        <v>5277</v>
      </c>
      <c r="C2053" s="2" t="s">
        <v>3099</v>
      </c>
      <c r="D2053" s="2" t="s">
        <v>5231</v>
      </c>
      <c r="E2053" s="2" t="s">
        <v>5232</v>
      </c>
      <c r="F2053" s="2" t="s">
        <v>5538</v>
      </c>
      <c r="G2053" s="1" t="s">
        <v>3187</v>
      </c>
      <c r="H2053" s="5">
        <v>0</v>
      </c>
      <c r="I2053" s="6">
        <v>710000000</v>
      </c>
      <c r="J2053" s="4" t="s">
        <v>1931</v>
      </c>
      <c r="K2053" s="4" t="s">
        <v>5297</v>
      </c>
      <c r="L2053" s="3" t="s">
        <v>1889</v>
      </c>
      <c r="M2053" s="8" t="s">
        <v>3195</v>
      </c>
      <c r="N2053" s="3" t="s">
        <v>1890</v>
      </c>
      <c r="O2053" s="8" t="s">
        <v>1935</v>
      </c>
      <c r="P2053" s="8">
        <v>796</v>
      </c>
      <c r="Q2053" s="8" t="s">
        <v>3196</v>
      </c>
      <c r="R2053" s="69">
        <v>24</v>
      </c>
      <c r="S2053" s="69">
        <v>2052.46</v>
      </c>
      <c r="T2053" s="10">
        <v>0</v>
      </c>
      <c r="U2053" s="10">
        <f t="shared" si="1002"/>
        <v>0</v>
      </c>
      <c r="V2053" s="7"/>
      <c r="W2053" s="1">
        <v>2015</v>
      </c>
      <c r="X2053" s="62">
        <v>7.11</v>
      </c>
    </row>
    <row r="2054" spans="1:24" s="13" customFormat="1" ht="76.5" customHeight="1" outlineLevel="1" x14ac:dyDescent="0.2">
      <c r="A2054" s="1" t="s">
        <v>7686</v>
      </c>
      <c r="B2054" s="2" t="s">
        <v>5277</v>
      </c>
      <c r="C2054" s="2" t="s">
        <v>3099</v>
      </c>
      <c r="D2054" s="2" t="s">
        <v>5231</v>
      </c>
      <c r="E2054" s="2" t="s">
        <v>5232</v>
      </c>
      <c r="F2054" s="2" t="s">
        <v>5538</v>
      </c>
      <c r="G2054" s="1" t="s">
        <v>3190</v>
      </c>
      <c r="H2054" s="5">
        <v>0</v>
      </c>
      <c r="I2054" s="6">
        <v>710000000</v>
      </c>
      <c r="J2054" s="4" t="s">
        <v>1931</v>
      </c>
      <c r="K2054" s="4" t="s">
        <v>756</v>
      </c>
      <c r="L2054" s="3" t="s">
        <v>1889</v>
      </c>
      <c r="M2054" s="8" t="s">
        <v>3195</v>
      </c>
      <c r="N2054" s="3" t="s">
        <v>1890</v>
      </c>
      <c r="O2054" s="8" t="s">
        <v>1935</v>
      </c>
      <c r="P2054" s="8">
        <v>796</v>
      </c>
      <c r="Q2054" s="8" t="s">
        <v>3196</v>
      </c>
      <c r="R2054" s="69">
        <v>24</v>
      </c>
      <c r="S2054" s="69">
        <v>2052.46</v>
      </c>
      <c r="T2054" s="10">
        <f t="shared" ref="T2054" si="1057">S2054*R2054</f>
        <v>49259.040000000001</v>
      </c>
      <c r="U2054" s="10">
        <f t="shared" ref="U2054" si="1058">T2054*1.12</f>
        <v>55170.124800000005</v>
      </c>
      <c r="V2054" s="7"/>
      <c r="W2054" s="1">
        <v>2015</v>
      </c>
      <c r="X2054" s="62"/>
    </row>
    <row r="2055" spans="1:24" s="13" customFormat="1" ht="76.5" customHeight="1" outlineLevel="1" x14ac:dyDescent="0.2">
      <c r="A2055" s="1" t="s">
        <v>3742</v>
      </c>
      <c r="B2055" s="2" t="s">
        <v>5277</v>
      </c>
      <c r="C2055" s="2" t="s">
        <v>529</v>
      </c>
      <c r="D2055" s="2" t="s">
        <v>5231</v>
      </c>
      <c r="E2055" s="2" t="s">
        <v>528</v>
      </c>
      <c r="F2055" s="2" t="s">
        <v>1417</v>
      </c>
      <c r="G2055" s="1" t="s">
        <v>3187</v>
      </c>
      <c r="H2055" s="5">
        <v>0</v>
      </c>
      <c r="I2055" s="6">
        <v>710000000</v>
      </c>
      <c r="J2055" s="4" t="s">
        <v>1931</v>
      </c>
      <c r="K2055" s="4" t="s">
        <v>5297</v>
      </c>
      <c r="L2055" s="3" t="s">
        <v>1889</v>
      </c>
      <c r="M2055" s="8" t="s">
        <v>3195</v>
      </c>
      <c r="N2055" s="3" t="s">
        <v>1890</v>
      </c>
      <c r="O2055" s="8" t="s">
        <v>1935</v>
      </c>
      <c r="P2055" s="8">
        <v>796</v>
      </c>
      <c r="Q2055" s="8" t="s">
        <v>3196</v>
      </c>
      <c r="R2055" s="69">
        <v>13</v>
      </c>
      <c r="S2055" s="69">
        <v>1018.38</v>
      </c>
      <c r="T2055" s="10">
        <f t="shared" si="1001"/>
        <v>13238.94</v>
      </c>
      <c r="U2055" s="10">
        <f t="shared" si="1002"/>
        <v>14827.612800000003</v>
      </c>
      <c r="V2055" s="7"/>
      <c r="W2055" s="1">
        <v>2015</v>
      </c>
      <c r="X2055" s="62">
        <v>7.11</v>
      </c>
    </row>
    <row r="2056" spans="1:24" s="13" customFormat="1" ht="76.5" customHeight="1" outlineLevel="1" x14ac:dyDescent="0.2">
      <c r="A2056" s="1" t="s">
        <v>7687</v>
      </c>
      <c r="B2056" s="2" t="s">
        <v>5277</v>
      </c>
      <c r="C2056" s="2" t="s">
        <v>529</v>
      </c>
      <c r="D2056" s="2" t="s">
        <v>5231</v>
      </c>
      <c r="E2056" s="2" t="s">
        <v>528</v>
      </c>
      <c r="F2056" s="2" t="s">
        <v>1417</v>
      </c>
      <c r="G2056" s="1" t="s">
        <v>3190</v>
      </c>
      <c r="H2056" s="5">
        <v>0</v>
      </c>
      <c r="I2056" s="6">
        <v>710000000</v>
      </c>
      <c r="J2056" s="4" t="s">
        <v>1931</v>
      </c>
      <c r="K2056" s="4" t="s">
        <v>756</v>
      </c>
      <c r="L2056" s="3" t="s">
        <v>1889</v>
      </c>
      <c r="M2056" s="8" t="s">
        <v>3195</v>
      </c>
      <c r="N2056" s="3" t="s">
        <v>1890</v>
      </c>
      <c r="O2056" s="8" t="s">
        <v>1935</v>
      </c>
      <c r="P2056" s="8">
        <v>796</v>
      </c>
      <c r="Q2056" s="8" t="s">
        <v>3196</v>
      </c>
      <c r="R2056" s="69">
        <v>13</v>
      </c>
      <c r="S2056" s="69">
        <v>1018.38</v>
      </c>
      <c r="T2056" s="10">
        <f t="shared" ref="T2056" si="1059">S2056*R2056</f>
        <v>13238.94</v>
      </c>
      <c r="U2056" s="10">
        <f t="shared" ref="U2056" si="1060">T2056*1.12</f>
        <v>14827.612800000003</v>
      </c>
      <c r="V2056" s="7"/>
      <c r="W2056" s="1">
        <v>2015</v>
      </c>
      <c r="X2056" s="62"/>
    </row>
    <row r="2057" spans="1:24" s="13" customFormat="1" ht="76.5" customHeight="1" outlineLevel="1" x14ac:dyDescent="0.2">
      <c r="A2057" s="1" t="s">
        <v>3743</v>
      </c>
      <c r="B2057" s="2" t="s">
        <v>5277</v>
      </c>
      <c r="C2057" s="2" t="s">
        <v>3082</v>
      </c>
      <c r="D2057" s="2" t="s">
        <v>5481</v>
      </c>
      <c r="E2057" s="2" t="s">
        <v>5482</v>
      </c>
      <c r="F2057" s="2"/>
      <c r="G2057" s="1" t="s">
        <v>3187</v>
      </c>
      <c r="H2057" s="5">
        <v>0</v>
      </c>
      <c r="I2057" s="6">
        <v>710000000</v>
      </c>
      <c r="J2057" s="4" t="s">
        <v>1931</v>
      </c>
      <c r="K2057" s="4" t="s">
        <v>5297</v>
      </c>
      <c r="L2057" s="3" t="s">
        <v>1889</v>
      </c>
      <c r="M2057" s="8" t="s">
        <v>3195</v>
      </c>
      <c r="N2057" s="3" t="s">
        <v>1890</v>
      </c>
      <c r="O2057" s="8" t="s">
        <v>1935</v>
      </c>
      <c r="P2057" s="8">
        <v>796</v>
      </c>
      <c r="Q2057" s="8" t="s">
        <v>3196</v>
      </c>
      <c r="R2057" s="69">
        <v>100</v>
      </c>
      <c r="S2057" s="69">
        <v>233.71</v>
      </c>
      <c r="T2057" s="10">
        <v>0</v>
      </c>
      <c r="U2057" s="10">
        <f t="shared" si="1002"/>
        <v>0</v>
      </c>
      <c r="V2057" s="7"/>
      <c r="W2057" s="1">
        <v>2015</v>
      </c>
      <c r="X2057" s="62">
        <v>7.11</v>
      </c>
    </row>
    <row r="2058" spans="1:24" s="13" customFormat="1" ht="76.5" customHeight="1" outlineLevel="1" x14ac:dyDescent="0.2">
      <c r="A2058" s="1" t="s">
        <v>7688</v>
      </c>
      <c r="B2058" s="2" t="s">
        <v>5277</v>
      </c>
      <c r="C2058" s="2" t="s">
        <v>3082</v>
      </c>
      <c r="D2058" s="2" t="s">
        <v>5481</v>
      </c>
      <c r="E2058" s="2" t="s">
        <v>5482</v>
      </c>
      <c r="F2058" s="2"/>
      <c r="G2058" s="1" t="s">
        <v>3190</v>
      </c>
      <c r="H2058" s="5">
        <v>0</v>
      </c>
      <c r="I2058" s="6">
        <v>710000000</v>
      </c>
      <c r="J2058" s="4" t="s">
        <v>1931</v>
      </c>
      <c r="K2058" s="4" t="s">
        <v>756</v>
      </c>
      <c r="L2058" s="3" t="s">
        <v>1889</v>
      </c>
      <c r="M2058" s="8" t="s">
        <v>3195</v>
      </c>
      <c r="N2058" s="3" t="s">
        <v>1890</v>
      </c>
      <c r="O2058" s="8" t="s">
        <v>1935</v>
      </c>
      <c r="P2058" s="8">
        <v>796</v>
      </c>
      <c r="Q2058" s="8" t="s">
        <v>3196</v>
      </c>
      <c r="R2058" s="69">
        <v>100</v>
      </c>
      <c r="S2058" s="69">
        <v>233.71</v>
      </c>
      <c r="T2058" s="10">
        <f t="shared" ref="T2058" si="1061">S2058*R2058</f>
        <v>23371</v>
      </c>
      <c r="U2058" s="10">
        <f t="shared" ref="U2058" si="1062">T2058*1.12</f>
        <v>26175.520000000004</v>
      </c>
      <c r="V2058" s="7"/>
      <c r="W2058" s="1">
        <v>2015</v>
      </c>
      <c r="X2058" s="62"/>
    </row>
    <row r="2059" spans="1:24" s="13" customFormat="1" ht="76.5" customHeight="1" outlineLevel="1" x14ac:dyDescent="0.2">
      <c r="A2059" s="1" t="s">
        <v>3744</v>
      </c>
      <c r="B2059" s="2" t="s">
        <v>5277</v>
      </c>
      <c r="C2059" s="2" t="s">
        <v>3094</v>
      </c>
      <c r="D2059" s="2" t="s">
        <v>5221</v>
      </c>
      <c r="E2059" s="6" t="s">
        <v>5222</v>
      </c>
      <c r="F2059" s="52" t="s">
        <v>3793</v>
      </c>
      <c r="G2059" s="1" t="s">
        <v>3187</v>
      </c>
      <c r="H2059" s="5">
        <v>0</v>
      </c>
      <c r="I2059" s="6">
        <v>710000000</v>
      </c>
      <c r="J2059" s="4" t="s">
        <v>1931</v>
      </c>
      <c r="K2059" s="4" t="s">
        <v>5297</v>
      </c>
      <c r="L2059" s="3" t="s">
        <v>1889</v>
      </c>
      <c r="M2059" s="8" t="s">
        <v>3195</v>
      </c>
      <c r="N2059" s="3" t="s">
        <v>1890</v>
      </c>
      <c r="O2059" s="8" t="s">
        <v>1935</v>
      </c>
      <c r="P2059" s="8">
        <v>796</v>
      </c>
      <c r="Q2059" s="8" t="s">
        <v>3196</v>
      </c>
      <c r="R2059" s="69">
        <v>20</v>
      </c>
      <c r="S2059" s="69">
        <v>571.45000000000005</v>
      </c>
      <c r="T2059" s="10">
        <v>0</v>
      </c>
      <c r="U2059" s="10">
        <f t="shared" si="1002"/>
        <v>0</v>
      </c>
      <c r="V2059" s="7"/>
      <c r="W2059" s="1">
        <v>2015</v>
      </c>
      <c r="X2059" s="62">
        <v>7.11</v>
      </c>
    </row>
    <row r="2060" spans="1:24" s="13" customFormat="1" ht="76.5" customHeight="1" outlineLevel="1" x14ac:dyDescent="0.2">
      <c r="A2060" s="1" t="s">
        <v>7689</v>
      </c>
      <c r="B2060" s="2" t="s">
        <v>5277</v>
      </c>
      <c r="C2060" s="2" t="s">
        <v>3094</v>
      </c>
      <c r="D2060" s="2" t="s">
        <v>5221</v>
      </c>
      <c r="E2060" s="6" t="s">
        <v>5222</v>
      </c>
      <c r="F2060" s="52" t="s">
        <v>3793</v>
      </c>
      <c r="G2060" s="1" t="s">
        <v>3190</v>
      </c>
      <c r="H2060" s="5">
        <v>0</v>
      </c>
      <c r="I2060" s="6">
        <v>710000000</v>
      </c>
      <c r="J2060" s="4" t="s">
        <v>1931</v>
      </c>
      <c r="K2060" s="4" t="s">
        <v>756</v>
      </c>
      <c r="L2060" s="3" t="s">
        <v>1889</v>
      </c>
      <c r="M2060" s="8" t="s">
        <v>3195</v>
      </c>
      <c r="N2060" s="3" t="s">
        <v>1890</v>
      </c>
      <c r="O2060" s="8" t="s">
        <v>1935</v>
      </c>
      <c r="P2060" s="8">
        <v>796</v>
      </c>
      <c r="Q2060" s="8" t="s">
        <v>3196</v>
      </c>
      <c r="R2060" s="69">
        <v>20</v>
      </c>
      <c r="S2060" s="69">
        <v>571.45000000000005</v>
      </c>
      <c r="T2060" s="10">
        <f t="shared" ref="T2060" si="1063">S2060*R2060</f>
        <v>11429</v>
      </c>
      <c r="U2060" s="10">
        <f t="shared" ref="U2060" si="1064">T2060*1.12</f>
        <v>12800.480000000001</v>
      </c>
      <c r="V2060" s="7"/>
      <c r="W2060" s="1">
        <v>2015</v>
      </c>
      <c r="X2060" s="62"/>
    </row>
    <row r="2061" spans="1:24" s="13" customFormat="1" ht="76.5" customHeight="1" outlineLevel="1" x14ac:dyDescent="0.2">
      <c r="A2061" s="1" t="s">
        <v>3745</v>
      </c>
      <c r="B2061" s="2" t="s">
        <v>5277</v>
      </c>
      <c r="C2061" s="2" t="s">
        <v>3094</v>
      </c>
      <c r="D2061" s="2" t="s">
        <v>5221</v>
      </c>
      <c r="E2061" s="6" t="s">
        <v>5222</v>
      </c>
      <c r="F2061" s="2"/>
      <c r="G2061" s="1" t="s">
        <v>3187</v>
      </c>
      <c r="H2061" s="5">
        <v>0</v>
      </c>
      <c r="I2061" s="6">
        <v>710000000</v>
      </c>
      <c r="J2061" s="4" t="s">
        <v>1931</v>
      </c>
      <c r="K2061" s="4" t="s">
        <v>5297</v>
      </c>
      <c r="L2061" s="3" t="s">
        <v>1889</v>
      </c>
      <c r="M2061" s="8" t="s">
        <v>3195</v>
      </c>
      <c r="N2061" s="3" t="s">
        <v>1890</v>
      </c>
      <c r="O2061" s="8" t="s">
        <v>1935</v>
      </c>
      <c r="P2061" s="8">
        <v>796</v>
      </c>
      <c r="Q2061" s="8" t="s">
        <v>3196</v>
      </c>
      <c r="R2061" s="69">
        <v>6</v>
      </c>
      <c r="S2061" s="69">
        <v>571.5</v>
      </c>
      <c r="T2061" s="10">
        <v>0</v>
      </c>
      <c r="U2061" s="10">
        <f t="shared" si="1002"/>
        <v>0</v>
      </c>
      <c r="V2061" s="7"/>
      <c r="W2061" s="1">
        <v>2015</v>
      </c>
      <c r="X2061" s="62">
        <v>7.11</v>
      </c>
    </row>
    <row r="2062" spans="1:24" s="13" customFormat="1" ht="76.5" customHeight="1" outlineLevel="1" x14ac:dyDescent="0.2">
      <c r="A2062" s="1" t="s">
        <v>7690</v>
      </c>
      <c r="B2062" s="2" t="s">
        <v>5277</v>
      </c>
      <c r="C2062" s="2" t="s">
        <v>3094</v>
      </c>
      <c r="D2062" s="2" t="s">
        <v>5221</v>
      </c>
      <c r="E2062" s="6" t="s">
        <v>5222</v>
      </c>
      <c r="F2062" s="2"/>
      <c r="G2062" s="1" t="s">
        <v>3190</v>
      </c>
      <c r="H2062" s="5">
        <v>0</v>
      </c>
      <c r="I2062" s="6">
        <v>710000000</v>
      </c>
      <c r="J2062" s="4" t="s">
        <v>1931</v>
      </c>
      <c r="K2062" s="4" t="s">
        <v>756</v>
      </c>
      <c r="L2062" s="3" t="s">
        <v>1889</v>
      </c>
      <c r="M2062" s="8" t="s">
        <v>3195</v>
      </c>
      <c r="N2062" s="3" t="s">
        <v>1890</v>
      </c>
      <c r="O2062" s="8" t="s">
        <v>1935</v>
      </c>
      <c r="P2062" s="8">
        <v>796</v>
      </c>
      <c r="Q2062" s="8" t="s">
        <v>3196</v>
      </c>
      <c r="R2062" s="69">
        <v>6</v>
      </c>
      <c r="S2062" s="69">
        <v>571.5</v>
      </c>
      <c r="T2062" s="10">
        <f t="shared" ref="T2062" si="1065">S2062*R2062</f>
        <v>3429</v>
      </c>
      <c r="U2062" s="10">
        <f t="shared" ref="U2062" si="1066">T2062*1.12</f>
        <v>3840.4800000000005</v>
      </c>
      <c r="V2062" s="7"/>
      <c r="W2062" s="1">
        <v>2015</v>
      </c>
      <c r="X2062" s="62"/>
    </row>
    <row r="2063" spans="1:24" s="13" customFormat="1" ht="76.5" customHeight="1" outlineLevel="1" x14ac:dyDescent="0.2">
      <c r="A2063" s="1" t="s">
        <v>3746</v>
      </c>
      <c r="B2063" s="2" t="s">
        <v>5277</v>
      </c>
      <c r="C2063" s="2" t="s">
        <v>527</v>
      </c>
      <c r="D2063" s="70" t="s">
        <v>5551</v>
      </c>
      <c r="E2063" s="70" t="s">
        <v>5550</v>
      </c>
      <c r="F2063" s="2" t="s">
        <v>526</v>
      </c>
      <c r="G2063" s="1" t="s">
        <v>3187</v>
      </c>
      <c r="H2063" s="5">
        <v>0</v>
      </c>
      <c r="I2063" s="6">
        <v>710000000</v>
      </c>
      <c r="J2063" s="4" t="s">
        <v>1931</v>
      </c>
      <c r="K2063" s="4" t="s">
        <v>5297</v>
      </c>
      <c r="L2063" s="3" t="s">
        <v>1889</v>
      </c>
      <c r="M2063" s="8" t="s">
        <v>3195</v>
      </c>
      <c r="N2063" s="3" t="s">
        <v>1890</v>
      </c>
      <c r="O2063" s="8" t="s">
        <v>1935</v>
      </c>
      <c r="P2063" s="8">
        <v>796</v>
      </c>
      <c r="Q2063" s="8" t="s">
        <v>3196</v>
      </c>
      <c r="R2063" s="69">
        <v>100</v>
      </c>
      <c r="S2063" s="69">
        <v>93.73</v>
      </c>
      <c r="T2063" s="10">
        <v>0</v>
      </c>
      <c r="U2063" s="10">
        <f t="shared" si="1002"/>
        <v>0</v>
      </c>
      <c r="V2063" s="7"/>
      <c r="W2063" s="1">
        <v>2015</v>
      </c>
      <c r="X2063" s="62">
        <v>7.11</v>
      </c>
    </row>
    <row r="2064" spans="1:24" s="13" customFormat="1" ht="76.5" customHeight="1" outlineLevel="1" x14ac:dyDescent="0.2">
      <c r="A2064" s="1" t="s">
        <v>7691</v>
      </c>
      <c r="B2064" s="2" t="s">
        <v>5277</v>
      </c>
      <c r="C2064" s="2" t="s">
        <v>527</v>
      </c>
      <c r="D2064" s="70" t="s">
        <v>5551</v>
      </c>
      <c r="E2064" s="70" t="s">
        <v>5550</v>
      </c>
      <c r="F2064" s="2" t="s">
        <v>526</v>
      </c>
      <c r="G2064" s="1" t="s">
        <v>3190</v>
      </c>
      <c r="H2064" s="5">
        <v>0</v>
      </c>
      <c r="I2064" s="6">
        <v>710000000</v>
      </c>
      <c r="J2064" s="4" t="s">
        <v>1931</v>
      </c>
      <c r="K2064" s="4" t="s">
        <v>756</v>
      </c>
      <c r="L2064" s="3" t="s">
        <v>1889</v>
      </c>
      <c r="M2064" s="8" t="s">
        <v>3195</v>
      </c>
      <c r="N2064" s="3" t="s">
        <v>1890</v>
      </c>
      <c r="O2064" s="8" t="s">
        <v>1935</v>
      </c>
      <c r="P2064" s="8">
        <v>796</v>
      </c>
      <c r="Q2064" s="8" t="s">
        <v>3196</v>
      </c>
      <c r="R2064" s="69">
        <v>100</v>
      </c>
      <c r="S2064" s="69">
        <v>93.73</v>
      </c>
      <c r="T2064" s="10">
        <f t="shared" ref="T2064" si="1067">S2064*R2064</f>
        <v>9373</v>
      </c>
      <c r="U2064" s="10">
        <f t="shared" ref="U2064" si="1068">T2064*1.12</f>
        <v>10497.76</v>
      </c>
      <c r="V2064" s="7"/>
      <c r="W2064" s="1">
        <v>2015</v>
      </c>
      <c r="X2064" s="62"/>
    </row>
    <row r="2065" spans="1:24" s="13" customFormat="1" ht="76.5" customHeight="1" outlineLevel="1" x14ac:dyDescent="0.2">
      <c r="A2065" s="1" t="s">
        <v>3747</v>
      </c>
      <c r="B2065" s="2" t="s">
        <v>5277</v>
      </c>
      <c r="C2065" s="2" t="s">
        <v>3099</v>
      </c>
      <c r="D2065" s="2" t="s">
        <v>5231</v>
      </c>
      <c r="E2065" s="2" t="s">
        <v>5232</v>
      </c>
      <c r="F2065" s="2"/>
      <c r="G2065" s="1" t="s">
        <v>3187</v>
      </c>
      <c r="H2065" s="5">
        <v>0</v>
      </c>
      <c r="I2065" s="6">
        <v>710000000</v>
      </c>
      <c r="J2065" s="4" t="s">
        <v>1931</v>
      </c>
      <c r="K2065" s="4" t="s">
        <v>5297</v>
      </c>
      <c r="L2065" s="3" t="s">
        <v>1165</v>
      </c>
      <c r="M2065" s="8" t="s">
        <v>3195</v>
      </c>
      <c r="N2065" s="3" t="s">
        <v>1890</v>
      </c>
      <c r="O2065" s="8" t="s">
        <v>1935</v>
      </c>
      <c r="P2065" s="8">
        <v>796</v>
      </c>
      <c r="Q2065" s="8" t="s">
        <v>3196</v>
      </c>
      <c r="R2065" s="69">
        <v>55</v>
      </c>
      <c r="S2065" s="69">
        <v>6500</v>
      </c>
      <c r="T2065" s="10">
        <v>0</v>
      </c>
      <c r="U2065" s="10">
        <f t="shared" si="1002"/>
        <v>0</v>
      </c>
      <c r="V2065" s="7"/>
      <c r="W2065" s="1">
        <v>2015</v>
      </c>
      <c r="X2065" s="62" t="s">
        <v>7678</v>
      </c>
    </row>
    <row r="2066" spans="1:24" s="13" customFormat="1" ht="76.5" customHeight="1" outlineLevel="1" x14ac:dyDescent="0.2">
      <c r="A2066" s="1" t="s">
        <v>7692</v>
      </c>
      <c r="B2066" s="2" t="s">
        <v>5277</v>
      </c>
      <c r="C2066" s="2" t="s">
        <v>3099</v>
      </c>
      <c r="D2066" s="2" t="s">
        <v>5231</v>
      </c>
      <c r="E2066" s="2" t="s">
        <v>5232</v>
      </c>
      <c r="F2066" s="2"/>
      <c r="G2066" s="1" t="s">
        <v>3190</v>
      </c>
      <c r="H2066" s="5">
        <v>0</v>
      </c>
      <c r="I2066" s="6">
        <v>710000000</v>
      </c>
      <c r="J2066" s="4" t="s">
        <v>1931</v>
      </c>
      <c r="K2066" s="4" t="s">
        <v>756</v>
      </c>
      <c r="L2066" s="3" t="s">
        <v>1165</v>
      </c>
      <c r="M2066" s="8" t="s">
        <v>3195</v>
      </c>
      <c r="N2066" s="3" t="s">
        <v>1890</v>
      </c>
      <c r="O2066" s="8" t="s">
        <v>1935</v>
      </c>
      <c r="P2066" s="8">
        <v>796</v>
      </c>
      <c r="Q2066" s="8" t="s">
        <v>3196</v>
      </c>
      <c r="R2066" s="69">
        <v>40</v>
      </c>
      <c r="S2066" s="69">
        <v>6500</v>
      </c>
      <c r="T2066" s="10">
        <f t="shared" ref="T2066" si="1069">S2066*R2066</f>
        <v>260000</v>
      </c>
      <c r="U2066" s="10">
        <f t="shared" ref="U2066" si="1070">T2066*1.12</f>
        <v>291200</v>
      </c>
      <c r="V2066" s="7"/>
      <c r="W2066" s="1">
        <v>2015</v>
      </c>
      <c r="X2066" s="62"/>
    </row>
    <row r="2067" spans="1:24" s="219" customFormat="1" ht="76.5" customHeight="1" outlineLevel="1" x14ac:dyDescent="0.2">
      <c r="A2067" s="42" t="s">
        <v>3748</v>
      </c>
      <c r="B2067" s="71" t="s">
        <v>5277</v>
      </c>
      <c r="C2067" s="71" t="s">
        <v>3082</v>
      </c>
      <c r="D2067" s="71" t="s">
        <v>5481</v>
      </c>
      <c r="E2067" s="71" t="s">
        <v>5482</v>
      </c>
      <c r="F2067" s="71" t="s">
        <v>525</v>
      </c>
      <c r="G2067" s="42" t="s">
        <v>3187</v>
      </c>
      <c r="H2067" s="72">
        <v>0</v>
      </c>
      <c r="I2067" s="46">
        <v>710000000</v>
      </c>
      <c r="J2067" s="44" t="s">
        <v>1931</v>
      </c>
      <c r="K2067" s="44" t="s">
        <v>5297</v>
      </c>
      <c r="L2067" s="71" t="s">
        <v>1027</v>
      </c>
      <c r="M2067" s="73" t="s">
        <v>3195</v>
      </c>
      <c r="N2067" s="44" t="s">
        <v>1890</v>
      </c>
      <c r="O2067" s="73" t="s">
        <v>1935</v>
      </c>
      <c r="P2067" s="73">
        <v>796</v>
      </c>
      <c r="Q2067" s="73" t="s">
        <v>3196</v>
      </c>
      <c r="R2067" s="74">
        <v>75</v>
      </c>
      <c r="S2067" s="74">
        <v>1000</v>
      </c>
      <c r="T2067" s="74">
        <v>0</v>
      </c>
      <c r="U2067" s="74">
        <f t="shared" si="1002"/>
        <v>0</v>
      </c>
      <c r="V2067" s="71"/>
      <c r="W2067" s="42">
        <v>2015</v>
      </c>
      <c r="X2067" s="73" t="s">
        <v>6565</v>
      </c>
    </row>
    <row r="2068" spans="1:24" s="219" customFormat="1" ht="76.5" customHeight="1" outlineLevel="1" x14ac:dyDescent="0.2">
      <c r="A2068" s="42" t="s">
        <v>3749</v>
      </c>
      <c r="B2068" s="71" t="s">
        <v>5277</v>
      </c>
      <c r="C2068" s="71" t="s">
        <v>3083</v>
      </c>
      <c r="D2068" s="71" t="s">
        <v>5483</v>
      </c>
      <c r="E2068" s="71" t="s">
        <v>524</v>
      </c>
      <c r="F2068" s="71"/>
      <c r="G2068" s="42" t="s">
        <v>3187</v>
      </c>
      <c r="H2068" s="72">
        <v>0</v>
      </c>
      <c r="I2068" s="46">
        <v>710000000</v>
      </c>
      <c r="J2068" s="44" t="s">
        <v>1931</v>
      </c>
      <c r="K2068" s="44" t="s">
        <v>5297</v>
      </c>
      <c r="L2068" s="71" t="s">
        <v>1027</v>
      </c>
      <c r="M2068" s="73" t="s">
        <v>3195</v>
      </c>
      <c r="N2068" s="44" t="s">
        <v>1890</v>
      </c>
      <c r="O2068" s="73" t="s">
        <v>1935</v>
      </c>
      <c r="P2068" s="73">
        <v>796</v>
      </c>
      <c r="Q2068" s="73" t="s">
        <v>3196</v>
      </c>
      <c r="R2068" s="74">
        <v>22</v>
      </c>
      <c r="S2068" s="74">
        <v>6500</v>
      </c>
      <c r="T2068" s="74">
        <v>0</v>
      </c>
      <c r="U2068" s="74">
        <f t="shared" si="1002"/>
        <v>0</v>
      </c>
      <c r="V2068" s="71"/>
      <c r="W2068" s="42">
        <v>2015</v>
      </c>
      <c r="X2068" s="73" t="s">
        <v>6565</v>
      </c>
    </row>
    <row r="2069" spans="1:24" s="13" customFormat="1" ht="76.5" customHeight="1" outlineLevel="1" x14ac:dyDescent="0.2">
      <c r="A2069" s="1" t="s">
        <v>3750</v>
      </c>
      <c r="B2069" s="2" t="s">
        <v>5277</v>
      </c>
      <c r="C2069" s="2" t="s">
        <v>3794</v>
      </c>
      <c r="D2069" s="2" t="s">
        <v>5539</v>
      </c>
      <c r="E2069" s="2" t="s">
        <v>5540</v>
      </c>
      <c r="F2069" s="2" t="s">
        <v>523</v>
      </c>
      <c r="G2069" s="3" t="s">
        <v>3190</v>
      </c>
      <c r="H2069" s="5">
        <v>0</v>
      </c>
      <c r="I2069" s="6">
        <v>710000000</v>
      </c>
      <c r="J2069" s="4" t="s">
        <v>1931</v>
      </c>
      <c r="K2069" s="4" t="s">
        <v>5297</v>
      </c>
      <c r="L2069" s="3" t="s">
        <v>1165</v>
      </c>
      <c r="M2069" s="8" t="s">
        <v>3195</v>
      </c>
      <c r="N2069" s="3" t="s">
        <v>1890</v>
      </c>
      <c r="O2069" s="8" t="s">
        <v>1935</v>
      </c>
      <c r="P2069" s="8">
        <v>796</v>
      </c>
      <c r="Q2069" s="8" t="s">
        <v>3196</v>
      </c>
      <c r="R2069" s="69">
        <f>5+1</f>
        <v>6</v>
      </c>
      <c r="S2069" s="69">
        <v>258</v>
      </c>
      <c r="T2069" s="10">
        <v>0</v>
      </c>
      <c r="U2069" s="10">
        <f t="shared" si="1002"/>
        <v>0</v>
      </c>
      <c r="V2069" s="7"/>
      <c r="W2069" s="1">
        <v>2015</v>
      </c>
      <c r="X2069" s="62" t="s">
        <v>7518</v>
      </c>
    </row>
    <row r="2070" spans="1:24" s="13" customFormat="1" ht="76.5" outlineLevel="1" x14ac:dyDescent="0.2">
      <c r="A2070" s="1" t="s">
        <v>7693</v>
      </c>
      <c r="B2070" s="2" t="s">
        <v>5277</v>
      </c>
      <c r="C2070" s="2" t="s">
        <v>3794</v>
      </c>
      <c r="D2070" s="2" t="s">
        <v>5539</v>
      </c>
      <c r="E2070" s="2" t="s">
        <v>5540</v>
      </c>
      <c r="F2070" s="2" t="s">
        <v>523</v>
      </c>
      <c r="G2070" s="3" t="s">
        <v>3190</v>
      </c>
      <c r="H2070" s="5">
        <v>0</v>
      </c>
      <c r="I2070" s="6">
        <v>710000000</v>
      </c>
      <c r="J2070" s="4" t="s">
        <v>1931</v>
      </c>
      <c r="K2070" s="4" t="s">
        <v>756</v>
      </c>
      <c r="L2070" s="3" t="s">
        <v>1165</v>
      </c>
      <c r="M2070" s="8" t="s">
        <v>3195</v>
      </c>
      <c r="N2070" s="3" t="s">
        <v>1890</v>
      </c>
      <c r="O2070" s="8" t="s">
        <v>1935</v>
      </c>
      <c r="P2070" s="8">
        <v>796</v>
      </c>
      <c r="Q2070" s="8" t="s">
        <v>3196</v>
      </c>
      <c r="R2070" s="69">
        <v>5</v>
      </c>
      <c r="S2070" s="69">
        <v>258</v>
      </c>
      <c r="T2070" s="10">
        <v>0</v>
      </c>
      <c r="U2070" s="10">
        <f t="shared" ref="U2070:U2073" si="1071">T2070*1.12</f>
        <v>0</v>
      </c>
      <c r="V2070" s="7"/>
      <c r="W2070" s="1">
        <v>2015</v>
      </c>
      <c r="X2070" s="62" t="s">
        <v>7518</v>
      </c>
    </row>
    <row r="2071" spans="1:24" s="13" customFormat="1" ht="76.5" outlineLevel="1" x14ac:dyDescent="0.2">
      <c r="A2071" s="1" t="s">
        <v>9291</v>
      </c>
      <c r="B2071" s="2" t="s">
        <v>5277</v>
      </c>
      <c r="C2071" s="2" t="s">
        <v>3794</v>
      </c>
      <c r="D2071" s="2" t="s">
        <v>5539</v>
      </c>
      <c r="E2071" s="2" t="s">
        <v>5540</v>
      </c>
      <c r="F2071" s="2" t="s">
        <v>523</v>
      </c>
      <c r="G2071" s="3" t="s">
        <v>3190</v>
      </c>
      <c r="H2071" s="5">
        <v>0</v>
      </c>
      <c r="I2071" s="6">
        <v>710000000</v>
      </c>
      <c r="J2071" s="4" t="s">
        <v>1931</v>
      </c>
      <c r="K2071" s="4" t="s">
        <v>9276</v>
      </c>
      <c r="L2071" s="3" t="s">
        <v>1165</v>
      </c>
      <c r="M2071" s="8" t="s">
        <v>3195</v>
      </c>
      <c r="N2071" s="3" t="s">
        <v>1890</v>
      </c>
      <c r="O2071" s="8" t="s">
        <v>1935</v>
      </c>
      <c r="P2071" s="8">
        <v>796</v>
      </c>
      <c r="Q2071" s="8" t="s">
        <v>3196</v>
      </c>
      <c r="R2071" s="69">
        <f>5+20</f>
        <v>25</v>
      </c>
      <c r="S2071" s="69">
        <v>258</v>
      </c>
      <c r="T2071" s="10">
        <v>0</v>
      </c>
      <c r="U2071" s="10">
        <f t="shared" ref="U2071" si="1072">T2071*1.12</f>
        <v>0</v>
      </c>
      <c r="V2071" s="7"/>
      <c r="W2071" s="1">
        <v>2015</v>
      </c>
      <c r="X2071" s="62" t="s">
        <v>6562</v>
      </c>
    </row>
    <row r="2072" spans="1:24" s="13" customFormat="1" ht="76.5" outlineLevel="1" x14ac:dyDescent="0.2">
      <c r="A2072" s="1" t="s">
        <v>9528</v>
      </c>
      <c r="B2072" s="2" t="s">
        <v>5277</v>
      </c>
      <c r="C2072" s="2" t="s">
        <v>3794</v>
      </c>
      <c r="D2072" s="2" t="s">
        <v>5539</v>
      </c>
      <c r="E2072" s="2" t="s">
        <v>5540</v>
      </c>
      <c r="F2072" s="2" t="s">
        <v>523</v>
      </c>
      <c r="G2072" s="3" t="s">
        <v>3190</v>
      </c>
      <c r="H2072" s="5">
        <v>0</v>
      </c>
      <c r="I2072" s="6">
        <v>710000000</v>
      </c>
      <c r="J2072" s="4" t="s">
        <v>1931</v>
      </c>
      <c r="K2072" s="4" t="s">
        <v>9276</v>
      </c>
      <c r="L2072" s="3" t="s">
        <v>1165</v>
      </c>
      <c r="M2072" s="8" t="s">
        <v>3195</v>
      </c>
      <c r="N2072" s="3" t="s">
        <v>1890</v>
      </c>
      <c r="O2072" s="8" t="s">
        <v>1935</v>
      </c>
      <c r="P2072" s="8">
        <v>796</v>
      </c>
      <c r="Q2072" s="8" t="s">
        <v>3196</v>
      </c>
      <c r="R2072" s="69">
        <f>5+20+15</f>
        <v>40</v>
      </c>
      <c r="S2072" s="69">
        <v>258</v>
      </c>
      <c r="T2072" s="10">
        <f t="shared" ref="T2072" si="1073">S2072*R2072</f>
        <v>10320</v>
      </c>
      <c r="U2072" s="10">
        <f t="shared" ref="U2072" si="1074">T2072*1.12</f>
        <v>11558.400000000001</v>
      </c>
      <c r="V2072" s="7"/>
      <c r="W2072" s="1">
        <v>2015</v>
      </c>
      <c r="X2072" s="62"/>
    </row>
    <row r="2073" spans="1:24" s="13" customFormat="1" ht="76.5" customHeight="1" outlineLevel="1" x14ac:dyDescent="0.2">
      <c r="A2073" s="1" t="s">
        <v>3751</v>
      </c>
      <c r="B2073" s="2" t="s">
        <v>5277</v>
      </c>
      <c r="C2073" s="2" t="s">
        <v>3794</v>
      </c>
      <c r="D2073" s="2" t="s">
        <v>5539</v>
      </c>
      <c r="E2073" s="2" t="s">
        <v>5540</v>
      </c>
      <c r="F2073" s="2" t="s">
        <v>522</v>
      </c>
      <c r="G2073" s="3" t="s">
        <v>3190</v>
      </c>
      <c r="H2073" s="5">
        <v>0</v>
      </c>
      <c r="I2073" s="6">
        <v>710000000</v>
      </c>
      <c r="J2073" s="4" t="s">
        <v>1931</v>
      </c>
      <c r="K2073" s="4" t="s">
        <v>5297</v>
      </c>
      <c r="L2073" s="3" t="s">
        <v>1165</v>
      </c>
      <c r="M2073" s="8" t="s">
        <v>3195</v>
      </c>
      <c r="N2073" s="3" t="s">
        <v>1890</v>
      </c>
      <c r="O2073" s="8" t="s">
        <v>1935</v>
      </c>
      <c r="P2073" s="8">
        <v>796</v>
      </c>
      <c r="Q2073" s="8" t="s">
        <v>3196</v>
      </c>
      <c r="R2073" s="69">
        <f>30+20</f>
        <v>50</v>
      </c>
      <c r="S2073" s="69">
        <v>230</v>
      </c>
      <c r="T2073" s="10">
        <v>0</v>
      </c>
      <c r="U2073" s="10">
        <f t="shared" si="1071"/>
        <v>0</v>
      </c>
      <c r="V2073" s="7"/>
      <c r="W2073" s="1">
        <v>2015</v>
      </c>
      <c r="X2073" s="62" t="s">
        <v>7518</v>
      </c>
    </row>
    <row r="2074" spans="1:24" s="13" customFormat="1" ht="76.5" customHeight="1" outlineLevel="1" x14ac:dyDescent="0.2">
      <c r="A2074" s="1" t="s">
        <v>7694</v>
      </c>
      <c r="B2074" s="2" t="s">
        <v>5277</v>
      </c>
      <c r="C2074" s="2" t="s">
        <v>3794</v>
      </c>
      <c r="D2074" s="2" t="s">
        <v>5539</v>
      </c>
      <c r="E2074" s="2" t="s">
        <v>5540</v>
      </c>
      <c r="F2074" s="2" t="s">
        <v>522</v>
      </c>
      <c r="G2074" s="3" t="s">
        <v>3190</v>
      </c>
      <c r="H2074" s="5">
        <v>0</v>
      </c>
      <c r="I2074" s="6">
        <v>710000000</v>
      </c>
      <c r="J2074" s="4" t="s">
        <v>1931</v>
      </c>
      <c r="K2074" s="4" t="s">
        <v>756</v>
      </c>
      <c r="L2074" s="3" t="s">
        <v>1165</v>
      </c>
      <c r="M2074" s="8" t="s">
        <v>3195</v>
      </c>
      <c r="N2074" s="3" t="s">
        <v>1890</v>
      </c>
      <c r="O2074" s="8" t="s">
        <v>1935</v>
      </c>
      <c r="P2074" s="8">
        <v>796</v>
      </c>
      <c r="Q2074" s="8" t="s">
        <v>3196</v>
      </c>
      <c r="R2074" s="69">
        <v>30</v>
      </c>
      <c r="S2074" s="69">
        <v>230</v>
      </c>
      <c r="T2074" s="10">
        <v>0</v>
      </c>
      <c r="U2074" s="10">
        <f t="shared" si="1002"/>
        <v>0</v>
      </c>
      <c r="V2074" s="7"/>
      <c r="W2074" s="1">
        <v>2015</v>
      </c>
      <c r="X2074" s="62" t="s">
        <v>7518</v>
      </c>
    </row>
    <row r="2075" spans="1:24" s="13" customFormat="1" ht="76.5" customHeight="1" outlineLevel="1" x14ac:dyDescent="0.2">
      <c r="A2075" s="1" t="s">
        <v>9206</v>
      </c>
      <c r="B2075" s="2" t="s">
        <v>5277</v>
      </c>
      <c r="C2075" s="2" t="s">
        <v>3794</v>
      </c>
      <c r="D2075" s="2" t="s">
        <v>5539</v>
      </c>
      <c r="E2075" s="2" t="s">
        <v>5540</v>
      </c>
      <c r="F2075" s="2" t="s">
        <v>522</v>
      </c>
      <c r="G2075" s="3" t="s">
        <v>3190</v>
      </c>
      <c r="H2075" s="5">
        <v>0</v>
      </c>
      <c r="I2075" s="6">
        <v>710000000</v>
      </c>
      <c r="J2075" s="4" t="s">
        <v>1931</v>
      </c>
      <c r="K2075" s="4" t="s">
        <v>9142</v>
      </c>
      <c r="L2075" s="3" t="s">
        <v>1165</v>
      </c>
      <c r="M2075" s="8" t="s">
        <v>3195</v>
      </c>
      <c r="N2075" s="3" t="s">
        <v>1890</v>
      </c>
      <c r="O2075" s="8" t="s">
        <v>1935</v>
      </c>
      <c r="P2075" s="8">
        <v>796</v>
      </c>
      <c r="Q2075" s="8" t="s">
        <v>3196</v>
      </c>
      <c r="R2075" s="69">
        <f>30+3</f>
        <v>33</v>
      </c>
      <c r="S2075" s="69">
        <v>230</v>
      </c>
      <c r="T2075" s="10">
        <v>0</v>
      </c>
      <c r="U2075" s="10">
        <f t="shared" ref="U2075" si="1075">T2075*1.12</f>
        <v>0</v>
      </c>
      <c r="V2075" s="7"/>
      <c r="W2075" s="1">
        <v>2015</v>
      </c>
      <c r="X2075" s="62"/>
    </row>
    <row r="2076" spans="1:24" s="13" customFormat="1" ht="76.5" customHeight="1" outlineLevel="1" x14ac:dyDescent="0.2">
      <c r="A2076" s="1" t="s">
        <v>9290</v>
      </c>
      <c r="B2076" s="2" t="s">
        <v>5277</v>
      </c>
      <c r="C2076" s="2" t="s">
        <v>3794</v>
      </c>
      <c r="D2076" s="2" t="s">
        <v>5539</v>
      </c>
      <c r="E2076" s="2" t="s">
        <v>5540</v>
      </c>
      <c r="F2076" s="2" t="s">
        <v>522</v>
      </c>
      <c r="G2076" s="3" t="s">
        <v>3190</v>
      </c>
      <c r="H2076" s="5">
        <v>0</v>
      </c>
      <c r="I2076" s="6">
        <v>710000000</v>
      </c>
      <c r="J2076" s="4" t="s">
        <v>1931</v>
      </c>
      <c r="K2076" s="4" t="s">
        <v>9142</v>
      </c>
      <c r="L2076" s="3" t="s">
        <v>1165</v>
      </c>
      <c r="M2076" s="8" t="s">
        <v>3195</v>
      </c>
      <c r="N2076" s="3" t="s">
        <v>1890</v>
      </c>
      <c r="O2076" s="8" t="s">
        <v>1935</v>
      </c>
      <c r="P2076" s="8">
        <v>796</v>
      </c>
      <c r="Q2076" s="8" t="s">
        <v>3196</v>
      </c>
      <c r="R2076" s="69">
        <f>30+3+20</f>
        <v>53</v>
      </c>
      <c r="S2076" s="69">
        <v>230</v>
      </c>
      <c r="T2076" s="10">
        <f t="shared" ref="T2076" si="1076">S2076*R2076</f>
        <v>12190</v>
      </c>
      <c r="U2076" s="10">
        <f t="shared" ref="U2076" si="1077">T2076*1.12</f>
        <v>13652.800000000001</v>
      </c>
      <c r="V2076" s="7"/>
      <c r="W2076" s="1">
        <v>2015</v>
      </c>
      <c r="X2076" s="62"/>
    </row>
    <row r="2077" spans="1:24" s="13" customFormat="1" ht="76.5" customHeight="1" outlineLevel="1" x14ac:dyDescent="0.2">
      <c r="A2077" s="1" t="s">
        <v>3752</v>
      </c>
      <c r="B2077" s="2" t="s">
        <v>5277</v>
      </c>
      <c r="C2077" s="2" t="s">
        <v>3794</v>
      </c>
      <c r="D2077" s="2" t="s">
        <v>5539</v>
      </c>
      <c r="E2077" s="2" t="s">
        <v>5540</v>
      </c>
      <c r="F2077" s="2" t="s">
        <v>521</v>
      </c>
      <c r="G2077" s="3" t="s">
        <v>3190</v>
      </c>
      <c r="H2077" s="5">
        <v>0</v>
      </c>
      <c r="I2077" s="6">
        <v>710000000</v>
      </c>
      <c r="J2077" s="4" t="s">
        <v>1931</v>
      </c>
      <c r="K2077" s="4" t="s">
        <v>5297</v>
      </c>
      <c r="L2077" s="3" t="s">
        <v>1165</v>
      </c>
      <c r="M2077" s="8" t="s">
        <v>3195</v>
      </c>
      <c r="N2077" s="3" t="s">
        <v>1890</v>
      </c>
      <c r="O2077" s="8" t="s">
        <v>1935</v>
      </c>
      <c r="P2077" s="8">
        <v>796</v>
      </c>
      <c r="Q2077" s="8" t="s">
        <v>3196</v>
      </c>
      <c r="R2077" s="69">
        <f>10+5+2</f>
        <v>17</v>
      </c>
      <c r="S2077" s="69">
        <v>131</v>
      </c>
      <c r="T2077" s="10">
        <v>0</v>
      </c>
      <c r="U2077" s="10">
        <f t="shared" si="1002"/>
        <v>0</v>
      </c>
      <c r="V2077" s="7"/>
      <c r="W2077" s="1">
        <v>2015</v>
      </c>
      <c r="X2077" s="62" t="s">
        <v>7518</v>
      </c>
    </row>
    <row r="2078" spans="1:24" s="13" customFormat="1" ht="76.5" customHeight="1" outlineLevel="1" x14ac:dyDescent="0.2">
      <c r="A2078" s="1" t="s">
        <v>7695</v>
      </c>
      <c r="B2078" s="2" t="s">
        <v>5277</v>
      </c>
      <c r="C2078" s="2" t="s">
        <v>3794</v>
      </c>
      <c r="D2078" s="2" t="s">
        <v>5539</v>
      </c>
      <c r="E2078" s="2" t="s">
        <v>5540</v>
      </c>
      <c r="F2078" s="2" t="s">
        <v>521</v>
      </c>
      <c r="G2078" s="3" t="s">
        <v>3190</v>
      </c>
      <c r="H2078" s="5">
        <v>0</v>
      </c>
      <c r="I2078" s="6">
        <v>710000000</v>
      </c>
      <c r="J2078" s="4" t="s">
        <v>1931</v>
      </c>
      <c r="K2078" s="4" t="s">
        <v>756</v>
      </c>
      <c r="L2078" s="3" t="s">
        <v>1165</v>
      </c>
      <c r="M2078" s="8" t="s">
        <v>3195</v>
      </c>
      <c r="N2078" s="3" t="s">
        <v>1890</v>
      </c>
      <c r="O2078" s="8" t="s">
        <v>1935</v>
      </c>
      <c r="P2078" s="8">
        <v>796</v>
      </c>
      <c r="Q2078" s="8" t="s">
        <v>3196</v>
      </c>
      <c r="R2078" s="69">
        <v>10</v>
      </c>
      <c r="S2078" s="69">
        <v>131</v>
      </c>
      <c r="T2078" s="10">
        <f t="shared" ref="T2078" si="1078">S2078*R2078</f>
        <v>1310</v>
      </c>
      <c r="U2078" s="10">
        <f t="shared" ref="U2078" si="1079">T2078*1.12</f>
        <v>1467.2</v>
      </c>
      <c r="V2078" s="7"/>
      <c r="W2078" s="1">
        <v>2015</v>
      </c>
      <c r="X2078" s="62"/>
    </row>
    <row r="2079" spans="1:24" s="13" customFormat="1" ht="76.5" customHeight="1" outlineLevel="1" x14ac:dyDescent="0.2">
      <c r="A2079" s="1" t="s">
        <v>3753</v>
      </c>
      <c r="B2079" s="38" t="s">
        <v>5277</v>
      </c>
      <c r="C2079" s="2" t="s">
        <v>514</v>
      </c>
      <c r="D2079" s="2" t="s">
        <v>5479</v>
      </c>
      <c r="E2079" s="2" t="s">
        <v>513</v>
      </c>
      <c r="F2079" s="39" t="s">
        <v>520</v>
      </c>
      <c r="G2079" s="50" t="s">
        <v>3190</v>
      </c>
      <c r="H2079" s="5">
        <v>0</v>
      </c>
      <c r="I2079" s="6">
        <v>710000000</v>
      </c>
      <c r="J2079" s="4" t="s">
        <v>1931</v>
      </c>
      <c r="K2079" s="4" t="s">
        <v>5297</v>
      </c>
      <c r="L2079" s="3" t="s">
        <v>1165</v>
      </c>
      <c r="M2079" s="8" t="s">
        <v>3195</v>
      </c>
      <c r="N2079" s="3" t="s">
        <v>1890</v>
      </c>
      <c r="O2079" s="8" t="s">
        <v>1935</v>
      </c>
      <c r="P2079" s="8">
        <v>796</v>
      </c>
      <c r="Q2079" s="8" t="s">
        <v>3196</v>
      </c>
      <c r="R2079" s="9">
        <f>10+2+5+18</f>
        <v>35</v>
      </c>
      <c r="S2079" s="9">
        <v>637</v>
      </c>
      <c r="T2079" s="10">
        <v>0</v>
      </c>
      <c r="U2079" s="10">
        <f t="shared" si="1002"/>
        <v>0</v>
      </c>
      <c r="V2079" s="7"/>
      <c r="W2079" s="11">
        <v>2015</v>
      </c>
      <c r="X2079" s="12" t="s">
        <v>6562</v>
      </c>
    </row>
    <row r="2080" spans="1:24" s="13" customFormat="1" ht="76.5" customHeight="1" outlineLevel="1" x14ac:dyDescent="0.2">
      <c r="A2080" s="1" t="s">
        <v>6650</v>
      </c>
      <c r="B2080" s="2" t="s">
        <v>5277</v>
      </c>
      <c r="C2080" s="2" t="s">
        <v>514</v>
      </c>
      <c r="D2080" s="2" t="s">
        <v>5479</v>
      </c>
      <c r="E2080" s="2" t="s">
        <v>513</v>
      </c>
      <c r="F2080" s="2" t="s">
        <v>520</v>
      </c>
      <c r="G2080" s="3" t="s">
        <v>3190</v>
      </c>
      <c r="H2080" s="5">
        <v>0</v>
      </c>
      <c r="I2080" s="6">
        <v>710000000</v>
      </c>
      <c r="J2080" s="4" t="s">
        <v>1931</v>
      </c>
      <c r="K2080" s="4" t="s">
        <v>5297</v>
      </c>
      <c r="L2080" s="3" t="s">
        <v>1165</v>
      </c>
      <c r="M2080" s="8" t="s">
        <v>3195</v>
      </c>
      <c r="N2080" s="3" t="s">
        <v>1890</v>
      </c>
      <c r="O2080" s="8" t="s">
        <v>1935</v>
      </c>
      <c r="P2080" s="8">
        <v>796</v>
      </c>
      <c r="Q2080" s="8" t="s">
        <v>3196</v>
      </c>
      <c r="R2080" s="69">
        <f>8+2+5+18</f>
        <v>33</v>
      </c>
      <c r="S2080" s="69">
        <v>637</v>
      </c>
      <c r="T2080" s="10">
        <v>0</v>
      </c>
      <c r="U2080" s="10">
        <f t="shared" si="1002"/>
        <v>0</v>
      </c>
      <c r="V2080" s="7"/>
      <c r="W2080" s="1">
        <v>2015</v>
      </c>
      <c r="X2080" s="62" t="s">
        <v>7518</v>
      </c>
    </row>
    <row r="2081" spans="1:24" s="13" customFormat="1" ht="76.5" customHeight="1" outlineLevel="1" x14ac:dyDescent="0.2">
      <c r="A2081" s="1" t="s">
        <v>7696</v>
      </c>
      <c r="B2081" s="2" t="s">
        <v>5277</v>
      </c>
      <c r="C2081" s="2" t="s">
        <v>514</v>
      </c>
      <c r="D2081" s="2" t="s">
        <v>5479</v>
      </c>
      <c r="E2081" s="2" t="s">
        <v>513</v>
      </c>
      <c r="F2081" s="2" t="s">
        <v>520</v>
      </c>
      <c r="G2081" s="3" t="s">
        <v>3190</v>
      </c>
      <c r="H2081" s="5">
        <v>0</v>
      </c>
      <c r="I2081" s="6">
        <v>710000000</v>
      </c>
      <c r="J2081" s="4" t="s">
        <v>1931</v>
      </c>
      <c r="K2081" s="4" t="s">
        <v>756</v>
      </c>
      <c r="L2081" s="3" t="s">
        <v>1165</v>
      </c>
      <c r="M2081" s="8" t="s">
        <v>3195</v>
      </c>
      <c r="N2081" s="3" t="s">
        <v>1890</v>
      </c>
      <c r="O2081" s="8" t="s">
        <v>1935</v>
      </c>
      <c r="P2081" s="8">
        <v>796</v>
      </c>
      <c r="Q2081" s="8" t="s">
        <v>3196</v>
      </c>
      <c r="R2081" s="69">
        <v>20</v>
      </c>
      <c r="S2081" s="69">
        <v>637</v>
      </c>
      <c r="T2081" s="10">
        <v>0</v>
      </c>
      <c r="U2081" s="10">
        <f t="shared" ref="U2081" si="1080">T2081*1.12</f>
        <v>0</v>
      </c>
      <c r="V2081" s="7"/>
      <c r="W2081" s="1">
        <v>2015</v>
      </c>
      <c r="X2081" s="62" t="s">
        <v>7518</v>
      </c>
    </row>
    <row r="2082" spans="1:24" s="13" customFormat="1" ht="76.5" outlineLevel="1" x14ac:dyDescent="0.2">
      <c r="A2082" s="1" t="s">
        <v>9205</v>
      </c>
      <c r="B2082" s="2" t="s">
        <v>5277</v>
      </c>
      <c r="C2082" s="2" t="s">
        <v>514</v>
      </c>
      <c r="D2082" s="2" t="s">
        <v>5479</v>
      </c>
      <c r="E2082" s="2" t="s">
        <v>513</v>
      </c>
      <c r="F2082" s="2" t="s">
        <v>520</v>
      </c>
      <c r="G2082" s="3" t="s">
        <v>3190</v>
      </c>
      <c r="H2082" s="5">
        <v>0</v>
      </c>
      <c r="I2082" s="6">
        <v>710000000</v>
      </c>
      <c r="J2082" s="4" t="s">
        <v>1931</v>
      </c>
      <c r="K2082" s="4" t="s">
        <v>9142</v>
      </c>
      <c r="L2082" s="3" t="s">
        <v>1165</v>
      </c>
      <c r="M2082" s="8" t="s">
        <v>3195</v>
      </c>
      <c r="N2082" s="3" t="s">
        <v>1890</v>
      </c>
      <c r="O2082" s="8" t="s">
        <v>1935</v>
      </c>
      <c r="P2082" s="8">
        <v>796</v>
      </c>
      <c r="Q2082" s="8" t="s">
        <v>3196</v>
      </c>
      <c r="R2082" s="69">
        <f>20+3</f>
        <v>23</v>
      </c>
      <c r="S2082" s="69">
        <v>637</v>
      </c>
      <c r="T2082" s="10">
        <v>0</v>
      </c>
      <c r="U2082" s="10">
        <f t="shared" ref="U2082" si="1081">T2082*1.12</f>
        <v>0</v>
      </c>
      <c r="V2082" s="7"/>
      <c r="W2082" s="1">
        <v>2015</v>
      </c>
      <c r="X2082" s="62" t="s">
        <v>6562</v>
      </c>
    </row>
    <row r="2083" spans="1:24" s="13" customFormat="1" ht="76.5" outlineLevel="1" x14ac:dyDescent="0.2">
      <c r="A2083" s="1" t="s">
        <v>9286</v>
      </c>
      <c r="B2083" s="2" t="s">
        <v>5277</v>
      </c>
      <c r="C2083" s="2" t="s">
        <v>514</v>
      </c>
      <c r="D2083" s="2" t="s">
        <v>5479</v>
      </c>
      <c r="E2083" s="2" t="s">
        <v>513</v>
      </c>
      <c r="F2083" s="2" t="s">
        <v>520</v>
      </c>
      <c r="G2083" s="3" t="s">
        <v>3190</v>
      </c>
      <c r="H2083" s="5">
        <v>0</v>
      </c>
      <c r="I2083" s="6">
        <v>710000000</v>
      </c>
      <c r="J2083" s="4" t="s">
        <v>1931</v>
      </c>
      <c r="K2083" s="4" t="s">
        <v>9142</v>
      </c>
      <c r="L2083" s="3" t="s">
        <v>1165</v>
      </c>
      <c r="M2083" s="8" t="s">
        <v>3195</v>
      </c>
      <c r="N2083" s="3" t="s">
        <v>1890</v>
      </c>
      <c r="O2083" s="8" t="s">
        <v>1935</v>
      </c>
      <c r="P2083" s="8">
        <v>796</v>
      </c>
      <c r="Q2083" s="8" t="s">
        <v>3196</v>
      </c>
      <c r="R2083" s="69">
        <f>20+3+10+6</f>
        <v>39</v>
      </c>
      <c r="S2083" s="69">
        <v>637</v>
      </c>
      <c r="T2083" s="10">
        <v>0</v>
      </c>
      <c r="U2083" s="10">
        <f t="shared" ref="U2083" si="1082">T2083*1.12</f>
        <v>0</v>
      </c>
      <c r="V2083" s="7"/>
      <c r="W2083" s="1">
        <v>2015</v>
      </c>
      <c r="X2083" s="62" t="s">
        <v>6562</v>
      </c>
    </row>
    <row r="2084" spans="1:24" s="13" customFormat="1" ht="76.5" outlineLevel="1" x14ac:dyDescent="0.2">
      <c r="A2084" s="1" t="s">
        <v>9527</v>
      </c>
      <c r="B2084" s="2" t="s">
        <v>5277</v>
      </c>
      <c r="C2084" s="2" t="s">
        <v>514</v>
      </c>
      <c r="D2084" s="2" t="s">
        <v>5479</v>
      </c>
      <c r="E2084" s="2" t="s">
        <v>513</v>
      </c>
      <c r="F2084" s="2" t="s">
        <v>520</v>
      </c>
      <c r="G2084" s="3" t="s">
        <v>3190</v>
      </c>
      <c r="H2084" s="5">
        <v>0</v>
      </c>
      <c r="I2084" s="6">
        <v>710000000</v>
      </c>
      <c r="J2084" s="4" t="s">
        <v>1931</v>
      </c>
      <c r="K2084" s="4" t="s">
        <v>9142</v>
      </c>
      <c r="L2084" s="3" t="s">
        <v>1165</v>
      </c>
      <c r="M2084" s="8" t="s">
        <v>3195</v>
      </c>
      <c r="N2084" s="3" t="s">
        <v>1890</v>
      </c>
      <c r="O2084" s="8" t="s">
        <v>1935</v>
      </c>
      <c r="P2084" s="8">
        <v>796</v>
      </c>
      <c r="Q2084" s="8" t="s">
        <v>3196</v>
      </c>
      <c r="R2084" s="69">
        <f>20+3+10+6+10</f>
        <v>49</v>
      </c>
      <c r="S2084" s="69">
        <v>637</v>
      </c>
      <c r="T2084" s="10">
        <f t="shared" ref="T2084" si="1083">S2084*R2084</f>
        <v>31213</v>
      </c>
      <c r="U2084" s="10">
        <f t="shared" ref="U2084" si="1084">T2084*1.12</f>
        <v>34958.560000000005</v>
      </c>
      <c r="V2084" s="7"/>
      <c r="W2084" s="1">
        <v>2015</v>
      </c>
      <c r="X2084" s="62"/>
    </row>
    <row r="2085" spans="1:24" s="13" customFormat="1" ht="76.5" customHeight="1" outlineLevel="1" x14ac:dyDescent="0.2">
      <c r="A2085" s="1" t="s">
        <v>3754</v>
      </c>
      <c r="B2085" s="38" t="s">
        <v>5277</v>
      </c>
      <c r="C2085" s="2" t="s">
        <v>514</v>
      </c>
      <c r="D2085" s="2" t="s">
        <v>5479</v>
      </c>
      <c r="E2085" s="2" t="s">
        <v>513</v>
      </c>
      <c r="F2085" s="39" t="s">
        <v>519</v>
      </c>
      <c r="G2085" s="50" t="s">
        <v>3190</v>
      </c>
      <c r="H2085" s="5">
        <v>0</v>
      </c>
      <c r="I2085" s="6">
        <v>710000000</v>
      </c>
      <c r="J2085" s="4" t="s">
        <v>1931</v>
      </c>
      <c r="K2085" s="4" t="s">
        <v>5297</v>
      </c>
      <c r="L2085" s="3" t="s">
        <v>1165</v>
      </c>
      <c r="M2085" s="8" t="s">
        <v>3195</v>
      </c>
      <c r="N2085" s="3" t="s">
        <v>1890</v>
      </c>
      <c r="O2085" s="8" t="s">
        <v>1935</v>
      </c>
      <c r="P2085" s="8">
        <v>796</v>
      </c>
      <c r="Q2085" s="8" t="s">
        <v>3196</v>
      </c>
      <c r="R2085" s="9">
        <f>30+5+1+16+3</f>
        <v>55</v>
      </c>
      <c r="S2085" s="9">
        <v>568</v>
      </c>
      <c r="T2085" s="10">
        <v>0</v>
      </c>
      <c r="U2085" s="10">
        <f t="shared" si="1002"/>
        <v>0</v>
      </c>
      <c r="V2085" s="7"/>
      <c r="W2085" s="11">
        <v>2015</v>
      </c>
      <c r="X2085" s="12" t="s">
        <v>6562</v>
      </c>
    </row>
    <row r="2086" spans="1:24" s="13" customFormat="1" ht="76.5" customHeight="1" outlineLevel="1" x14ac:dyDescent="0.2">
      <c r="A2086" s="1" t="s">
        <v>6651</v>
      </c>
      <c r="B2086" s="2" t="s">
        <v>5277</v>
      </c>
      <c r="C2086" s="2" t="s">
        <v>514</v>
      </c>
      <c r="D2086" s="2" t="s">
        <v>5479</v>
      </c>
      <c r="E2086" s="2" t="s">
        <v>513</v>
      </c>
      <c r="F2086" s="2" t="s">
        <v>519</v>
      </c>
      <c r="G2086" s="3" t="s">
        <v>3190</v>
      </c>
      <c r="H2086" s="5">
        <v>0</v>
      </c>
      <c r="I2086" s="6">
        <v>710000000</v>
      </c>
      <c r="J2086" s="4" t="s">
        <v>1931</v>
      </c>
      <c r="K2086" s="4" t="s">
        <v>5297</v>
      </c>
      <c r="L2086" s="3" t="s">
        <v>1165</v>
      </c>
      <c r="M2086" s="8" t="s">
        <v>3195</v>
      </c>
      <c r="N2086" s="3" t="s">
        <v>1890</v>
      </c>
      <c r="O2086" s="8" t="s">
        <v>1935</v>
      </c>
      <c r="P2086" s="8">
        <v>796</v>
      </c>
      <c r="Q2086" s="8" t="s">
        <v>3196</v>
      </c>
      <c r="R2086" s="69">
        <f>28+5+1+16+3</f>
        <v>53</v>
      </c>
      <c r="S2086" s="69">
        <v>568</v>
      </c>
      <c r="T2086" s="10">
        <v>0</v>
      </c>
      <c r="U2086" s="10">
        <f t="shared" si="1002"/>
        <v>0</v>
      </c>
      <c r="V2086" s="7"/>
      <c r="W2086" s="1">
        <v>2015</v>
      </c>
      <c r="X2086" s="62" t="s">
        <v>7518</v>
      </c>
    </row>
    <row r="2087" spans="1:24" s="13" customFormat="1" ht="76.5" customHeight="1" outlineLevel="1" x14ac:dyDescent="0.2">
      <c r="A2087" s="1" t="s">
        <v>7697</v>
      </c>
      <c r="B2087" s="2" t="s">
        <v>5277</v>
      </c>
      <c r="C2087" s="2" t="s">
        <v>514</v>
      </c>
      <c r="D2087" s="2" t="s">
        <v>5479</v>
      </c>
      <c r="E2087" s="2" t="s">
        <v>513</v>
      </c>
      <c r="F2087" s="2" t="s">
        <v>519</v>
      </c>
      <c r="G2087" s="3" t="s">
        <v>3190</v>
      </c>
      <c r="H2087" s="5">
        <v>0</v>
      </c>
      <c r="I2087" s="6">
        <v>710000000</v>
      </c>
      <c r="J2087" s="4" t="s">
        <v>1931</v>
      </c>
      <c r="K2087" s="4" t="s">
        <v>756</v>
      </c>
      <c r="L2087" s="3" t="s">
        <v>1165</v>
      </c>
      <c r="M2087" s="8" t="s">
        <v>3195</v>
      </c>
      <c r="N2087" s="3" t="s">
        <v>1890</v>
      </c>
      <c r="O2087" s="8" t="s">
        <v>1935</v>
      </c>
      <c r="P2087" s="8">
        <v>796</v>
      </c>
      <c r="Q2087" s="8" t="s">
        <v>3196</v>
      </c>
      <c r="R2087" s="69">
        <f>20+5+10+1</f>
        <v>36</v>
      </c>
      <c r="S2087" s="69">
        <v>568</v>
      </c>
      <c r="T2087" s="10">
        <f t="shared" ref="T2087" si="1085">S2087*R2087</f>
        <v>20448</v>
      </c>
      <c r="U2087" s="10">
        <f t="shared" ref="U2087" si="1086">T2087*1.12</f>
        <v>22901.760000000002</v>
      </c>
      <c r="V2087" s="7"/>
      <c r="W2087" s="1">
        <v>2015</v>
      </c>
      <c r="X2087" s="62"/>
    </row>
    <row r="2088" spans="1:24" s="13" customFormat="1" ht="76.5" customHeight="1" outlineLevel="1" x14ac:dyDescent="0.2">
      <c r="A2088" s="1" t="s">
        <v>3755</v>
      </c>
      <c r="B2088" s="38" t="s">
        <v>5277</v>
      </c>
      <c r="C2088" s="2" t="s">
        <v>1822</v>
      </c>
      <c r="D2088" s="2" t="s">
        <v>5529</v>
      </c>
      <c r="E2088" s="2" t="s">
        <v>5530</v>
      </c>
      <c r="F2088" s="39"/>
      <c r="G2088" s="50" t="s">
        <v>3190</v>
      </c>
      <c r="H2088" s="5">
        <v>0</v>
      </c>
      <c r="I2088" s="6">
        <v>710000000</v>
      </c>
      <c r="J2088" s="4" t="s">
        <v>1931</v>
      </c>
      <c r="K2088" s="4" t="s">
        <v>5297</v>
      </c>
      <c r="L2088" s="3" t="s">
        <v>1165</v>
      </c>
      <c r="M2088" s="8" t="s">
        <v>3195</v>
      </c>
      <c r="N2088" s="3" t="s">
        <v>1890</v>
      </c>
      <c r="O2088" s="8" t="s">
        <v>1935</v>
      </c>
      <c r="P2088" s="8">
        <v>796</v>
      </c>
      <c r="Q2088" s="8" t="s">
        <v>3196</v>
      </c>
      <c r="R2088" s="9">
        <v>20</v>
      </c>
      <c r="S2088" s="9">
        <v>239.29</v>
      </c>
      <c r="T2088" s="10">
        <v>0</v>
      </c>
      <c r="U2088" s="10">
        <f t="shared" si="1002"/>
        <v>0</v>
      </c>
      <c r="V2088" s="7"/>
      <c r="W2088" s="11">
        <v>2015</v>
      </c>
      <c r="X2088" s="12">
        <v>11</v>
      </c>
    </row>
    <row r="2089" spans="1:24" s="13" customFormat="1" ht="76.5" customHeight="1" outlineLevel="1" x14ac:dyDescent="0.2">
      <c r="A2089" s="1" t="s">
        <v>9632</v>
      </c>
      <c r="B2089" s="38" t="s">
        <v>5277</v>
      </c>
      <c r="C2089" s="2" t="s">
        <v>1822</v>
      </c>
      <c r="D2089" s="2" t="s">
        <v>5529</v>
      </c>
      <c r="E2089" s="2" t="s">
        <v>5530</v>
      </c>
      <c r="F2089" s="39"/>
      <c r="G2089" s="50" t="s">
        <v>3190</v>
      </c>
      <c r="H2089" s="5">
        <v>0</v>
      </c>
      <c r="I2089" s="6">
        <v>710000000</v>
      </c>
      <c r="J2089" s="4" t="s">
        <v>1931</v>
      </c>
      <c r="K2089" s="4" t="s">
        <v>9408</v>
      </c>
      <c r="L2089" s="3" t="s">
        <v>1165</v>
      </c>
      <c r="M2089" s="8" t="s">
        <v>3195</v>
      </c>
      <c r="N2089" s="3" t="s">
        <v>1890</v>
      </c>
      <c r="O2089" s="8" t="s">
        <v>1935</v>
      </c>
      <c r="P2089" s="8">
        <v>796</v>
      </c>
      <c r="Q2089" s="8" t="s">
        <v>3196</v>
      </c>
      <c r="R2089" s="9">
        <v>20</v>
      </c>
      <c r="S2089" s="9">
        <v>239.29</v>
      </c>
      <c r="T2089" s="10">
        <f t="shared" ref="T2089" si="1087">S2089*R2089</f>
        <v>4785.8</v>
      </c>
      <c r="U2089" s="10">
        <f t="shared" ref="U2089" si="1088">T2089*1.12</f>
        <v>5360.0960000000005</v>
      </c>
      <c r="V2089" s="7"/>
      <c r="W2089" s="11">
        <v>2015</v>
      </c>
      <c r="X2089" s="12"/>
    </row>
    <row r="2090" spans="1:24" s="13" customFormat="1" ht="76.5" customHeight="1" outlineLevel="1" x14ac:dyDescent="0.2">
      <c r="A2090" s="1" t="s">
        <v>3756</v>
      </c>
      <c r="B2090" s="38" t="s">
        <v>5277</v>
      </c>
      <c r="C2090" s="2" t="s">
        <v>1829</v>
      </c>
      <c r="D2090" s="2" t="s">
        <v>5526</v>
      </c>
      <c r="E2090" s="6" t="s">
        <v>5527</v>
      </c>
      <c r="F2090" s="52" t="s">
        <v>5528</v>
      </c>
      <c r="G2090" s="50" t="s">
        <v>3190</v>
      </c>
      <c r="H2090" s="5">
        <v>0</v>
      </c>
      <c r="I2090" s="6">
        <v>710000000</v>
      </c>
      <c r="J2090" s="4" t="s">
        <v>1931</v>
      </c>
      <c r="K2090" s="4" t="s">
        <v>5297</v>
      </c>
      <c r="L2090" s="3" t="s">
        <v>1165</v>
      </c>
      <c r="M2090" s="8" t="s">
        <v>3195</v>
      </c>
      <c r="N2090" s="3" t="s">
        <v>1890</v>
      </c>
      <c r="O2090" s="8" t="s">
        <v>1935</v>
      </c>
      <c r="P2090" s="8">
        <v>796</v>
      </c>
      <c r="Q2090" s="8" t="s">
        <v>3196</v>
      </c>
      <c r="R2090" s="9">
        <v>20</v>
      </c>
      <c r="S2090" s="9">
        <v>487</v>
      </c>
      <c r="T2090" s="10">
        <v>0</v>
      </c>
      <c r="U2090" s="10">
        <f t="shared" si="1002"/>
        <v>0</v>
      </c>
      <c r="V2090" s="7"/>
      <c r="W2090" s="11">
        <v>2015</v>
      </c>
      <c r="X2090" s="12">
        <v>11</v>
      </c>
    </row>
    <row r="2091" spans="1:24" s="13" customFormat="1" ht="76.5" customHeight="1" outlineLevel="1" x14ac:dyDescent="0.2">
      <c r="A2091" s="1" t="s">
        <v>9640</v>
      </c>
      <c r="B2091" s="38" t="s">
        <v>5277</v>
      </c>
      <c r="C2091" s="2" t="s">
        <v>1829</v>
      </c>
      <c r="D2091" s="2" t="s">
        <v>5526</v>
      </c>
      <c r="E2091" s="6" t="s">
        <v>5527</v>
      </c>
      <c r="F2091" s="52" t="s">
        <v>5528</v>
      </c>
      <c r="G2091" s="50" t="s">
        <v>3190</v>
      </c>
      <c r="H2091" s="5">
        <v>0</v>
      </c>
      <c r="I2091" s="6">
        <v>710000000</v>
      </c>
      <c r="J2091" s="4" t="s">
        <v>1931</v>
      </c>
      <c r="K2091" s="4" t="s">
        <v>9408</v>
      </c>
      <c r="L2091" s="3" t="s">
        <v>1165</v>
      </c>
      <c r="M2091" s="8" t="s">
        <v>3195</v>
      </c>
      <c r="N2091" s="3" t="s">
        <v>1890</v>
      </c>
      <c r="O2091" s="8" t="s">
        <v>1935</v>
      </c>
      <c r="P2091" s="8">
        <v>796</v>
      </c>
      <c r="Q2091" s="8" t="s">
        <v>3196</v>
      </c>
      <c r="R2091" s="9">
        <v>20</v>
      </c>
      <c r="S2091" s="9">
        <v>487</v>
      </c>
      <c r="T2091" s="10">
        <f t="shared" ref="T2091" si="1089">S2091*R2091</f>
        <v>9740</v>
      </c>
      <c r="U2091" s="10">
        <f t="shared" ref="U2091" si="1090">T2091*1.12</f>
        <v>10908.800000000001</v>
      </c>
      <c r="V2091" s="7"/>
      <c r="W2091" s="11">
        <v>2015</v>
      </c>
      <c r="X2091" s="12"/>
    </row>
    <row r="2092" spans="1:24" s="13" customFormat="1" ht="76.5" customHeight="1" outlineLevel="1" x14ac:dyDescent="0.2">
      <c r="A2092" s="1" t="s">
        <v>3757</v>
      </c>
      <c r="B2092" s="38" t="s">
        <v>5277</v>
      </c>
      <c r="C2092" s="2" t="s">
        <v>511</v>
      </c>
      <c r="D2092" s="2" t="s">
        <v>510</v>
      </c>
      <c r="E2092" s="2" t="s">
        <v>509</v>
      </c>
      <c r="F2092" s="39" t="s">
        <v>5535</v>
      </c>
      <c r="G2092" s="50" t="s">
        <v>3190</v>
      </c>
      <c r="H2092" s="5">
        <v>0</v>
      </c>
      <c r="I2092" s="6">
        <v>710000000</v>
      </c>
      <c r="J2092" s="4" t="s">
        <v>1931</v>
      </c>
      <c r="K2092" s="4" t="s">
        <v>5297</v>
      </c>
      <c r="L2092" s="3" t="s">
        <v>1165</v>
      </c>
      <c r="M2092" s="8" t="s">
        <v>3195</v>
      </c>
      <c r="N2092" s="3" t="s">
        <v>1890</v>
      </c>
      <c r="O2092" s="8" t="s">
        <v>1935</v>
      </c>
      <c r="P2092" s="8">
        <v>796</v>
      </c>
      <c r="Q2092" s="8" t="s">
        <v>3196</v>
      </c>
      <c r="R2092" s="9">
        <f>2+2</f>
        <v>4</v>
      </c>
      <c r="S2092" s="9">
        <v>1851.79</v>
      </c>
      <c r="T2092" s="10">
        <v>0</v>
      </c>
      <c r="U2092" s="10">
        <f t="shared" si="1002"/>
        <v>0</v>
      </c>
      <c r="V2092" s="7"/>
      <c r="W2092" s="11">
        <v>2015</v>
      </c>
      <c r="X2092" s="12">
        <v>11</v>
      </c>
    </row>
    <row r="2093" spans="1:24" s="13" customFormat="1" ht="76.5" customHeight="1" outlineLevel="1" x14ac:dyDescent="0.2">
      <c r="A2093" s="1" t="s">
        <v>9641</v>
      </c>
      <c r="B2093" s="38" t="s">
        <v>5277</v>
      </c>
      <c r="C2093" s="2" t="s">
        <v>511</v>
      </c>
      <c r="D2093" s="2" t="s">
        <v>510</v>
      </c>
      <c r="E2093" s="2" t="s">
        <v>509</v>
      </c>
      <c r="F2093" s="39" t="s">
        <v>5535</v>
      </c>
      <c r="G2093" s="50" t="s">
        <v>3190</v>
      </c>
      <c r="H2093" s="5">
        <v>0</v>
      </c>
      <c r="I2093" s="6">
        <v>710000000</v>
      </c>
      <c r="J2093" s="4" t="s">
        <v>1931</v>
      </c>
      <c r="K2093" s="4" t="s">
        <v>9408</v>
      </c>
      <c r="L2093" s="3" t="s">
        <v>1165</v>
      </c>
      <c r="M2093" s="8" t="s">
        <v>3195</v>
      </c>
      <c r="N2093" s="3" t="s">
        <v>1890</v>
      </c>
      <c r="O2093" s="8" t="s">
        <v>1935</v>
      </c>
      <c r="P2093" s="8">
        <v>796</v>
      </c>
      <c r="Q2093" s="8" t="s">
        <v>3196</v>
      </c>
      <c r="R2093" s="9">
        <f>2+2</f>
        <v>4</v>
      </c>
      <c r="S2093" s="9">
        <v>1851.79</v>
      </c>
      <c r="T2093" s="10">
        <f t="shared" ref="T2093" si="1091">S2093*R2093</f>
        <v>7407.16</v>
      </c>
      <c r="U2093" s="10">
        <f t="shared" ref="U2093" si="1092">T2093*1.12</f>
        <v>8296.0192000000006</v>
      </c>
      <c r="V2093" s="7"/>
      <c r="W2093" s="11">
        <v>2015</v>
      </c>
      <c r="X2093" s="12"/>
    </row>
    <row r="2094" spans="1:24" s="13" customFormat="1" ht="76.5" customHeight="1" outlineLevel="1" x14ac:dyDescent="0.2">
      <c r="A2094" s="1" t="s">
        <v>3758</v>
      </c>
      <c r="B2094" s="38" t="s">
        <v>5277</v>
      </c>
      <c r="C2094" s="2" t="s">
        <v>3791</v>
      </c>
      <c r="D2094" s="2" t="s">
        <v>9492</v>
      </c>
      <c r="E2094" s="6" t="s">
        <v>9493</v>
      </c>
      <c r="F2094" s="39"/>
      <c r="G2094" s="50" t="s">
        <v>3190</v>
      </c>
      <c r="H2094" s="5">
        <v>0</v>
      </c>
      <c r="I2094" s="6">
        <v>710000000</v>
      </c>
      <c r="J2094" s="4" t="s">
        <v>1931</v>
      </c>
      <c r="K2094" s="4" t="s">
        <v>5297</v>
      </c>
      <c r="L2094" s="3" t="s">
        <v>1165</v>
      </c>
      <c r="M2094" s="8" t="s">
        <v>3195</v>
      </c>
      <c r="N2094" s="3" t="s">
        <v>1890</v>
      </c>
      <c r="O2094" s="8" t="s">
        <v>1935</v>
      </c>
      <c r="P2094" s="8">
        <v>796</v>
      </c>
      <c r="Q2094" s="8" t="s">
        <v>3196</v>
      </c>
      <c r="R2094" s="9">
        <f>3+10+2+2</f>
        <v>17</v>
      </c>
      <c r="S2094" s="9">
        <v>855.36</v>
      </c>
      <c r="T2094" s="10">
        <v>0</v>
      </c>
      <c r="U2094" s="10">
        <f t="shared" si="1002"/>
        <v>0</v>
      </c>
      <c r="V2094" s="7"/>
      <c r="W2094" s="11">
        <v>2015</v>
      </c>
      <c r="X2094" s="12">
        <v>11</v>
      </c>
    </row>
    <row r="2095" spans="1:24" s="13" customFormat="1" ht="76.5" customHeight="1" outlineLevel="1" x14ac:dyDescent="0.2">
      <c r="A2095" s="1" t="s">
        <v>9642</v>
      </c>
      <c r="B2095" s="38" t="s">
        <v>5277</v>
      </c>
      <c r="C2095" s="2" t="s">
        <v>3791</v>
      </c>
      <c r="D2095" s="2" t="s">
        <v>9492</v>
      </c>
      <c r="E2095" s="6" t="s">
        <v>9493</v>
      </c>
      <c r="F2095" s="39"/>
      <c r="G2095" s="50" t="s">
        <v>3190</v>
      </c>
      <c r="H2095" s="5">
        <v>0</v>
      </c>
      <c r="I2095" s="6">
        <v>710000000</v>
      </c>
      <c r="J2095" s="4" t="s">
        <v>1931</v>
      </c>
      <c r="K2095" s="4" t="s">
        <v>9408</v>
      </c>
      <c r="L2095" s="3" t="s">
        <v>1165</v>
      </c>
      <c r="M2095" s="8" t="s">
        <v>3195</v>
      </c>
      <c r="N2095" s="3" t="s">
        <v>1890</v>
      </c>
      <c r="O2095" s="8" t="s">
        <v>1935</v>
      </c>
      <c r="P2095" s="8">
        <v>796</v>
      </c>
      <c r="Q2095" s="8" t="s">
        <v>3196</v>
      </c>
      <c r="R2095" s="9">
        <f>3+10+2+2</f>
        <v>17</v>
      </c>
      <c r="S2095" s="9">
        <v>855.36</v>
      </c>
      <c r="T2095" s="10">
        <f t="shared" ref="T2095" si="1093">S2095*R2095</f>
        <v>14541.12</v>
      </c>
      <c r="U2095" s="10">
        <f t="shared" ref="U2095" si="1094">T2095*1.12</f>
        <v>16286.054400000003</v>
      </c>
      <c r="V2095" s="7"/>
      <c r="W2095" s="11">
        <v>2015</v>
      </c>
      <c r="X2095" s="12"/>
    </row>
    <row r="2096" spans="1:24" s="13" customFormat="1" ht="76.5" customHeight="1" outlineLevel="1" x14ac:dyDescent="0.2">
      <c r="A2096" s="1" t="s">
        <v>3759</v>
      </c>
      <c r="B2096" s="38" t="s">
        <v>5277</v>
      </c>
      <c r="C2096" s="6" t="s">
        <v>6475</v>
      </c>
      <c r="D2096" s="6" t="s">
        <v>517</v>
      </c>
      <c r="E2096" s="6" t="s">
        <v>6476</v>
      </c>
      <c r="F2096" s="6" t="s">
        <v>515</v>
      </c>
      <c r="G2096" s="50" t="s">
        <v>3190</v>
      </c>
      <c r="H2096" s="5">
        <v>0</v>
      </c>
      <c r="I2096" s="6">
        <v>710000000</v>
      </c>
      <c r="J2096" s="4" t="s">
        <v>1931</v>
      </c>
      <c r="K2096" s="4" t="s">
        <v>5297</v>
      </c>
      <c r="L2096" s="3" t="s">
        <v>1165</v>
      </c>
      <c r="M2096" s="8" t="s">
        <v>3195</v>
      </c>
      <c r="N2096" s="3" t="s">
        <v>1890</v>
      </c>
      <c r="O2096" s="8" t="s">
        <v>1935</v>
      </c>
      <c r="P2096" s="8">
        <v>796</v>
      </c>
      <c r="Q2096" s="8" t="s">
        <v>3196</v>
      </c>
      <c r="R2096" s="9">
        <f>3+3+2</f>
        <v>8</v>
      </c>
      <c r="S2096" s="9">
        <v>1503</v>
      </c>
      <c r="T2096" s="10">
        <v>0</v>
      </c>
      <c r="U2096" s="10">
        <f t="shared" si="1002"/>
        <v>0</v>
      </c>
      <c r="V2096" s="7"/>
      <c r="W2096" s="11">
        <v>2015</v>
      </c>
      <c r="X2096" s="12">
        <v>11</v>
      </c>
    </row>
    <row r="2097" spans="1:24" s="13" customFormat="1" ht="76.5" customHeight="1" outlineLevel="1" x14ac:dyDescent="0.2">
      <c r="A2097" s="1" t="s">
        <v>9643</v>
      </c>
      <c r="B2097" s="38" t="s">
        <v>5277</v>
      </c>
      <c r="C2097" s="6" t="s">
        <v>6475</v>
      </c>
      <c r="D2097" s="6" t="s">
        <v>517</v>
      </c>
      <c r="E2097" s="6" t="s">
        <v>6476</v>
      </c>
      <c r="F2097" s="6" t="s">
        <v>515</v>
      </c>
      <c r="G2097" s="50" t="s">
        <v>3190</v>
      </c>
      <c r="H2097" s="5">
        <v>0</v>
      </c>
      <c r="I2097" s="6">
        <v>710000000</v>
      </c>
      <c r="J2097" s="4" t="s">
        <v>1931</v>
      </c>
      <c r="K2097" s="4" t="s">
        <v>9408</v>
      </c>
      <c r="L2097" s="3" t="s">
        <v>1165</v>
      </c>
      <c r="M2097" s="8" t="s">
        <v>3195</v>
      </c>
      <c r="N2097" s="3" t="s">
        <v>1890</v>
      </c>
      <c r="O2097" s="8" t="s">
        <v>1935</v>
      </c>
      <c r="P2097" s="8">
        <v>796</v>
      </c>
      <c r="Q2097" s="8" t="s">
        <v>3196</v>
      </c>
      <c r="R2097" s="9">
        <f>3+3+2</f>
        <v>8</v>
      </c>
      <c r="S2097" s="9">
        <v>1503</v>
      </c>
      <c r="T2097" s="10">
        <f t="shared" ref="T2097" si="1095">S2097*R2097</f>
        <v>12024</v>
      </c>
      <c r="U2097" s="10">
        <f t="shared" ref="U2097" si="1096">T2097*1.12</f>
        <v>13466.880000000001</v>
      </c>
      <c r="V2097" s="7"/>
      <c r="W2097" s="11">
        <v>2015</v>
      </c>
      <c r="X2097" s="12"/>
    </row>
    <row r="2098" spans="1:24" s="13" customFormat="1" ht="76.5" customHeight="1" outlineLevel="1" x14ac:dyDescent="0.2">
      <c r="A2098" s="1" t="s">
        <v>6424</v>
      </c>
      <c r="B2098" s="38" t="s">
        <v>5277</v>
      </c>
      <c r="C2098" s="2" t="s">
        <v>518</v>
      </c>
      <c r="D2098" s="2" t="s">
        <v>517</v>
      </c>
      <c r="E2098" s="2" t="s">
        <v>516</v>
      </c>
      <c r="F2098" s="39" t="s">
        <v>515</v>
      </c>
      <c r="G2098" s="50" t="s">
        <v>3190</v>
      </c>
      <c r="H2098" s="5">
        <v>0</v>
      </c>
      <c r="I2098" s="6">
        <v>710000000</v>
      </c>
      <c r="J2098" s="4" t="s">
        <v>1931</v>
      </c>
      <c r="K2098" s="4" t="s">
        <v>5297</v>
      </c>
      <c r="L2098" s="3" t="s">
        <v>1165</v>
      </c>
      <c r="M2098" s="8" t="s">
        <v>3195</v>
      </c>
      <c r="N2098" s="3" t="s">
        <v>1890</v>
      </c>
      <c r="O2098" s="8" t="s">
        <v>1935</v>
      </c>
      <c r="P2098" s="8">
        <v>796</v>
      </c>
      <c r="Q2098" s="8" t="s">
        <v>3196</v>
      </c>
      <c r="R2098" s="9">
        <f>3+2+2</f>
        <v>7</v>
      </c>
      <c r="S2098" s="9">
        <v>2388</v>
      </c>
      <c r="T2098" s="10">
        <v>0</v>
      </c>
      <c r="U2098" s="10">
        <f t="shared" si="1002"/>
        <v>0</v>
      </c>
      <c r="V2098" s="7"/>
      <c r="W2098" s="11">
        <v>2015</v>
      </c>
      <c r="X2098" s="12">
        <v>11</v>
      </c>
    </row>
    <row r="2099" spans="1:24" s="13" customFormat="1" ht="76.5" customHeight="1" outlineLevel="1" x14ac:dyDescent="0.2">
      <c r="A2099" s="1" t="s">
        <v>9644</v>
      </c>
      <c r="B2099" s="38" t="s">
        <v>5277</v>
      </c>
      <c r="C2099" s="2" t="s">
        <v>518</v>
      </c>
      <c r="D2099" s="2" t="s">
        <v>517</v>
      </c>
      <c r="E2099" s="2" t="s">
        <v>516</v>
      </c>
      <c r="F2099" s="39" t="s">
        <v>515</v>
      </c>
      <c r="G2099" s="50" t="s">
        <v>3190</v>
      </c>
      <c r="H2099" s="5">
        <v>0</v>
      </c>
      <c r="I2099" s="6">
        <v>710000000</v>
      </c>
      <c r="J2099" s="4" t="s">
        <v>1931</v>
      </c>
      <c r="K2099" s="4" t="s">
        <v>9408</v>
      </c>
      <c r="L2099" s="3" t="s">
        <v>1165</v>
      </c>
      <c r="M2099" s="8" t="s">
        <v>3195</v>
      </c>
      <c r="N2099" s="3" t="s">
        <v>1890</v>
      </c>
      <c r="O2099" s="8" t="s">
        <v>1935</v>
      </c>
      <c r="P2099" s="8">
        <v>796</v>
      </c>
      <c r="Q2099" s="8" t="s">
        <v>3196</v>
      </c>
      <c r="R2099" s="9">
        <f>3+2+2</f>
        <v>7</v>
      </c>
      <c r="S2099" s="9">
        <v>2388</v>
      </c>
      <c r="T2099" s="10">
        <f t="shared" ref="T2099" si="1097">S2099*R2099</f>
        <v>16716</v>
      </c>
      <c r="U2099" s="10">
        <f t="shared" ref="U2099" si="1098">T2099*1.12</f>
        <v>18721.920000000002</v>
      </c>
      <c r="V2099" s="7"/>
      <c r="W2099" s="11">
        <v>2015</v>
      </c>
      <c r="X2099" s="12"/>
    </row>
    <row r="2100" spans="1:24" s="13" customFormat="1" ht="76.5" customHeight="1" outlineLevel="1" x14ac:dyDescent="0.2">
      <c r="A2100" s="1" t="s">
        <v>3760</v>
      </c>
      <c r="B2100" s="38" t="s">
        <v>5277</v>
      </c>
      <c r="C2100" s="2" t="s">
        <v>3788</v>
      </c>
      <c r="D2100" s="2" t="s">
        <v>5531</v>
      </c>
      <c r="E2100" s="6" t="s">
        <v>5532</v>
      </c>
      <c r="F2100" s="39"/>
      <c r="G2100" s="50" t="s">
        <v>3190</v>
      </c>
      <c r="H2100" s="5">
        <v>0</v>
      </c>
      <c r="I2100" s="6">
        <v>710000000</v>
      </c>
      <c r="J2100" s="4" t="s">
        <v>1931</v>
      </c>
      <c r="K2100" s="4" t="s">
        <v>5297</v>
      </c>
      <c r="L2100" s="3" t="s">
        <v>1165</v>
      </c>
      <c r="M2100" s="8" t="s">
        <v>3195</v>
      </c>
      <c r="N2100" s="3" t="s">
        <v>1890</v>
      </c>
      <c r="O2100" s="8" t="s">
        <v>1935</v>
      </c>
      <c r="P2100" s="8">
        <v>796</v>
      </c>
      <c r="Q2100" s="8" t="s">
        <v>3196</v>
      </c>
      <c r="R2100" s="9">
        <f>5+5+4</f>
        <v>14</v>
      </c>
      <c r="S2100" s="9">
        <v>577</v>
      </c>
      <c r="T2100" s="10">
        <v>0</v>
      </c>
      <c r="U2100" s="10">
        <f t="shared" si="1002"/>
        <v>0</v>
      </c>
      <c r="V2100" s="7"/>
      <c r="W2100" s="11">
        <v>2015</v>
      </c>
      <c r="X2100" s="12">
        <v>11</v>
      </c>
    </row>
    <row r="2101" spans="1:24" s="13" customFormat="1" ht="76.5" customHeight="1" outlineLevel="1" x14ac:dyDescent="0.2">
      <c r="A2101" s="1" t="s">
        <v>9645</v>
      </c>
      <c r="B2101" s="38" t="s">
        <v>5277</v>
      </c>
      <c r="C2101" s="2" t="s">
        <v>3788</v>
      </c>
      <c r="D2101" s="2" t="s">
        <v>5531</v>
      </c>
      <c r="E2101" s="6" t="s">
        <v>5532</v>
      </c>
      <c r="F2101" s="39"/>
      <c r="G2101" s="50" t="s">
        <v>3190</v>
      </c>
      <c r="H2101" s="5">
        <v>0</v>
      </c>
      <c r="I2101" s="6">
        <v>710000000</v>
      </c>
      <c r="J2101" s="4" t="s">
        <v>1931</v>
      </c>
      <c r="K2101" s="4" t="s">
        <v>9408</v>
      </c>
      <c r="L2101" s="3" t="s">
        <v>1165</v>
      </c>
      <c r="M2101" s="8" t="s">
        <v>3195</v>
      </c>
      <c r="N2101" s="3" t="s">
        <v>1890</v>
      </c>
      <c r="O2101" s="8" t="s">
        <v>1935</v>
      </c>
      <c r="P2101" s="8">
        <v>796</v>
      </c>
      <c r="Q2101" s="8" t="s">
        <v>3196</v>
      </c>
      <c r="R2101" s="9">
        <f>5+5+4</f>
        <v>14</v>
      </c>
      <c r="S2101" s="9">
        <v>577</v>
      </c>
      <c r="T2101" s="10">
        <f t="shared" ref="T2101" si="1099">S2101*R2101</f>
        <v>8078</v>
      </c>
      <c r="U2101" s="10">
        <f t="shared" ref="U2101" si="1100">T2101*1.12</f>
        <v>9047.36</v>
      </c>
      <c r="V2101" s="7"/>
      <c r="W2101" s="11">
        <v>2015</v>
      </c>
      <c r="X2101" s="12"/>
    </row>
    <row r="2102" spans="1:24" s="13" customFormat="1" ht="76.5" customHeight="1" outlineLevel="1" x14ac:dyDescent="0.2">
      <c r="A2102" s="1" t="s">
        <v>3761</v>
      </c>
      <c r="B2102" s="38" t="s">
        <v>5277</v>
      </c>
      <c r="C2102" s="2" t="s">
        <v>3790</v>
      </c>
      <c r="D2102" s="2" t="s">
        <v>5531</v>
      </c>
      <c r="E2102" s="6" t="s">
        <v>5534</v>
      </c>
      <c r="F2102" s="39"/>
      <c r="G2102" s="50" t="s">
        <v>3190</v>
      </c>
      <c r="H2102" s="5">
        <v>0</v>
      </c>
      <c r="I2102" s="6">
        <v>710000000</v>
      </c>
      <c r="J2102" s="4" t="s">
        <v>1931</v>
      </c>
      <c r="K2102" s="4" t="s">
        <v>5297</v>
      </c>
      <c r="L2102" s="3" t="s">
        <v>1165</v>
      </c>
      <c r="M2102" s="8" t="s">
        <v>3195</v>
      </c>
      <c r="N2102" s="3" t="s">
        <v>1890</v>
      </c>
      <c r="O2102" s="8" t="s">
        <v>1935</v>
      </c>
      <c r="P2102" s="8">
        <v>796</v>
      </c>
      <c r="Q2102" s="8" t="s">
        <v>3196</v>
      </c>
      <c r="R2102" s="9">
        <f>7+5+4+3+1+2+33</f>
        <v>55</v>
      </c>
      <c r="S2102" s="9">
        <v>977</v>
      </c>
      <c r="T2102" s="10">
        <v>0</v>
      </c>
      <c r="U2102" s="10">
        <f t="shared" si="1002"/>
        <v>0</v>
      </c>
      <c r="V2102" s="7"/>
      <c r="W2102" s="11">
        <v>2015</v>
      </c>
      <c r="X2102" s="12">
        <v>11</v>
      </c>
    </row>
    <row r="2103" spans="1:24" s="13" customFormat="1" ht="76.5" customHeight="1" outlineLevel="1" x14ac:dyDescent="0.2">
      <c r="A2103" s="1" t="s">
        <v>9646</v>
      </c>
      <c r="B2103" s="38" t="s">
        <v>5277</v>
      </c>
      <c r="C2103" s="2" t="s">
        <v>3790</v>
      </c>
      <c r="D2103" s="2" t="s">
        <v>5531</v>
      </c>
      <c r="E2103" s="6" t="s">
        <v>5534</v>
      </c>
      <c r="F2103" s="39"/>
      <c r="G2103" s="50" t="s">
        <v>3190</v>
      </c>
      <c r="H2103" s="5">
        <v>0</v>
      </c>
      <c r="I2103" s="6">
        <v>710000000</v>
      </c>
      <c r="J2103" s="4" t="s">
        <v>1931</v>
      </c>
      <c r="K2103" s="4" t="s">
        <v>9408</v>
      </c>
      <c r="L2103" s="3" t="s">
        <v>1165</v>
      </c>
      <c r="M2103" s="8" t="s">
        <v>3195</v>
      </c>
      <c r="N2103" s="3" t="s">
        <v>1890</v>
      </c>
      <c r="O2103" s="8" t="s">
        <v>1935</v>
      </c>
      <c r="P2103" s="8">
        <v>796</v>
      </c>
      <c r="Q2103" s="8" t="s">
        <v>3196</v>
      </c>
      <c r="R2103" s="9">
        <f>7+5+4+3+1+2+33</f>
        <v>55</v>
      </c>
      <c r="S2103" s="9">
        <v>977</v>
      </c>
      <c r="T2103" s="10">
        <f t="shared" ref="T2103" si="1101">S2103*R2103</f>
        <v>53735</v>
      </c>
      <c r="U2103" s="10">
        <f t="shared" ref="U2103" si="1102">T2103*1.12</f>
        <v>60183.200000000004</v>
      </c>
      <c r="V2103" s="7"/>
      <c r="W2103" s="11">
        <v>2015</v>
      </c>
      <c r="X2103" s="12"/>
    </row>
    <row r="2104" spans="1:24" s="13" customFormat="1" ht="76.5" customHeight="1" outlineLevel="1" x14ac:dyDescent="0.2">
      <c r="A2104" s="1" t="s">
        <v>3762</v>
      </c>
      <c r="B2104" s="38" t="s">
        <v>5277</v>
      </c>
      <c r="C2104" s="2" t="s">
        <v>3789</v>
      </c>
      <c r="D2104" s="2" t="s">
        <v>5531</v>
      </c>
      <c r="E2104" s="6" t="s">
        <v>5533</v>
      </c>
      <c r="F2104" s="39"/>
      <c r="G2104" s="50" t="s">
        <v>3190</v>
      </c>
      <c r="H2104" s="5">
        <v>0</v>
      </c>
      <c r="I2104" s="6">
        <v>710000000</v>
      </c>
      <c r="J2104" s="4" t="s">
        <v>1931</v>
      </c>
      <c r="K2104" s="4" t="s">
        <v>5297</v>
      </c>
      <c r="L2104" s="3" t="s">
        <v>1165</v>
      </c>
      <c r="M2104" s="8" t="s">
        <v>3195</v>
      </c>
      <c r="N2104" s="3" t="s">
        <v>1890</v>
      </c>
      <c r="O2104" s="8" t="s">
        <v>1935</v>
      </c>
      <c r="P2104" s="8">
        <v>796</v>
      </c>
      <c r="Q2104" s="8" t="s">
        <v>3196</v>
      </c>
      <c r="R2104" s="9">
        <f>30+10+7+4+33+4</f>
        <v>88</v>
      </c>
      <c r="S2104" s="9">
        <v>1593.75</v>
      </c>
      <c r="T2104" s="10">
        <v>0</v>
      </c>
      <c r="U2104" s="10">
        <f t="shared" si="1002"/>
        <v>0</v>
      </c>
      <c r="V2104" s="7"/>
      <c r="W2104" s="11">
        <v>2015</v>
      </c>
      <c r="X2104" s="12">
        <v>11</v>
      </c>
    </row>
    <row r="2105" spans="1:24" s="13" customFormat="1" ht="76.5" customHeight="1" outlineLevel="1" x14ac:dyDescent="0.2">
      <c r="A2105" s="1" t="s">
        <v>9647</v>
      </c>
      <c r="B2105" s="38" t="s">
        <v>5277</v>
      </c>
      <c r="C2105" s="2" t="s">
        <v>3789</v>
      </c>
      <c r="D2105" s="2" t="s">
        <v>5531</v>
      </c>
      <c r="E2105" s="6" t="s">
        <v>5533</v>
      </c>
      <c r="F2105" s="39"/>
      <c r="G2105" s="50" t="s">
        <v>3190</v>
      </c>
      <c r="H2105" s="5">
        <v>0</v>
      </c>
      <c r="I2105" s="6">
        <v>710000000</v>
      </c>
      <c r="J2105" s="4" t="s">
        <v>1931</v>
      </c>
      <c r="K2105" s="4" t="s">
        <v>9408</v>
      </c>
      <c r="L2105" s="3" t="s">
        <v>1165</v>
      </c>
      <c r="M2105" s="8" t="s">
        <v>3195</v>
      </c>
      <c r="N2105" s="3" t="s">
        <v>1890</v>
      </c>
      <c r="O2105" s="8" t="s">
        <v>1935</v>
      </c>
      <c r="P2105" s="8">
        <v>796</v>
      </c>
      <c r="Q2105" s="8" t="s">
        <v>3196</v>
      </c>
      <c r="R2105" s="9">
        <f>30+10+7+4+33+4</f>
        <v>88</v>
      </c>
      <c r="S2105" s="9">
        <v>1593.75</v>
      </c>
      <c r="T2105" s="10">
        <f t="shared" ref="T2105" si="1103">S2105*R2105</f>
        <v>140250</v>
      </c>
      <c r="U2105" s="10">
        <f t="shared" ref="U2105" si="1104">T2105*1.12</f>
        <v>157080.00000000003</v>
      </c>
      <c r="V2105" s="7"/>
      <c r="W2105" s="11">
        <v>2015</v>
      </c>
      <c r="X2105" s="12"/>
    </row>
    <row r="2106" spans="1:24" s="13" customFormat="1" ht="76.5" customHeight="1" outlineLevel="1" x14ac:dyDescent="0.2">
      <c r="A2106" s="1" t="s">
        <v>3763</v>
      </c>
      <c r="B2106" s="38" t="s">
        <v>5277</v>
      </c>
      <c r="C2106" s="2" t="s">
        <v>508</v>
      </c>
      <c r="D2106" s="2" t="s">
        <v>507</v>
      </c>
      <c r="E2106" s="2" t="s">
        <v>506</v>
      </c>
      <c r="F2106" s="39"/>
      <c r="G2106" s="50" t="s">
        <v>3190</v>
      </c>
      <c r="H2106" s="5">
        <v>0</v>
      </c>
      <c r="I2106" s="6">
        <v>710000000</v>
      </c>
      <c r="J2106" s="4" t="s">
        <v>1931</v>
      </c>
      <c r="K2106" s="4" t="s">
        <v>5297</v>
      </c>
      <c r="L2106" s="3" t="s">
        <v>1165</v>
      </c>
      <c r="M2106" s="8" t="s">
        <v>3195</v>
      </c>
      <c r="N2106" s="3" t="s">
        <v>1890</v>
      </c>
      <c r="O2106" s="8" t="s">
        <v>1935</v>
      </c>
      <c r="P2106" s="8">
        <v>796</v>
      </c>
      <c r="Q2106" s="8" t="s">
        <v>3196</v>
      </c>
      <c r="R2106" s="9">
        <f>10+4+10</f>
        <v>24</v>
      </c>
      <c r="S2106" s="9">
        <v>239</v>
      </c>
      <c r="T2106" s="10">
        <v>0</v>
      </c>
      <c r="U2106" s="10">
        <f t="shared" si="1002"/>
        <v>0</v>
      </c>
      <c r="V2106" s="7"/>
      <c r="W2106" s="11">
        <v>2015</v>
      </c>
      <c r="X2106" s="12">
        <v>11</v>
      </c>
    </row>
    <row r="2107" spans="1:24" s="13" customFormat="1" ht="76.5" customHeight="1" outlineLevel="1" x14ac:dyDescent="0.2">
      <c r="A2107" s="1" t="s">
        <v>9648</v>
      </c>
      <c r="B2107" s="38" t="s">
        <v>5277</v>
      </c>
      <c r="C2107" s="2" t="s">
        <v>508</v>
      </c>
      <c r="D2107" s="2" t="s">
        <v>507</v>
      </c>
      <c r="E2107" s="2" t="s">
        <v>506</v>
      </c>
      <c r="F2107" s="39"/>
      <c r="G2107" s="50" t="s">
        <v>3190</v>
      </c>
      <c r="H2107" s="5">
        <v>0</v>
      </c>
      <c r="I2107" s="6">
        <v>710000000</v>
      </c>
      <c r="J2107" s="4" t="s">
        <v>1931</v>
      </c>
      <c r="K2107" s="4" t="s">
        <v>9408</v>
      </c>
      <c r="L2107" s="3" t="s">
        <v>1165</v>
      </c>
      <c r="M2107" s="8" t="s">
        <v>3195</v>
      </c>
      <c r="N2107" s="3" t="s">
        <v>1890</v>
      </c>
      <c r="O2107" s="8" t="s">
        <v>1935</v>
      </c>
      <c r="P2107" s="8">
        <v>796</v>
      </c>
      <c r="Q2107" s="8" t="s">
        <v>3196</v>
      </c>
      <c r="R2107" s="9">
        <f>10+4+10</f>
        <v>24</v>
      </c>
      <c r="S2107" s="9">
        <v>239</v>
      </c>
      <c r="T2107" s="10">
        <f t="shared" ref="T2107" si="1105">S2107*R2107</f>
        <v>5736</v>
      </c>
      <c r="U2107" s="10">
        <f t="shared" ref="U2107" si="1106">T2107*1.12</f>
        <v>6424.3200000000006</v>
      </c>
      <c r="V2107" s="7"/>
      <c r="W2107" s="11">
        <v>2015</v>
      </c>
      <c r="X2107" s="12"/>
    </row>
    <row r="2108" spans="1:24" s="13" customFormat="1" ht="76.5" customHeight="1" outlineLevel="1" x14ac:dyDescent="0.2">
      <c r="A2108" s="1" t="s">
        <v>3764</v>
      </c>
      <c r="B2108" s="38" t="s">
        <v>5277</v>
      </c>
      <c r="C2108" s="2" t="s">
        <v>1830</v>
      </c>
      <c r="D2108" s="2" t="s">
        <v>5554</v>
      </c>
      <c r="E2108" s="6" t="s">
        <v>5527</v>
      </c>
      <c r="F2108" s="52" t="s">
        <v>5555</v>
      </c>
      <c r="G2108" s="50" t="s">
        <v>3190</v>
      </c>
      <c r="H2108" s="5">
        <v>0</v>
      </c>
      <c r="I2108" s="6">
        <v>710000000</v>
      </c>
      <c r="J2108" s="4" t="s">
        <v>1931</v>
      </c>
      <c r="K2108" s="4" t="s">
        <v>5297</v>
      </c>
      <c r="L2108" s="3" t="s">
        <v>1165</v>
      </c>
      <c r="M2108" s="8" t="s">
        <v>3195</v>
      </c>
      <c r="N2108" s="3" t="s">
        <v>1890</v>
      </c>
      <c r="O2108" s="8" t="s">
        <v>1935</v>
      </c>
      <c r="P2108" s="8">
        <v>796</v>
      </c>
      <c r="Q2108" s="8" t="s">
        <v>3196</v>
      </c>
      <c r="R2108" s="9">
        <f>10+12+8</f>
        <v>30</v>
      </c>
      <c r="S2108" s="9">
        <v>1276</v>
      </c>
      <c r="T2108" s="10">
        <v>0</v>
      </c>
      <c r="U2108" s="10">
        <f t="shared" si="1002"/>
        <v>0</v>
      </c>
      <c r="V2108" s="7"/>
      <c r="W2108" s="11">
        <v>2015</v>
      </c>
      <c r="X2108" s="12">
        <v>11</v>
      </c>
    </row>
    <row r="2109" spans="1:24" s="13" customFormat="1" ht="76.5" customHeight="1" outlineLevel="1" x14ac:dyDescent="0.2">
      <c r="A2109" s="1" t="s">
        <v>9649</v>
      </c>
      <c r="B2109" s="38" t="s">
        <v>5277</v>
      </c>
      <c r="C2109" s="2" t="s">
        <v>1830</v>
      </c>
      <c r="D2109" s="2" t="s">
        <v>5554</v>
      </c>
      <c r="E2109" s="6" t="s">
        <v>5527</v>
      </c>
      <c r="F2109" s="52" t="s">
        <v>5555</v>
      </c>
      <c r="G2109" s="50" t="s">
        <v>3190</v>
      </c>
      <c r="H2109" s="5">
        <v>0</v>
      </c>
      <c r="I2109" s="6">
        <v>710000000</v>
      </c>
      <c r="J2109" s="4" t="s">
        <v>1931</v>
      </c>
      <c r="K2109" s="4" t="s">
        <v>9408</v>
      </c>
      <c r="L2109" s="3" t="s">
        <v>1165</v>
      </c>
      <c r="M2109" s="8" t="s">
        <v>3195</v>
      </c>
      <c r="N2109" s="3" t="s">
        <v>1890</v>
      </c>
      <c r="O2109" s="8" t="s">
        <v>1935</v>
      </c>
      <c r="P2109" s="8">
        <v>796</v>
      </c>
      <c r="Q2109" s="8" t="s">
        <v>3196</v>
      </c>
      <c r="R2109" s="9">
        <f>10+12+8</f>
        <v>30</v>
      </c>
      <c r="S2109" s="9">
        <v>1276</v>
      </c>
      <c r="T2109" s="10">
        <f t="shared" ref="T2109" si="1107">S2109*R2109</f>
        <v>38280</v>
      </c>
      <c r="U2109" s="10">
        <f t="shared" ref="U2109" si="1108">T2109*1.12</f>
        <v>42873.600000000006</v>
      </c>
      <c r="V2109" s="7"/>
      <c r="W2109" s="11">
        <v>2015</v>
      </c>
      <c r="X2109" s="12"/>
    </row>
    <row r="2110" spans="1:24" s="13" customFormat="1" ht="76.5" customHeight="1" outlineLevel="1" x14ac:dyDescent="0.2">
      <c r="A2110" s="1" t="s">
        <v>3765</v>
      </c>
      <c r="B2110" s="2" t="s">
        <v>5277</v>
      </c>
      <c r="C2110" s="2" t="s">
        <v>3794</v>
      </c>
      <c r="D2110" s="2" t="s">
        <v>5539</v>
      </c>
      <c r="E2110" s="2" t="s">
        <v>5540</v>
      </c>
      <c r="F2110" s="2"/>
      <c r="G2110" s="3" t="s">
        <v>3190</v>
      </c>
      <c r="H2110" s="5">
        <v>0</v>
      </c>
      <c r="I2110" s="6">
        <v>710000000</v>
      </c>
      <c r="J2110" s="4" t="s">
        <v>1931</v>
      </c>
      <c r="K2110" s="4" t="s">
        <v>5297</v>
      </c>
      <c r="L2110" s="3" t="s">
        <v>1889</v>
      </c>
      <c r="M2110" s="8" t="s">
        <v>3195</v>
      </c>
      <c r="N2110" s="3" t="s">
        <v>1890</v>
      </c>
      <c r="O2110" s="8" t="s">
        <v>1935</v>
      </c>
      <c r="P2110" s="8">
        <v>796</v>
      </c>
      <c r="Q2110" s="8" t="s">
        <v>3196</v>
      </c>
      <c r="R2110" s="69">
        <v>35</v>
      </c>
      <c r="S2110" s="69">
        <v>182.03</v>
      </c>
      <c r="T2110" s="10">
        <v>0</v>
      </c>
      <c r="U2110" s="10">
        <f t="shared" si="1002"/>
        <v>0</v>
      </c>
      <c r="V2110" s="7"/>
      <c r="W2110" s="1">
        <v>2015</v>
      </c>
      <c r="X2110" s="62">
        <v>11</v>
      </c>
    </row>
    <row r="2111" spans="1:24" s="13" customFormat="1" ht="76.5" customHeight="1" outlineLevel="1" x14ac:dyDescent="0.2">
      <c r="A2111" s="1" t="s">
        <v>7698</v>
      </c>
      <c r="B2111" s="2" t="s">
        <v>5277</v>
      </c>
      <c r="C2111" s="2" t="s">
        <v>3794</v>
      </c>
      <c r="D2111" s="2" t="s">
        <v>5539</v>
      </c>
      <c r="E2111" s="2" t="s">
        <v>5540</v>
      </c>
      <c r="F2111" s="2"/>
      <c r="G2111" s="3" t="s">
        <v>3190</v>
      </c>
      <c r="H2111" s="5">
        <v>0</v>
      </c>
      <c r="I2111" s="6">
        <v>710000000</v>
      </c>
      <c r="J2111" s="4" t="s">
        <v>1931</v>
      </c>
      <c r="K2111" s="4" t="s">
        <v>756</v>
      </c>
      <c r="L2111" s="3" t="s">
        <v>1889</v>
      </c>
      <c r="M2111" s="8" t="s">
        <v>3195</v>
      </c>
      <c r="N2111" s="3" t="s">
        <v>1890</v>
      </c>
      <c r="O2111" s="8" t="s">
        <v>1935</v>
      </c>
      <c r="P2111" s="8">
        <v>796</v>
      </c>
      <c r="Q2111" s="8" t="s">
        <v>3196</v>
      </c>
      <c r="R2111" s="69">
        <v>35</v>
      </c>
      <c r="S2111" s="69">
        <v>182.03</v>
      </c>
      <c r="T2111" s="10">
        <v>0</v>
      </c>
      <c r="U2111" s="10">
        <f t="shared" ref="U2111" si="1109">T2111*1.12</f>
        <v>0</v>
      </c>
      <c r="V2111" s="7"/>
      <c r="W2111" s="1">
        <v>2015</v>
      </c>
      <c r="X2111" s="62" t="s">
        <v>7518</v>
      </c>
    </row>
    <row r="2112" spans="1:24" s="13" customFormat="1" ht="76.5" customHeight="1" outlineLevel="1" x14ac:dyDescent="0.2">
      <c r="A2112" s="1" t="s">
        <v>9212</v>
      </c>
      <c r="B2112" s="2" t="s">
        <v>5277</v>
      </c>
      <c r="C2112" s="2" t="s">
        <v>3794</v>
      </c>
      <c r="D2112" s="2" t="s">
        <v>5539</v>
      </c>
      <c r="E2112" s="2" t="s">
        <v>5540</v>
      </c>
      <c r="F2112" s="2"/>
      <c r="G2112" s="3" t="s">
        <v>3190</v>
      </c>
      <c r="H2112" s="5">
        <v>0</v>
      </c>
      <c r="I2112" s="6">
        <v>710000000</v>
      </c>
      <c r="J2112" s="4" t="s">
        <v>1931</v>
      </c>
      <c r="K2112" s="4" t="s">
        <v>9142</v>
      </c>
      <c r="L2112" s="3" t="s">
        <v>1889</v>
      </c>
      <c r="M2112" s="8" t="s">
        <v>3195</v>
      </c>
      <c r="N2112" s="3" t="s">
        <v>1890</v>
      </c>
      <c r="O2112" s="8" t="s">
        <v>1935</v>
      </c>
      <c r="P2112" s="8">
        <v>796</v>
      </c>
      <c r="Q2112" s="8" t="s">
        <v>3196</v>
      </c>
      <c r="R2112" s="69">
        <f>35+20</f>
        <v>55</v>
      </c>
      <c r="S2112" s="69">
        <v>182.03</v>
      </c>
      <c r="T2112" s="10">
        <f t="shared" ref="T2112" si="1110">S2112*R2112</f>
        <v>10011.65</v>
      </c>
      <c r="U2112" s="10">
        <f t="shared" ref="U2112" si="1111">T2112*1.12</f>
        <v>11213.048000000001</v>
      </c>
      <c r="V2112" s="7"/>
      <c r="W2112" s="1">
        <v>2015</v>
      </c>
      <c r="X2112" s="62"/>
    </row>
    <row r="2113" spans="1:24" s="13" customFormat="1" ht="76.5" customHeight="1" outlineLevel="1" x14ac:dyDescent="0.2">
      <c r="A2113" s="1" t="s">
        <v>3895</v>
      </c>
      <c r="B2113" s="2" t="s">
        <v>5277</v>
      </c>
      <c r="C2113" s="2" t="s">
        <v>514</v>
      </c>
      <c r="D2113" s="2" t="s">
        <v>5479</v>
      </c>
      <c r="E2113" s="2" t="s">
        <v>513</v>
      </c>
      <c r="F2113" s="2"/>
      <c r="G2113" s="3" t="s">
        <v>3190</v>
      </c>
      <c r="H2113" s="5">
        <v>0</v>
      </c>
      <c r="I2113" s="6">
        <v>710000000</v>
      </c>
      <c r="J2113" s="4" t="s">
        <v>1931</v>
      </c>
      <c r="K2113" s="4" t="s">
        <v>5297</v>
      </c>
      <c r="L2113" s="3" t="s">
        <v>1889</v>
      </c>
      <c r="M2113" s="8" t="s">
        <v>3195</v>
      </c>
      <c r="N2113" s="3" t="s">
        <v>1890</v>
      </c>
      <c r="O2113" s="8" t="s">
        <v>1935</v>
      </c>
      <c r="P2113" s="8">
        <v>796</v>
      </c>
      <c r="Q2113" s="8" t="s">
        <v>3196</v>
      </c>
      <c r="R2113" s="69">
        <v>24</v>
      </c>
      <c r="S2113" s="69">
        <v>428.5</v>
      </c>
      <c r="T2113" s="10">
        <v>0</v>
      </c>
      <c r="U2113" s="10">
        <f t="shared" si="1002"/>
        <v>0</v>
      </c>
      <c r="V2113" s="7"/>
      <c r="W2113" s="1">
        <v>2015</v>
      </c>
      <c r="X2113" s="62">
        <v>11</v>
      </c>
    </row>
    <row r="2114" spans="1:24" s="13" customFormat="1" ht="76.5" customHeight="1" outlineLevel="1" x14ac:dyDescent="0.2">
      <c r="A2114" s="1" t="s">
        <v>7699</v>
      </c>
      <c r="B2114" s="2" t="s">
        <v>5277</v>
      </c>
      <c r="C2114" s="2" t="s">
        <v>514</v>
      </c>
      <c r="D2114" s="2" t="s">
        <v>5479</v>
      </c>
      <c r="E2114" s="2" t="s">
        <v>513</v>
      </c>
      <c r="F2114" s="2"/>
      <c r="G2114" s="3" t="s">
        <v>3190</v>
      </c>
      <c r="H2114" s="5">
        <v>0</v>
      </c>
      <c r="I2114" s="6">
        <v>710000000</v>
      </c>
      <c r="J2114" s="4" t="s">
        <v>1931</v>
      </c>
      <c r="K2114" s="4" t="s">
        <v>756</v>
      </c>
      <c r="L2114" s="3" t="s">
        <v>1889</v>
      </c>
      <c r="M2114" s="8" t="s">
        <v>3195</v>
      </c>
      <c r="N2114" s="3" t="s">
        <v>1890</v>
      </c>
      <c r="O2114" s="8" t="s">
        <v>1935</v>
      </c>
      <c r="P2114" s="8">
        <v>796</v>
      </c>
      <c r="Q2114" s="8" t="s">
        <v>3196</v>
      </c>
      <c r="R2114" s="69">
        <v>24</v>
      </c>
      <c r="S2114" s="69">
        <v>428.5</v>
      </c>
      <c r="T2114" s="10">
        <f t="shared" ref="T2114" si="1112">S2114*R2114</f>
        <v>10284</v>
      </c>
      <c r="U2114" s="10">
        <f t="shared" ref="U2114" si="1113">T2114*1.12</f>
        <v>11518.080000000002</v>
      </c>
      <c r="V2114" s="7"/>
      <c r="W2114" s="1">
        <v>2015</v>
      </c>
      <c r="X2114" s="62"/>
    </row>
    <row r="2115" spans="1:24" s="13" customFormat="1" ht="76.5" customHeight="1" outlineLevel="1" x14ac:dyDescent="0.2">
      <c r="A2115" s="1" t="s">
        <v>3896</v>
      </c>
      <c r="B2115" s="2" t="s">
        <v>5277</v>
      </c>
      <c r="C2115" s="2" t="s">
        <v>1822</v>
      </c>
      <c r="D2115" s="2" t="s">
        <v>5529</v>
      </c>
      <c r="E2115" s="6" t="s">
        <v>5530</v>
      </c>
      <c r="F2115" s="2" t="s">
        <v>512</v>
      </c>
      <c r="G2115" s="3" t="s">
        <v>3190</v>
      </c>
      <c r="H2115" s="5">
        <v>0</v>
      </c>
      <c r="I2115" s="6">
        <v>710000000</v>
      </c>
      <c r="J2115" s="4" t="s">
        <v>1931</v>
      </c>
      <c r="K2115" s="4" t="s">
        <v>5297</v>
      </c>
      <c r="L2115" s="3" t="s">
        <v>1889</v>
      </c>
      <c r="M2115" s="8" t="s">
        <v>3195</v>
      </c>
      <c r="N2115" s="3" t="s">
        <v>1890</v>
      </c>
      <c r="O2115" s="8" t="s">
        <v>1935</v>
      </c>
      <c r="P2115" s="8">
        <v>796</v>
      </c>
      <c r="Q2115" s="8" t="s">
        <v>3196</v>
      </c>
      <c r="R2115" s="69">
        <v>32</v>
      </c>
      <c r="S2115" s="69">
        <v>318.94</v>
      </c>
      <c r="T2115" s="10">
        <f t="shared" ref="T2115:T2232" si="1114">S2115*R2115</f>
        <v>10206.08</v>
      </c>
      <c r="U2115" s="10">
        <f t="shared" si="1002"/>
        <v>11430.809600000001</v>
      </c>
      <c r="V2115" s="7"/>
      <c r="W2115" s="1">
        <v>2015</v>
      </c>
      <c r="X2115" s="62">
        <v>11</v>
      </c>
    </row>
    <row r="2116" spans="1:24" s="13" customFormat="1" ht="76.5" customHeight="1" outlineLevel="1" x14ac:dyDescent="0.2">
      <c r="A2116" s="1" t="s">
        <v>7700</v>
      </c>
      <c r="B2116" s="2" t="s">
        <v>5277</v>
      </c>
      <c r="C2116" s="2" t="s">
        <v>1822</v>
      </c>
      <c r="D2116" s="2" t="s">
        <v>5529</v>
      </c>
      <c r="E2116" s="6" t="s">
        <v>5530</v>
      </c>
      <c r="F2116" s="2" t="s">
        <v>512</v>
      </c>
      <c r="G2116" s="3" t="s">
        <v>3190</v>
      </c>
      <c r="H2116" s="5">
        <v>0</v>
      </c>
      <c r="I2116" s="6">
        <v>710000000</v>
      </c>
      <c r="J2116" s="4" t="s">
        <v>1931</v>
      </c>
      <c r="K2116" s="4" t="s">
        <v>756</v>
      </c>
      <c r="L2116" s="3" t="s">
        <v>1889</v>
      </c>
      <c r="M2116" s="8" t="s">
        <v>3195</v>
      </c>
      <c r="N2116" s="3" t="s">
        <v>1890</v>
      </c>
      <c r="O2116" s="8" t="s">
        <v>1935</v>
      </c>
      <c r="P2116" s="8">
        <v>796</v>
      </c>
      <c r="Q2116" s="8" t="s">
        <v>3196</v>
      </c>
      <c r="R2116" s="69">
        <v>32</v>
      </c>
      <c r="S2116" s="69">
        <v>318.94</v>
      </c>
      <c r="T2116" s="10">
        <f t="shared" ref="T2116" si="1115">S2116*R2116</f>
        <v>10206.08</v>
      </c>
      <c r="U2116" s="10">
        <f t="shared" ref="U2116" si="1116">T2116*1.12</f>
        <v>11430.809600000001</v>
      </c>
      <c r="V2116" s="7"/>
      <c r="W2116" s="1">
        <v>2015</v>
      </c>
      <c r="X2116" s="62"/>
    </row>
    <row r="2117" spans="1:24" s="13" customFormat="1" ht="76.5" customHeight="1" outlineLevel="1" x14ac:dyDescent="0.2">
      <c r="A2117" s="1" t="s">
        <v>3897</v>
      </c>
      <c r="B2117" s="2" t="s">
        <v>5277</v>
      </c>
      <c r="C2117" s="2" t="s">
        <v>1829</v>
      </c>
      <c r="D2117" s="2" t="s">
        <v>5526</v>
      </c>
      <c r="E2117" s="6" t="s">
        <v>5527</v>
      </c>
      <c r="F2117" s="52" t="s">
        <v>5528</v>
      </c>
      <c r="G2117" s="3" t="s">
        <v>3190</v>
      </c>
      <c r="H2117" s="5">
        <v>0</v>
      </c>
      <c r="I2117" s="6">
        <v>710000000</v>
      </c>
      <c r="J2117" s="4" t="s">
        <v>1931</v>
      </c>
      <c r="K2117" s="4" t="s">
        <v>5297</v>
      </c>
      <c r="L2117" s="3" t="s">
        <v>1889</v>
      </c>
      <c r="M2117" s="8" t="s">
        <v>3195</v>
      </c>
      <c r="N2117" s="3" t="s">
        <v>1890</v>
      </c>
      <c r="O2117" s="8" t="s">
        <v>1935</v>
      </c>
      <c r="P2117" s="8">
        <v>796</v>
      </c>
      <c r="Q2117" s="8" t="s">
        <v>3196</v>
      </c>
      <c r="R2117" s="69">
        <v>20</v>
      </c>
      <c r="S2117" s="69">
        <v>267.95</v>
      </c>
      <c r="T2117" s="10">
        <v>0</v>
      </c>
      <c r="U2117" s="10">
        <f t="shared" ref="U2117:U2245" si="1117">T2117*1.12</f>
        <v>0</v>
      </c>
      <c r="V2117" s="7"/>
      <c r="W2117" s="1">
        <v>2015</v>
      </c>
      <c r="X2117" s="62">
        <v>11</v>
      </c>
    </row>
    <row r="2118" spans="1:24" s="13" customFormat="1" ht="76.5" customHeight="1" outlineLevel="1" x14ac:dyDescent="0.2">
      <c r="A2118" s="1" t="s">
        <v>7701</v>
      </c>
      <c r="B2118" s="2" t="s">
        <v>5277</v>
      </c>
      <c r="C2118" s="2" t="s">
        <v>1829</v>
      </c>
      <c r="D2118" s="2" t="s">
        <v>5526</v>
      </c>
      <c r="E2118" s="6" t="s">
        <v>5527</v>
      </c>
      <c r="F2118" s="52" t="s">
        <v>5528</v>
      </c>
      <c r="G2118" s="3" t="s">
        <v>3190</v>
      </c>
      <c r="H2118" s="5">
        <v>0</v>
      </c>
      <c r="I2118" s="6">
        <v>710000000</v>
      </c>
      <c r="J2118" s="4" t="s">
        <v>1931</v>
      </c>
      <c r="K2118" s="4" t="s">
        <v>756</v>
      </c>
      <c r="L2118" s="3" t="s">
        <v>1889</v>
      </c>
      <c r="M2118" s="8" t="s">
        <v>3195</v>
      </c>
      <c r="N2118" s="3" t="s">
        <v>1890</v>
      </c>
      <c r="O2118" s="8" t="s">
        <v>1935</v>
      </c>
      <c r="P2118" s="8">
        <v>796</v>
      </c>
      <c r="Q2118" s="8" t="s">
        <v>3196</v>
      </c>
      <c r="R2118" s="69">
        <v>20</v>
      </c>
      <c r="S2118" s="69">
        <v>267.95</v>
      </c>
      <c r="T2118" s="10">
        <f t="shared" ref="T2118" si="1118">S2118*R2118</f>
        <v>5359</v>
      </c>
      <c r="U2118" s="10">
        <f t="shared" ref="U2118" si="1119">T2118*1.12</f>
        <v>6002.0800000000008</v>
      </c>
      <c r="V2118" s="7"/>
      <c r="W2118" s="1">
        <v>2015</v>
      </c>
      <c r="X2118" s="62"/>
    </row>
    <row r="2119" spans="1:24" s="13" customFormat="1" ht="76.5" customHeight="1" outlineLevel="1" x14ac:dyDescent="0.2">
      <c r="A2119" s="1" t="s">
        <v>3898</v>
      </c>
      <c r="B2119" s="38" t="s">
        <v>5277</v>
      </c>
      <c r="C2119" s="2" t="s">
        <v>511</v>
      </c>
      <c r="D2119" s="2" t="s">
        <v>510</v>
      </c>
      <c r="E2119" s="2" t="s">
        <v>509</v>
      </c>
      <c r="F2119" s="39" t="s">
        <v>5535</v>
      </c>
      <c r="G2119" s="50" t="s">
        <v>3190</v>
      </c>
      <c r="H2119" s="5">
        <v>0</v>
      </c>
      <c r="I2119" s="6">
        <v>710000000</v>
      </c>
      <c r="J2119" s="4" t="s">
        <v>1931</v>
      </c>
      <c r="K2119" s="4" t="s">
        <v>5297</v>
      </c>
      <c r="L2119" s="3" t="s">
        <v>1889</v>
      </c>
      <c r="M2119" s="8" t="s">
        <v>3195</v>
      </c>
      <c r="N2119" s="3" t="s">
        <v>1890</v>
      </c>
      <c r="O2119" s="8" t="s">
        <v>1935</v>
      </c>
      <c r="P2119" s="8">
        <v>796</v>
      </c>
      <c r="Q2119" s="8" t="s">
        <v>3196</v>
      </c>
      <c r="R2119" s="9">
        <v>5</v>
      </c>
      <c r="S2119" s="9">
        <v>259</v>
      </c>
      <c r="T2119" s="10">
        <f t="shared" si="1114"/>
        <v>1295</v>
      </c>
      <c r="U2119" s="10">
        <f t="shared" si="1117"/>
        <v>1450.4</v>
      </c>
      <c r="V2119" s="7"/>
      <c r="W2119" s="11">
        <v>2015</v>
      </c>
      <c r="X2119" s="12"/>
    </row>
    <row r="2120" spans="1:24" s="13" customFormat="1" ht="76.5" customHeight="1" outlineLevel="1" x14ac:dyDescent="0.2">
      <c r="A2120" s="1" t="s">
        <v>3899</v>
      </c>
      <c r="B2120" s="38" t="s">
        <v>5277</v>
      </c>
      <c r="C2120" s="2" t="s">
        <v>3791</v>
      </c>
      <c r="D2120" s="2" t="s">
        <v>9492</v>
      </c>
      <c r="E2120" s="6" t="s">
        <v>9493</v>
      </c>
      <c r="F2120" s="39"/>
      <c r="G2120" s="50" t="s">
        <v>3190</v>
      </c>
      <c r="H2120" s="5">
        <v>0</v>
      </c>
      <c r="I2120" s="6">
        <v>710000000</v>
      </c>
      <c r="J2120" s="4" t="s">
        <v>1931</v>
      </c>
      <c r="K2120" s="4" t="s">
        <v>5297</v>
      </c>
      <c r="L2120" s="3" t="s">
        <v>1889</v>
      </c>
      <c r="M2120" s="8" t="s">
        <v>3195</v>
      </c>
      <c r="N2120" s="3" t="s">
        <v>1890</v>
      </c>
      <c r="O2120" s="8" t="s">
        <v>1935</v>
      </c>
      <c r="P2120" s="8">
        <v>796</v>
      </c>
      <c r="Q2120" s="8" t="s">
        <v>3196</v>
      </c>
      <c r="R2120" s="9">
        <v>9</v>
      </c>
      <c r="S2120" s="9">
        <v>209.89</v>
      </c>
      <c r="T2120" s="10">
        <f t="shared" si="1114"/>
        <v>1889.0099999999998</v>
      </c>
      <c r="U2120" s="10">
        <f t="shared" si="1117"/>
        <v>2115.6911999999998</v>
      </c>
      <c r="V2120" s="7"/>
      <c r="W2120" s="11">
        <v>2015</v>
      </c>
      <c r="X2120" s="12"/>
    </row>
    <row r="2121" spans="1:24" s="13" customFormat="1" ht="76.5" customHeight="1" outlineLevel="1" x14ac:dyDescent="0.2">
      <c r="A2121" s="1" t="s">
        <v>3900</v>
      </c>
      <c r="B2121" s="38" t="s">
        <v>5277</v>
      </c>
      <c r="C2121" s="2" t="s">
        <v>3788</v>
      </c>
      <c r="D2121" s="2" t="s">
        <v>5531</v>
      </c>
      <c r="E2121" s="6" t="s">
        <v>5532</v>
      </c>
      <c r="F2121" s="39"/>
      <c r="G2121" s="50" t="s">
        <v>3190</v>
      </c>
      <c r="H2121" s="5">
        <v>0</v>
      </c>
      <c r="I2121" s="6">
        <v>710000000</v>
      </c>
      <c r="J2121" s="4" t="s">
        <v>1931</v>
      </c>
      <c r="K2121" s="4" t="s">
        <v>5297</v>
      </c>
      <c r="L2121" s="3" t="s">
        <v>1889</v>
      </c>
      <c r="M2121" s="8" t="s">
        <v>3195</v>
      </c>
      <c r="N2121" s="3" t="s">
        <v>1890</v>
      </c>
      <c r="O2121" s="8" t="s">
        <v>1935</v>
      </c>
      <c r="P2121" s="8">
        <v>796</v>
      </c>
      <c r="Q2121" s="8" t="s">
        <v>3196</v>
      </c>
      <c r="R2121" s="9">
        <v>1</v>
      </c>
      <c r="S2121" s="9">
        <v>348</v>
      </c>
      <c r="T2121" s="10">
        <f t="shared" si="1114"/>
        <v>348</v>
      </c>
      <c r="U2121" s="10">
        <f t="shared" si="1117"/>
        <v>389.76000000000005</v>
      </c>
      <c r="V2121" s="7"/>
      <c r="W2121" s="11">
        <v>2015</v>
      </c>
      <c r="X2121" s="12"/>
    </row>
    <row r="2122" spans="1:24" s="13" customFormat="1" ht="76.5" customHeight="1" outlineLevel="1" x14ac:dyDescent="0.2">
      <c r="A2122" s="1" t="s">
        <v>3901</v>
      </c>
      <c r="B2122" s="38" t="s">
        <v>5277</v>
      </c>
      <c r="C2122" s="2" t="s">
        <v>3790</v>
      </c>
      <c r="D2122" s="2" t="s">
        <v>5531</v>
      </c>
      <c r="E2122" s="6" t="s">
        <v>5534</v>
      </c>
      <c r="F2122" s="39"/>
      <c r="G2122" s="50" t="s">
        <v>3190</v>
      </c>
      <c r="H2122" s="5">
        <v>0</v>
      </c>
      <c r="I2122" s="6">
        <v>710000000</v>
      </c>
      <c r="J2122" s="4" t="s">
        <v>1931</v>
      </c>
      <c r="K2122" s="4" t="s">
        <v>5297</v>
      </c>
      <c r="L2122" s="3" t="s">
        <v>1889</v>
      </c>
      <c r="M2122" s="8" t="s">
        <v>3195</v>
      </c>
      <c r="N2122" s="3" t="s">
        <v>1890</v>
      </c>
      <c r="O2122" s="8" t="s">
        <v>1935</v>
      </c>
      <c r="P2122" s="8">
        <v>796</v>
      </c>
      <c r="Q2122" s="8" t="s">
        <v>3196</v>
      </c>
      <c r="R2122" s="9">
        <v>11</v>
      </c>
      <c r="S2122" s="9">
        <v>272.73</v>
      </c>
      <c r="T2122" s="10">
        <f t="shared" si="1114"/>
        <v>3000.03</v>
      </c>
      <c r="U2122" s="10">
        <f t="shared" si="1117"/>
        <v>3360.0336000000007</v>
      </c>
      <c r="V2122" s="7"/>
      <c r="W2122" s="11">
        <v>2015</v>
      </c>
      <c r="X2122" s="12"/>
    </row>
    <row r="2123" spans="1:24" s="13" customFormat="1" ht="76.5" customHeight="1" outlineLevel="1" x14ac:dyDescent="0.2">
      <c r="A2123" s="1" t="s">
        <v>3902</v>
      </c>
      <c r="B2123" s="38" t="s">
        <v>5277</v>
      </c>
      <c r="C2123" s="2" t="s">
        <v>3789</v>
      </c>
      <c r="D2123" s="2" t="s">
        <v>5531</v>
      </c>
      <c r="E2123" s="6" t="s">
        <v>5533</v>
      </c>
      <c r="F2123" s="39"/>
      <c r="G2123" s="50" t="s">
        <v>3190</v>
      </c>
      <c r="H2123" s="5">
        <v>0</v>
      </c>
      <c r="I2123" s="6">
        <v>710000000</v>
      </c>
      <c r="J2123" s="4" t="s">
        <v>1931</v>
      </c>
      <c r="K2123" s="4" t="s">
        <v>5297</v>
      </c>
      <c r="L2123" s="3" t="s">
        <v>1889</v>
      </c>
      <c r="M2123" s="8" t="s">
        <v>3195</v>
      </c>
      <c r="N2123" s="3" t="s">
        <v>1890</v>
      </c>
      <c r="O2123" s="8" t="s">
        <v>1935</v>
      </c>
      <c r="P2123" s="8">
        <v>796</v>
      </c>
      <c r="Q2123" s="8" t="s">
        <v>3196</v>
      </c>
      <c r="R2123" s="9">
        <v>11</v>
      </c>
      <c r="S2123" s="9">
        <v>1650.91</v>
      </c>
      <c r="T2123" s="10">
        <f t="shared" si="1114"/>
        <v>18160.010000000002</v>
      </c>
      <c r="U2123" s="10">
        <f t="shared" si="1117"/>
        <v>20339.211200000005</v>
      </c>
      <c r="V2123" s="7"/>
      <c r="W2123" s="11">
        <v>2015</v>
      </c>
      <c r="X2123" s="12"/>
    </row>
    <row r="2124" spans="1:24" s="13" customFormat="1" ht="76.5" customHeight="1" outlineLevel="1" x14ac:dyDescent="0.2">
      <c r="A2124" s="1" t="s">
        <v>3903</v>
      </c>
      <c r="B2124" s="38" t="s">
        <v>5277</v>
      </c>
      <c r="C2124" s="2" t="s">
        <v>508</v>
      </c>
      <c r="D2124" s="2" t="s">
        <v>507</v>
      </c>
      <c r="E2124" s="2" t="s">
        <v>506</v>
      </c>
      <c r="F2124" s="39"/>
      <c r="G2124" s="50" t="s">
        <v>3190</v>
      </c>
      <c r="H2124" s="5">
        <v>0</v>
      </c>
      <c r="I2124" s="6">
        <v>710000000</v>
      </c>
      <c r="J2124" s="4" t="s">
        <v>1931</v>
      </c>
      <c r="K2124" s="4" t="s">
        <v>5297</v>
      </c>
      <c r="L2124" s="3" t="s">
        <v>1889</v>
      </c>
      <c r="M2124" s="8" t="s">
        <v>3195</v>
      </c>
      <c r="N2124" s="3" t="s">
        <v>1890</v>
      </c>
      <c r="O2124" s="8" t="s">
        <v>1935</v>
      </c>
      <c r="P2124" s="8">
        <v>796</v>
      </c>
      <c r="Q2124" s="8" t="s">
        <v>3196</v>
      </c>
      <c r="R2124" s="9">
        <v>4</v>
      </c>
      <c r="S2124" s="9">
        <v>80</v>
      </c>
      <c r="T2124" s="10">
        <f t="shared" si="1114"/>
        <v>320</v>
      </c>
      <c r="U2124" s="10">
        <f t="shared" si="1117"/>
        <v>358.40000000000003</v>
      </c>
      <c r="V2124" s="7"/>
      <c r="W2124" s="11">
        <v>2015</v>
      </c>
      <c r="X2124" s="12"/>
    </row>
    <row r="2125" spans="1:24" s="13" customFormat="1" ht="76.5" customHeight="1" outlineLevel="1" x14ac:dyDescent="0.2">
      <c r="A2125" s="1" t="s">
        <v>3904</v>
      </c>
      <c r="B2125" s="38" t="s">
        <v>5277</v>
      </c>
      <c r="C2125" s="2" t="s">
        <v>1830</v>
      </c>
      <c r="D2125" s="2" t="s">
        <v>5554</v>
      </c>
      <c r="E2125" s="6" t="s">
        <v>5527</v>
      </c>
      <c r="F2125" s="52" t="s">
        <v>5555</v>
      </c>
      <c r="G2125" s="50" t="s">
        <v>3190</v>
      </c>
      <c r="H2125" s="5">
        <v>0</v>
      </c>
      <c r="I2125" s="6">
        <v>710000000</v>
      </c>
      <c r="J2125" s="4" t="s">
        <v>1931</v>
      </c>
      <c r="K2125" s="4" t="s">
        <v>5297</v>
      </c>
      <c r="L2125" s="3" t="s">
        <v>1889</v>
      </c>
      <c r="M2125" s="8" t="s">
        <v>3195</v>
      </c>
      <c r="N2125" s="3" t="s">
        <v>1890</v>
      </c>
      <c r="O2125" s="8" t="s">
        <v>1935</v>
      </c>
      <c r="P2125" s="8">
        <v>796</v>
      </c>
      <c r="Q2125" s="8" t="s">
        <v>3196</v>
      </c>
      <c r="R2125" s="9">
        <v>20</v>
      </c>
      <c r="S2125" s="9">
        <v>812.15</v>
      </c>
      <c r="T2125" s="10">
        <f t="shared" si="1114"/>
        <v>16243</v>
      </c>
      <c r="U2125" s="10">
        <f t="shared" si="1117"/>
        <v>18192.160000000003</v>
      </c>
      <c r="V2125" s="7"/>
      <c r="W2125" s="11">
        <v>2015</v>
      </c>
      <c r="X2125" s="12"/>
    </row>
    <row r="2126" spans="1:24" s="13" customFormat="1" ht="76.5" customHeight="1" outlineLevel="1" x14ac:dyDescent="0.2">
      <c r="A2126" s="1" t="s">
        <v>3905</v>
      </c>
      <c r="B2126" s="38" t="s">
        <v>5277</v>
      </c>
      <c r="C2126" s="7" t="s">
        <v>4222</v>
      </c>
      <c r="D2126" s="7" t="s">
        <v>5560</v>
      </c>
      <c r="E2126" s="18" t="s">
        <v>5561</v>
      </c>
      <c r="F2126" s="25" t="s">
        <v>5635</v>
      </c>
      <c r="G2126" s="50" t="s">
        <v>3190</v>
      </c>
      <c r="H2126" s="5">
        <v>0</v>
      </c>
      <c r="I2126" s="6">
        <v>710000000</v>
      </c>
      <c r="J2126" s="4" t="s">
        <v>1931</v>
      </c>
      <c r="K2126" s="4" t="s">
        <v>5297</v>
      </c>
      <c r="L2126" s="7" t="s">
        <v>5668</v>
      </c>
      <c r="M2126" s="8" t="s">
        <v>3195</v>
      </c>
      <c r="N2126" s="3" t="s">
        <v>1890</v>
      </c>
      <c r="O2126" s="8" t="s">
        <v>1935</v>
      </c>
      <c r="P2126" s="8">
        <v>796</v>
      </c>
      <c r="Q2126" s="8" t="s">
        <v>3196</v>
      </c>
      <c r="R2126" s="9">
        <v>72</v>
      </c>
      <c r="S2126" s="9">
        <v>223.5</v>
      </c>
      <c r="T2126" s="10">
        <v>0</v>
      </c>
      <c r="U2126" s="10">
        <f t="shared" si="1117"/>
        <v>0</v>
      </c>
      <c r="V2126" s="7"/>
      <c r="W2126" s="11">
        <v>2015</v>
      </c>
      <c r="X2126" s="12">
        <v>11</v>
      </c>
    </row>
    <row r="2127" spans="1:24" s="13" customFormat="1" ht="76.5" customHeight="1" outlineLevel="1" x14ac:dyDescent="0.2">
      <c r="A2127" s="1" t="s">
        <v>10173</v>
      </c>
      <c r="B2127" s="38" t="s">
        <v>5277</v>
      </c>
      <c r="C2127" s="7" t="s">
        <v>4222</v>
      </c>
      <c r="D2127" s="7" t="s">
        <v>5560</v>
      </c>
      <c r="E2127" s="18" t="s">
        <v>5561</v>
      </c>
      <c r="F2127" s="25" t="s">
        <v>5635</v>
      </c>
      <c r="G2127" s="50" t="s">
        <v>3190</v>
      </c>
      <c r="H2127" s="5">
        <v>0</v>
      </c>
      <c r="I2127" s="6">
        <v>710000000</v>
      </c>
      <c r="J2127" s="4" t="s">
        <v>1931</v>
      </c>
      <c r="K2127" s="4" t="s">
        <v>10047</v>
      </c>
      <c r="L2127" s="7" t="s">
        <v>5668</v>
      </c>
      <c r="M2127" s="8" t="s">
        <v>3195</v>
      </c>
      <c r="N2127" s="3" t="s">
        <v>1890</v>
      </c>
      <c r="O2127" s="8" t="s">
        <v>1935</v>
      </c>
      <c r="P2127" s="8">
        <v>796</v>
      </c>
      <c r="Q2127" s="8" t="s">
        <v>3196</v>
      </c>
      <c r="R2127" s="9">
        <v>72</v>
      </c>
      <c r="S2127" s="9">
        <v>223.5</v>
      </c>
      <c r="T2127" s="10">
        <f t="shared" ref="T2127" si="1120">S2127*R2127</f>
        <v>16092</v>
      </c>
      <c r="U2127" s="10">
        <f t="shared" ref="U2127" si="1121">T2127*1.12</f>
        <v>18023.04</v>
      </c>
      <c r="V2127" s="7"/>
      <c r="W2127" s="11">
        <v>2015</v>
      </c>
      <c r="X2127" s="12"/>
    </row>
    <row r="2128" spans="1:24" ht="76.5" customHeight="1" outlineLevel="1" x14ac:dyDescent="0.2">
      <c r="A2128" s="1" t="s">
        <v>3906</v>
      </c>
      <c r="B2128" s="220" t="s">
        <v>5277</v>
      </c>
      <c r="C2128" s="2" t="s">
        <v>1829</v>
      </c>
      <c r="D2128" s="2" t="s">
        <v>5526</v>
      </c>
      <c r="E2128" s="6" t="s">
        <v>5527</v>
      </c>
      <c r="F2128" s="52" t="s">
        <v>5528</v>
      </c>
      <c r="G2128" s="50" t="s">
        <v>3190</v>
      </c>
      <c r="H2128" s="5">
        <v>0</v>
      </c>
      <c r="I2128" s="6">
        <v>710000000</v>
      </c>
      <c r="J2128" s="4" t="s">
        <v>1931</v>
      </c>
      <c r="K2128" s="4" t="s">
        <v>5297</v>
      </c>
      <c r="L2128" s="7" t="s">
        <v>5668</v>
      </c>
      <c r="M2128" s="8" t="s">
        <v>3195</v>
      </c>
      <c r="N2128" s="3" t="s">
        <v>1890</v>
      </c>
      <c r="O2128" s="8" t="s">
        <v>1935</v>
      </c>
      <c r="P2128" s="8">
        <v>796</v>
      </c>
      <c r="Q2128" s="8" t="s">
        <v>3196</v>
      </c>
      <c r="R2128" s="221">
        <v>6</v>
      </c>
      <c r="S2128" s="221">
        <v>268</v>
      </c>
      <c r="T2128" s="10">
        <v>0</v>
      </c>
      <c r="U2128" s="10">
        <f t="shared" si="1117"/>
        <v>0</v>
      </c>
      <c r="V2128" s="7"/>
      <c r="W2128" s="11">
        <v>2015</v>
      </c>
      <c r="X2128" s="198">
        <v>11</v>
      </c>
    </row>
    <row r="2129" spans="1:24" ht="76.5" customHeight="1" outlineLevel="1" x14ac:dyDescent="0.2">
      <c r="A2129" s="1" t="s">
        <v>10174</v>
      </c>
      <c r="B2129" s="220" t="s">
        <v>5277</v>
      </c>
      <c r="C2129" s="2" t="s">
        <v>1829</v>
      </c>
      <c r="D2129" s="2" t="s">
        <v>5526</v>
      </c>
      <c r="E2129" s="6" t="s">
        <v>5527</v>
      </c>
      <c r="F2129" s="52" t="s">
        <v>5528</v>
      </c>
      <c r="G2129" s="50" t="s">
        <v>3190</v>
      </c>
      <c r="H2129" s="5">
        <v>0</v>
      </c>
      <c r="I2129" s="6">
        <v>710000000</v>
      </c>
      <c r="J2129" s="4" t="s">
        <v>1931</v>
      </c>
      <c r="K2129" s="4" t="s">
        <v>10047</v>
      </c>
      <c r="L2129" s="7" t="s">
        <v>5668</v>
      </c>
      <c r="M2129" s="8" t="s">
        <v>3195</v>
      </c>
      <c r="N2129" s="3" t="s">
        <v>1890</v>
      </c>
      <c r="O2129" s="8" t="s">
        <v>1935</v>
      </c>
      <c r="P2129" s="8">
        <v>796</v>
      </c>
      <c r="Q2129" s="8" t="s">
        <v>3196</v>
      </c>
      <c r="R2129" s="221">
        <v>6</v>
      </c>
      <c r="S2129" s="221">
        <v>268</v>
      </c>
      <c r="T2129" s="10">
        <f t="shared" ref="T2129" si="1122">S2129*R2129</f>
        <v>1608</v>
      </c>
      <c r="U2129" s="10">
        <f t="shared" ref="U2129" si="1123">T2129*1.12</f>
        <v>1800.9600000000003</v>
      </c>
      <c r="V2129" s="7"/>
      <c r="W2129" s="11">
        <v>2015</v>
      </c>
      <c r="X2129" s="198"/>
    </row>
    <row r="2130" spans="1:24" s="13" customFormat="1" ht="76.5" customHeight="1" outlineLevel="1" x14ac:dyDescent="0.2">
      <c r="A2130" s="1" t="s">
        <v>3907</v>
      </c>
      <c r="B2130" s="38" t="s">
        <v>5277</v>
      </c>
      <c r="C2130" s="2" t="s">
        <v>505</v>
      </c>
      <c r="D2130" s="2" t="s">
        <v>504</v>
      </c>
      <c r="E2130" s="2" t="s">
        <v>503</v>
      </c>
      <c r="F2130" s="39" t="s">
        <v>502</v>
      </c>
      <c r="G2130" s="50" t="s">
        <v>3190</v>
      </c>
      <c r="H2130" s="5">
        <v>0</v>
      </c>
      <c r="I2130" s="6">
        <v>710000000</v>
      </c>
      <c r="J2130" s="4" t="s">
        <v>1931</v>
      </c>
      <c r="K2130" s="4" t="s">
        <v>5297</v>
      </c>
      <c r="L2130" s="3" t="s">
        <v>1165</v>
      </c>
      <c r="M2130" s="8" t="s">
        <v>3195</v>
      </c>
      <c r="N2130" s="3" t="s">
        <v>1890</v>
      </c>
      <c r="O2130" s="8" t="s">
        <v>1935</v>
      </c>
      <c r="P2130" s="8">
        <v>796</v>
      </c>
      <c r="Q2130" s="8" t="s">
        <v>3196</v>
      </c>
      <c r="R2130" s="9">
        <v>2</v>
      </c>
      <c r="S2130" s="9">
        <v>27232.14</v>
      </c>
      <c r="T2130" s="10">
        <f t="shared" si="1114"/>
        <v>54464.28</v>
      </c>
      <c r="U2130" s="10">
        <f t="shared" si="1117"/>
        <v>60999.993600000002</v>
      </c>
      <c r="V2130" s="7"/>
      <c r="W2130" s="11">
        <v>2015</v>
      </c>
      <c r="X2130" s="12"/>
    </row>
    <row r="2131" spans="1:24" s="13" customFormat="1" ht="76.5" customHeight="1" outlineLevel="1" x14ac:dyDescent="0.2">
      <c r="A2131" s="1" t="s">
        <v>3908</v>
      </c>
      <c r="B2131" s="38" t="s">
        <v>5277</v>
      </c>
      <c r="C2131" s="2" t="s">
        <v>501</v>
      </c>
      <c r="D2131" s="2" t="s">
        <v>500</v>
      </c>
      <c r="E2131" s="2" t="s">
        <v>499</v>
      </c>
      <c r="F2131" s="39"/>
      <c r="G2131" s="50" t="s">
        <v>3190</v>
      </c>
      <c r="H2131" s="5">
        <v>0</v>
      </c>
      <c r="I2131" s="6">
        <v>710000000</v>
      </c>
      <c r="J2131" s="4" t="s">
        <v>1931</v>
      </c>
      <c r="K2131" s="4" t="s">
        <v>5297</v>
      </c>
      <c r="L2131" s="3" t="s">
        <v>1165</v>
      </c>
      <c r="M2131" s="8" t="s">
        <v>3195</v>
      </c>
      <c r="N2131" s="3" t="s">
        <v>1890</v>
      </c>
      <c r="O2131" s="8" t="s">
        <v>1935</v>
      </c>
      <c r="P2131" s="8">
        <v>796</v>
      </c>
      <c r="Q2131" s="8" t="s">
        <v>3196</v>
      </c>
      <c r="R2131" s="9">
        <v>1</v>
      </c>
      <c r="S2131" s="9">
        <v>9925.89</v>
      </c>
      <c r="T2131" s="10">
        <f t="shared" si="1114"/>
        <v>9925.89</v>
      </c>
      <c r="U2131" s="10">
        <f t="shared" si="1117"/>
        <v>11116.996800000001</v>
      </c>
      <c r="V2131" s="7"/>
      <c r="W2131" s="11">
        <v>2015</v>
      </c>
      <c r="X2131" s="12"/>
    </row>
    <row r="2132" spans="1:24" s="13" customFormat="1" ht="76.5" customHeight="1" outlineLevel="1" x14ac:dyDescent="0.2">
      <c r="A2132" s="1" t="s">
        <v>3909</v>
      </c>
      <c r="B2132" s="38" t="s">
        <v>5277</v>
      </c>
      <c r="C2132" s="70" t="s">
        <v>498</v>
      </c>
      <c r="D2132" s="222" t="s">
        <v>469</v>
      </c>
      <c r="E2132" s="222" t="s">
        <v>497</v>
      </c>
      <c r="F2132" s="222" t="s">
        <v>496</v>
      </c>
      <c r="G2132" s="50" t="s">
        <v>3190</v>
      </c>
      <c r="H2132" s="5">
        <v>0</v>
      </c>
      <c r="I2132" s="6">
        <v>710000000</v>
      </c>
      <c r="J2132" s="4" t="s">
        <v>1931</v>
      </c>
      <c r="K2132" s="4" t="s">
        <v>5297</v>
      </c>
      <c r="L2132" s="3" t="s">
        <v>1165</v>
      </c>
      <c r="M2132" s="8" t="s">
        <v>3195</v>
      </c>
      <c r="N2132" s="3" t="s">
        <v>1890</v>
      </c>
      <c r="O2132" s="8" t="s">
        <v>1935</v>
      </c>
      <c r="P2132" s="8">
        <v>796</v>
      </c>
      <c r="Q2132" s="8" t="s">
        <v>3196</v>
      </c>
      <c r="R2132" s="9">
        <v>4</v>
      </c>
      <c r="S2132" s="9">
        <v>12500</v>
      </c>
      <c r="T2132" s="10">
        <f t="shared" si="1114"/>
        <v>50000</v>
      </c>
      <c r="U2132" s="10">
        <f t="shared" si="1117"/>
        <v>56000.000000000007</v>
      </c>
      <c r="V2132" s="7"/>
      <c r="W2132" s="11">
        <v>2015</v>
      </c>
      <c r="X2132" s="12"/>
    </row>
    <row r="2133" spans="1:24" s="13" customFormat="1" ht="76.5" customHeight="1" outlineLevel="1" x14ac:dyDescent="0.2">
      <c r="A2133" s="1" t="s">
        <v>3910</v>
      </c>
      <c r="B2133" s="38" t="s">
        <v>5277</v>
      </c>
      <c r="C2133" s="2" t="s">
        <v>492</v>
      </c>
      <c r="D2133" s="2" t="s">
        <v>491</v>
      </c>
      <c r="E2133" s="2" t="s">
        <v>490</v>
      </c>
      <c r="F2133" s="39" t="s">
        <v>495</v>
      </c>
      <c r="G2133" s="50" t="s">
        <v>3190</v>
      </c>
      <c r="H2133" s="5">
        <v>0</v>
      </c>
      <c r="I2133" s="6">
        <v>710000000</v>
      </c>
      <c r="J2133" s="4" t="s">
        <v>1931</v>
      </c>
      <c r="K2133" s="4" t="s">
        <v>5297</v>
      </c>
      <c r="L2133" s="3" t="s">
        <v>1165</v>
      </c>
      <c r="M2133" s="8" t="s">
        <v>3195</v>
      </c>
      <c r="N2133" s="3" t="s">
        <v>1890</v>
      </c>
      <c r="O2133" s="8" t="s">
        <v>1935</v>
      </c>
      <c r="P2133" s="8">
        <v>796</v>
      </c>
      <c r="Q2133" s="8" t="s">
        <v>3196</v>
      </c>
      <c r="R2133" s="9">
        <v>2</v>
      </c>
      <c r="S2133" s="9">
        <v>23788.39</v>
      </c>
      <c r="T2133" s="10">
        <f t="shared" si="1114"/>
        <v>47576.78</v>
      </c>
      <c r="U2133" s="10">
        <f t="shared" si="1117"/>
        <v>53285.993600000002</v>
      </c>
      <c r="V2133" s="7"/>
      <c r="W2133" s="11">
        <v>2015</v>
      </c>
      <c r="X2133" s="12"/>
    </row>
    <row r="2134" spans="1:24" s="13" customFormat="1" ht="76.5" customHeight="1" outlineLevel="1" x14ac:dyDescent="0.2">
      <c r="A2134" s="1" t="s">
        <v>3911</v>
      </c>
      <c r="B2134" s="38" t="s">
        <v>5277</v>
      </c>
      <c r="C2134" s="2" t="s">
        <v>492</v>
      </c>
      <c r="D2134" s="2" t="s">
        <v>491</v>
      </c>
      <c r="E2134" s="2" t="s">
        <v>490</v>
      </c>
      <c r="F2134" s="39" t="s">
        <v>494</v>
      </c>
      <c r="G2134" s="50" t="s">
        <v>3190</v>
      </c>
      <c r="H2134" s="5">
        <v>0</v>
      </c>
      <c r="I2134" s="6">
        <v>710000000</v>
      </c>
      <c r="J2134" s="4" t="s">
        <v>1931</v>
      </c>
      <c r="K2134" s="4" t="s">
        <v>5297</v>
      </c>
      <c r="L2134" s="3" t="s">
        <v>1165</v>
      </c>
      <c r="M2134" s="8" t="s">
        <v>3195</v>
      </c>
      <c r="N2134" s="3" t="s">
        <v>1890</v>
      </c>
      <c r="O2134" s="8" t="s">
        <v>1935</v>
      </c>
      <c r="P2134" s="8">
        <v>796</v>
      </c>
      <c r="Q2134" s="8" t="s">
        <v>3196</v>
      </c>
      <c r="R2134" s="9">
        <v>2</v>
      </c>
      <c r="S2134" s="9">
        <v>10611</v>
      </c>
      <c r="T2134" s="10">
        <f t="shared" si="1114"/>
        <v>21222</v>
      </c>
      <c r="U2134" s="10">
        <f t="shared" si="1117"/>
        <v>23768.640000000003</v>
      </c>
      <c r="V2134" s="7"/>
      <c r="W2134" s="11">
        <v>2015</v>
      </c>
      <c r="X2134" s="12"/>
    </row>
    <row r="2135" spans="1:24" s="13" customFormat="1" ht="76.5" customHeight="1" outlineLevel="1" x14ac:dyDescent="0.2">
      <c r="A2135" s="1" t="s">
        <v>3912</v>
      </c>
      <c r="B2135" s="38" t="s">
        <v>5277</v>
      </c>
      <c r="C2135" s="2" t="s">
        <v>492</v>
      </c>
      <c r="D2135" s="2" t="s">
        <v>491</v>
      </c>
      <c r="E2135" s="2" t="s">
        <v>490</v>
      </c>
      <c r="F2135" s="39" t="s">
        <v>493</v>
      </c>
      <c r="G2135" s="50" t="s">
        <v>3190</v>
      </c>
      <c r="H2135" s="5">
        <v>0</v>
      </c>
      <c r="I2135" s="6">
        <v>710000000</v>
      </c>
      <c r="J2135" s="4" t="s">
        <v>1931</v>
      </c>
      <c r="K2135" s="4" t="s">
        <v>5297</v>
      </c>
      <c r="L2135" s="3" t="s">
        <v>1165</v>
      </c>
      <c r="M2135" s="8" t="s">
        <v>3195</v>
      </c>
      <c r="N2135" s="3" t="s">
        <v>1890</v>
      </c>
      <c r="O2135" s="8" t="s">
        <v>1935</v>
      </c>
      <c r="P2135" s="8">
        <v>796</v>
      </c>
      <c r="Q2135" s="8" t="s">
        <v>3196</v>
      </c>
      <c r="R2135" s="9">
        <v>2</v>
      </c>
      <c r="S2135" s="9">
        <v>10611.61</v>
      </c>
      <c r="T2135" s="10">
        <f t="shared" si="1114"/>
        <v>21223.22</v>
      </c>
      <c r="U2135" s="10">
        <f t="shared" si="1117"/>
        <v>23770.006400000002</v>
      </c>
      <c r="V2135" s="7"/>
      <c r="W2135" s="11">
        <v>2015</v>
      </c>
      <c r="X2135" s="12"/>
    </row>
    <row r="2136" spans="1:24" ht="183.75" customHeight="1" outlineLevel="1" x14ac:dyDescent="0.2">
      <c r="A2136" s="1" t="s">
        <v>3913</v>
      </c>
      <c r="B2136" s="220" t="s">
        <v>5277</v>
      </c>
      <c r="C2136" s="2" t="s">
        <v>501</v>
      </c>
      <c r="D2136" s="2" t="s">
        <v>500</v>
      </c>
      <c r="E2136" s="2" t="s">
        <v>499</v>
      </c>
      <c r="F2136" s="39" t="s">
        <v>6751</v>
      </c>
      <c r="G2136" s="50" t="s">
        <v>3190</v>
      </c>
      <c r="H2136" s="5">
        <v>0</v>
      </c>
      <c r="I2136" s="6">
        <v>710000000</v>
      </c>
      <c r="J2136" s="4" t="s">
        <v>1931</v>
      </c>
      <c r="K2136" s="4" t="s">
        <v>5297</v>
      </c>
      <c r="L2136" s="7" t="s">
        <v>5668</v>
      </c>
      <c r="M2136" s="8" t="s">
        <v>3195</v>
      </c>
      <c r="N2136" s="3" t="s">
        <v>1890</v>
      </c>
      <c r="O2136" s="8" t="s">
        <v>1935</v>
      </c>
      <c r="P2136" s="8">
        <v>796</v>
      </c>
      <c r="Q2136" s="8" t="s">
        <v>3196</v>
      </c>
      <c r="R2136" s="221">
        <v>1</v>
      </c>
      <c r="S2136" s="221">
        <v>11165</v>
      </c>
      <c r="T2136" s="10">
        <v>0</v>
      </c>
      <c r="U2136" s="10">
        <f t="shared" si="1117"/>
        <v>0</v>
      </c>
      <c r="V2136" s="7"/>
      <c r="W2136" s="11">
        <v>2015</v>
      </c>
      <c r="X2136" s="198">
        <v>11</v>
      </c>
    </row>
    <row r="2137" spans="1:24" ht="183.75" customHeight="1" outlineLevel="1" x14ac:dyDescent="0.2">
      <c r="A2137" s="1" t="s">
        <v>10175</v>
      </c>
      <c r="B2137" s="220" t="s">
        <v>5277</v>
      </c>
      <c r="C2137" s="2" t="s">
        <v>501</v>
      </c>
      <c r="D2137" s="2" t="s">
        <v>500</v>
      </c>
      <c r="E2137" s="2" t="s">
        <v>499</v>
      </c>
      <c r="F2137" s="39" t="s">
        <v>6751</v>
      </c>
      <c r="G2137" s="50" t="s">
        <v>3190</v>
      </c>
      <c r="H2137" s="5">
        <v>0</v>
      </c>
      <c r="I2137" s="6">
        <v>710000000</v>
      </c>
      <c r="J2137" s="4" t="s">
        <v>1931</v>
      </c>
      <c r="K2137" s="4" t="s">
        <v>10047</v>
      </c>
      <c r="L2137" s="7" t="s">
        <v>5668</v>
      </c>
      <c r="M2137" s="8" t="s">
        <v>3195</v>
      </c>
      <c r="N2137" s="3" t="s">
        <v>1890</v>
      </c>
      <c r="O2137" s="8" t="s">
        <v>1935</v>
      </c>
      <c r="P2137" s="8">
        <v>796</v>
      </c>
      <c r="Q2137" s="8" t="s">
        <v>3196</v>
      </c>
      <c r="R2137" s="221">
        <v>1</v>
      </c>
      <c r="S2137" s="221">
        <v>11165</v>
      </c>
      <c r="T2137" s="10">
        <f t="shared" ref="T2137" si="1124">S2137*R2137</f>
        <v>11165</v>
      </c>
      <c r="U2137" s="10">
        <f t="shared" ref="U2137" si="1125">T2137*1.12</f>
        <v>12504.800000000001</v>
      </c>
      <c r="V2137" s="7"/>
      <c r="W2137" s="11">
        <v>2015</v>
      </c>
      <c r="X2137" s="198"/>
    </row>
    <row r="2138" spans="1:24" s="13" customFormat="1" ht="76.5" customHeight="1" outlineLevel="1" x14ac:dyDescent="0.2">
      <c r="A2138" s="1" t="s">
        <v>3914</v>
      </c>
      <c r="B2138" s="38" t="s">
        <v>5277</v>
      </c>
      <c r="C2138" s="2" t="s">
        <v>466</v>
      </c>
      <c r="D2138" s="2" t="s">
        <v>465</v>
      </c>
      <c r="E2138" s="2" t="s">
        <v>464</v>
      </c>
      <c r="F2138" s="39" t="s">
        <v>463</v>
      </c>
      <c r="G2138" s="50" t="s">
        <v>3190</v>
      </c>
      <c r="H2138" s="5">
        <v>0</v>
      </c>
      <c r="I2138" s="6">
        <v>710000000</v>
      </c>
      <c r="J2138" s="4" t="s">
        <v>1931</v>
      </c>
      <c r="K2138" s="4" t="s">
        <v>5297</v>
      </c>
      <c r="L2138" s="3" t="s">
        <v>1165</v>
      </c>
      <c r="M2138" s="8" t="s">
        <v>3195</v>
      </c>
      <c r="N2138" s="3" t="s">
        <v>1890</v>
      </c>
      <c r="O2138" s="8" t="s">
        <v>1935</v>
      </c>
      <c r="P2138" s="8">
        <v>796</v>
      </c>
      <c r="Q2138" s="8" t="s">
        <v>3196</v>
      </c>
      <c r="R2138" s="9">
        <f>3+1+1+1+1+1</f>
        <v>8</v>
      </c>
      <c r="S2138" s="9">
        <v>11469.64</v>
      </c>
      <c r="T2138" s="10">
        <v>0</v>
      </c>
      <c r="U2138" s="10">
        <f t="shared" si="1117"/>
        <v>0</v>
      </c>
      <c r="V2138" s="7"/>
      <c r="W2138" s="11">
        <v>2015</v>
      </c>
      <c r="X2138" s="12" t="s">
        <v>6562</v>
      </c>
    </row>
    <row r="2139" spans="1:24" s="13" customFormat="1" ht="76.5" customHeight="1" outlineLevel="1" x14ac:dyDescent="0.2">
      <c r="A2139" s="1" t="s">
        <v>6652</v>
      </c>
      <c r="B2139" s="2" t="s">
        <v>5277</v>
      </c>
      <c r="C2139" s="2" t="s">
        <v>466</v>
      </c>
      <c r="D2139" s="2" t="s">
        <v>465</v>
      </c>
      <c r="E2139" s="2" t="s">
        <v>464</v>
      </c>
      <c r="F2139" s="2" t="s">
        <v>463</v>
      </c>
      <c r="G2139" s="3" t="s">
        <v>3190</v>
      </c>
      <c r="H2139" s="5">
        <v>0</v>
      </c>
      <c r="I2139" s="6">
        <v>710000000</v>
      </c>
      <c r="J2139" s="4" t="s">
        <v>1931</v>
      </c>
      <c r="K2139" s="4" t="s">
        <v>5297</v>
      </c>
      <c r="L2139" s="3" t="s">
        <v>1165</v>
      </c>
      <c r="M2139" s="8" t="s">
        <v>3195</v>
      </c>
      <c r="N2139" s="3" t="s">
        <v>1890</v>
      </c>
      <c r="O2139" s="8" t="s">
        <v>1935</v>
      </c>
      <c r="P2139" s="8">
        <v>796</v>
      </c>
      <c r="Q2139" s="8" t="s">
        <v>3196</v>
      </c>
      <c r="R2139" s="69">
        <f>3+1+1+1+1</f>
        <v>7</v>
      </c>
      <c r="S2139" s="69">
        <v>11469.64</v>
      </c>
      <c r="T2139" s="10">
        <v>0</v>
      </c>
      <c r="U2139" s="10">
        <f t="shared" si="1117"/>
        <v>0</v>
      </c>
      <c r="V2139" s="7"/>
      <c r="W2139" s="1">
        <v>2015</v>
      </c>
      <c r="X2139" s="62">
        <v>11</v>
      </c>
    </row>
    <row r="2140" spans="1:24" s="13" customFormat="1" ht="76.5" customHeight="1" outlineLevel="1" x14ac:dyDescent="0.2">
      <c r="A2140" s="1" t="s">
        <v>7702</v>
      </c>
      <c r="B2140" s="2" t="s">
        <v>5277</v>
      </c>
      <c r="C2140" s="2" t="s">
        <v>466</v>
      </c>
      <c r="D2140" s="2" t="s">
        <v>465</v>
      </c>
      <c r="E2140" s="2" t="s">
        <v>464</v>
      </c>
      <c r="F2140" s="2" t="s">
        <v>463</v>
      </c>
      <c r="G2140" s="3" t="s">
        <v>3190</v>
      </c>
      <c r="H2140" s="5">
        <v>0</v>
      </c>
      <c r="I2140" s="6">
        <v>710000000</v>
      </c>
      <c r="J2140" s="4" t="s">
        <v>1931</v>
      </c>
      <c r="K2140" s="4" t="s">
        <v>756</v>
      </c>
      <c r="L2140" s="3" t="s">
        <v>1165</v>
      </c>
      <c r="M2140" s="8" t="s">
        <v>3195</v>
      </c>
      <c r="N2140" s="3" t="s">
        <v>1890</v>
      </c>
      <c r="O2140" s="8" t="s">
        <v>1935</v>
      </c>
      <c r="P2140" s="8">
        <v>796</v>
      </c>
      <c r="Q2140" s="8" t="s">
        <v>3196</v>
      </c>
      <c r="R2140" s="69">
        <f>3+1+1+1+1</f>
        <v>7</v>
      </c>
      <c r="S2140" s="69">
        <v>11469.64</v>
      </c>
      <c r="T2140" s="10">
        <f t="shared" ref="T2140" si="1126">S2140*R2140</f>
        <v>80287.48</v>
      </c>
      <c r="U2140" s="10">
        <f t="shared" ref="U2140" si="1127">T2140*1.12</f>
        <v>89921.977599999998</v>
      </c>
      <c r="V2140" s="7"/>
      <c r="W2140" s="1">
        <v>2015</v>
      </c>
      <c r="X2140" s="62"/>
    </row>
    <row r="2141" spans="1:24" s="13" customFormat="1" ht="76.5" customHeight="1" outlineLevel="1" x14ac:dyDescent="0.2">
      <c r="A2141" s="1" t="s">
        <v>3915</v>
      </c>
      <c r="B2141" s="2" t="s">
        <v>5277</v>
      </c>
      <c r="C2141" s="2" t="s">
        <v>466</v>
      </c>
      <c r="D2141" s="2" t="s">
        <v>465</v>
      </c>
      <c r="E2141" s="2" t="s">
        <v>464</v>
      </c>
      <c r="F2141" s="2" t="s">
        <v>489</v>
      </c>
      <c r="G2141" s="3" t="s">
        <v>3190</v>
      </c>
      <c r="H2141" s="5">
        <v>0</v>
      </c>
      <c r="I2141" s="6">
        <v>710000000</v>
      </c>
      <c r="J2141" s="4" t="s">
        <v>1931</v>
      </c>
      <c r="K2141" s="4" t="s">
        <v>5297</v>
      </c>
      <c r="L2141" s="3" t="s">
        <v>1165</v>
      </c>
      <c r="M2141" s="8" t="s">
        <v>3195</v>
      </c>
      <c r="N2141" s="3" t="s">
        <v>1890</v>
      </c>
      <c r="O2141" s="8" t="s">
        <v>1935</v>
      </c>
      <c r="P2141" s="8">
        <v>796</v>
      </c>
      <c r="Q2141" s="8" t="s">
        <v>3196</v>
      </c>
      <c r="R2141" s="69">
        <f>3+2+1+1</f>
        <v>7</v>
      </c>
      <c r="S2141" s="69">
        <v>25058</v>
      </c>
      <c r="T2141" s="10">
        <v>0</v>
      </c>
      <c r="U2141" s="10">
        <f t="shared" si="1117"/>
        <v>0</v>
      </c>
      <c r="V2141" s="7"/>
      <c r="W2141" s="1">
        <v>2015</v>
      </c>
      <c r="X2141" s="62">
        <v>11</v>
      </c>
    </row>
    <row r="2142" spans="1:24" s="13" customFormat="1" ht="76.5" customHeight="1" outlineLevel="1" x14ac:dyDescent="0.2">
      <c r="A2142" s="1" t="s">
        <v>7703</v>
      </c>
      <c r="B2142" s="2" t="s">
        <v>5277</v>
      </c>
      <c r="C2142" s="2" t="s">
        <v>466</v>
      </c>
      <c r="D2142" s="2" t="s">
        <v>465</v>
      </c>
      <c r="E2142" s="2" t="s">
        <v>464</v>
      </c>
      <c r="F2142" s="2" t="s">
        <v>489</v>
      </c>
      <c r="G2142" s="3" t="s">
        <v>3190</v>
      </c>
      <c r="H2142" s="5">
        <v>0</v>
      </c>
      <c r="I2142" s="6">
        <v>710000000</v>
      </c>
      <c r="J2142" s="4" t="s">
        <v>1931</v>
      </c>
      <c r="K2142" s="4" t="s">
        <v>756</v>
      </c>
      <c r="L2142" s="3" t="s">
        <v>1165</v>
      </c>
      <c r="M2142" s="8" t="s">
        <v>3195</v>
      </c>
      <c r="N2142" s="3" t="s">
        <v>1890</v>
      </c>
      <c r="O2142" s="8" t="s">
        <v>1935</v>
      </c>
      <c r="P2142" s="8">
        <v>796</v>
      </c>
      <c r="Q2142" s="8" t="s">
        <v>3196</v>
      </c>
      <c r="R2142" s="69">
        <f>3+2+1+1</f>
        <v>7</v>
      </c>
      <c r="S2142" s="69">
        <v>25058</v>
      </c>
      <c r="T2142" s="10">
        <f t="shared" ref="T2142" si="1128">S2142*R2142</f>
        <v>175406</v>
      </c>
      <c r="U2142" s="10">
        <f t="shared" ref="U2142" si="1129">T2142*1.12</f>
        <v>196454.72000000003</v>
      </c>
      <c r="V2142" s="7"/>
      <c r="W2142" s="1">
        <v>2015</v>
      </c>
      <c r="X2142" s="62"/>
    </row>
    <row r="2143" spans="1:24" s="13" customFormat="1" ht="76.5" customHeight="1" outlineLevel="1" x14ac:dyDescent="0.2">
      <c r="A2143" s="1" t="s">
        <v>3916</v>
      </c>
      <c r="B2143" s="38" t="s">
        <v>5277</v>
      </c>
      <c r="C2143" s="2" t="s">
        <v>484</v>
      </c>
      <c r="D2143" s="2" t="s">
        <v>483</v>
      </c>
      <c r="E2143" s="2" t="s">
        <v>482</v>
      </c>
      <c r="F2143" s="39" t="s">
        <v>488</v>
      </c>
      <c r="G2143" s="50" t="s">
        <v>3190</v>
      </c>
      <c r="H2143" s="5">
        <v>0</v>
      </c>
      <c r="I2143" s="6">
        <v>710000000</v>
      </c>
      <c r="J2143" s="4" t="s">
        <v>1931</v>
      </c>
      <c r="K2143" s="4" t="s">
        <v>5297</v>
      </c>
      <c r="L2143" s="3" t="s">
        <v>1165</v>
      </c>
      <c r="M2143" s="8" t="s">
        <v>3195</v>
      </c>
      <c r="N2143" s="3" t="s">
        <v>1890</v>
      </c>
      <c r="O2143" s="8" t="s">
        <v>1935</v>
      </c>
      <c r="P2143" s="8">
        <v>796</v>
      </c>
      <c r="Q2143" s="8" t="s">
        <v>3196</v>
      </c>
      <c r="R2143" s="9">
        <v>20</v>
      </c>
      <c r="S2143" s="9">
        <v>1050</v>
      </c>
      <c r="T2143" s="10">
        <v>0</v>
      </c>
      <c r="U2143" s="10">
        <f t="shared" si="1117"/>
        <v>0</v>
      </c>
      <c r="V2143" s="7"/>
      <c r="W2143" s="11">
        <v>2015</v>
      </c>
      <c r="X2143" s="12" t="s">
        <v>7518</v>
      </c>
    </row>
    <row r="2144" spans="1:24" s="13" customFormat="1" ht="76.5" customHeight="1" outlineLevel="1" x14ac:dyDescent="0.2">
      <c r="A2144" s="1" t="s">
        <v>9131</v>
      </c>
      <c r="B2144" s="38" t="s">
        <v>5277</v>
      </c>
      <c r="C2144" s="2" t="s">
        <v>484</v>
      </c>
      <c r="D2144" s="2" t="s">
        <v>483</v>
      </c>
      <c r="E2144" s="2" t="s">
        <v>482</v>
      </c>
      <c r="F2144" s="39" t="s">
        <v>488</v>
      </c>
      <c r="G2144" s="50" t="s">
        <v>3190</v>
      </c>
      <c r="H2144" s="5">
        <v>0</v>
      </c>
      <c r="I2144" s="6">
        <v>710000000</v>
      </c>
      <c r="J2144" s="4" t="s">
        <v>1931</v>
      </c>
      <c r="K2144" s="4" t="s">
        <v>9078</v>
      </c>
      <c r="L2144" s="3" t="s">
        <v>1165</v>
      </c>
      <c r="M2144" s="8" t="s">
        <v>3195</v>
      </c>
      <c r="N2144" s="3" t="s">
        <v>1890</v>
      </c>
      <c r="O2144" s="8" t="s">
        <v>1935</v>
      </c>
      <c r="P2144" s="8">
        <v>796</v>
      </c>
      <c r="Q2144" s="8" t="s">
        <v>3196</v>
      </c>
      <c r="R2144" s="9">
        <f>20+15</f>
        <v>35</v>
      </c>
      <c r="S2144" s="9">
        <v>1050</v>
      </c>
      <c r="T2144" s="10">
        <f t="shared" ref="T2144" si="1130">S2144*R2144</f>
        <v>36750</v>
      </c>
      <c r="U2144" s="10">
        <f t="shared" ref="U2144" si="1131">T2144*1.12</f>
        <v>41160.000000000007</v>
      </c>
      <c r="V2144" s="7"/>
      <c r="W2144" s="11">
        <v>2015</v>
      </c>
      <c r="X2144" s="12"/>
    </row>
    <row r="2145" spans="1:24" s="13" customFormat="1" ht="76.5" customHeight="1" outlineLevel="1" x14ac:dyDescent="0.2">
      <c r="A2145" s="1" t="s">
        <v>3917</v>
      </c>
      <c r="B2145" s="38" t="s">
        <v>5277</v>
      </c>
      <c r="C2145" s="2" t="s">
        <v>484</v>
      </c>
      <c r="D2145" s="2" t="s">
        <v>483</v>
      </c>
      <c r="E2145" s="2" t="s">
        <v>482</v>
      </c>
      <c r="F2145" s="128" t="s">
        <v>487</v>
      </c>
      <c r="G2145" s="50" t="s">
        <v>3190</v>
      </c>
      <c r="H2145" s="5">
        <v>0</v>
      </c>
      <c r="I2145" s="6">
        <v>710000000</v>
      </c>
      <c r="J2145" s="4" t="s">
        <v>1931</v>
      </c>
      <c r="K2145" s="4" t="s">
        <v>5297</v>
      </c>
      <c r="L2145" s="3" t="s">
        <v>1165</v>
      </c>
      <c r="M2145" s="8" t="s">
        <v>3195</v>
      </c>
      <c r="N2145" s="3" t="s">
        <v>1890</v>
      </c>
      <c r="O2145" s="8" t="s">
        <v>1935</v>
      </c>
      <c r="P2145" s="8">
        <v>796</v>
      </c>
      <c r="Q2145" s="8" t="s">
        <v>3196</v>
      </c>
      <c r="R2145" s="9">
        <v>40</v>
      </c>
      <c r="S2145" s="9">
        <v>1481.25</v>
      </c>
      <c r="T2145" s="10">
        <v>0</v>
      </c>
      <c r="U2145" s="10">
        <f t="shared" si="1117"/>
        <v>0</v>
      </c>
      <c r="V2145" s="7"/>
      <c r="W2145" s="11">
        <v>2015</v>
      </c>
      <c r="X2145" s="12" t="s">
        <v>7518</v>
      </c>
    </row>
    <row r="2146" spans="1:24" s="13" customFormat="1" ht="76.5" customHeight="1" outlineLevel="1" x14ac:dyDescent="0.2">
      <c r="A2146" s="1" t="s">
        <v>9132</v>
      </c>
      <c r="B2146" s="38" t="s">
        <v>5277</v>
      </c>
      <c r="C2146" s="2" t="s">
        <v>484</v>
      </c>
      <c r="D2146" s="2" t="s">
        <v>483</v>
      </c>
      <c r="E2146" s="2" t="s">
        <v>482</v>
      </c>
      <c r="F2146" s="128" t="s">
        <v>487</v>
      </c>
      <c r="G2146" s="50" t="s">
        <v>3190</v>
      </c>
      <c r="H2146" s="5">
        <v>0</v>
      </c>
      <c r="I2146" s="6">
        <v>710000000</v>
      </c>
      <c r="J2146" s="4" t="s">
        <v>1931</v>
      </c>
      <c r="K2146" s="4" t="s">
        <v>9078</v>
      </c>
      <c r="L2146" s="3" t="s">
        <v>1165</v>
      </c>
      <c r="M2146" s="8" t="s">
        <v>3195</v>
      </c>
      <c r="N2146" s="3" t="s">
        <v>1890</v>
      </c>
      <c r="O2146" s="8" t="s">
        <v>1935</v>
      </c>
      <c r="P2146" s="8">
        <v>796</v>
      </c>
      <c r="Q2146" s="8" t="s">
        <v>3196</v>
      </c>
      <c r="R2146" s="9">
        <f>40+20</f>
        <v>60</v>
      </c>
      <c r="S2146" s="9">
        <v>1481.25</v>
      </c>
      <c r="T2146" s="10">
        <f t="shared" ref="T2146" si="1132">S2146*R2146</f>
        <v>88875</v>
      </c>
      <c r="U2146" s="10">
        <f t="shared" ref="U2146" si="1133">T2146*1.12</f>
        <v>99540.000000000015</v>
      </c>
      <c r="V2146" s="7"/>
      <c r="W2146" s="11">
        <v>2015</v>
      </c>
      <c r="X2146" s="12"/>
    </row>
    <row r="2147" spans="1:24" s="13" customFormat="1" ht="76.5" customHeight="1" outlineLevel="1" x14ac:dyDescent="0.2">
      <c r="A2147" s="1" t="s">
        <v>3918</v>
      </c>
      <c r="B2147" s="38" t="s">
        <v>5277</v>
      </c>
      <c r="C2147" s="2" t="s">
        <v>484</v>
      </c>
      <c r="D2147" s="2" t="s">
        <v>483</v>
      </c>
      <c r="E2147" s="2" t="s">
        <v>482</v>
      </c>
      <c r="F2147" s="128" t="s">
        <v>486</v>
      </c>
      <c r="G2147" s="50" t="s">
        <v>3190</v>
      </c>
      <c r="H2147" s="5">
        <v>0</v>
      </c>
      <c r="I2147" s="6">
        <v>710000000</v>
      </c>
      <c r="J2147" s="4" t="s">
        <v>1931</v>
      </c>
      <c r="K2147" s="4" t="s">
        <v>5297</v>
      </c>
      <c r="L2147" s="3" t="s">
        <v>1165</v>
      </c>
      <c r="M2147" s="8" t="s">
        <v>3195</v>
      </c>
      <c r="N2147" s="3" t="s">
        <v>1890</v>
      </c>
      <c r="O2147" s="8" t="s">
        <v>1935</v>
      </c>
      <c r="P2147" s="8">
        <v>796</v>
      </c>
      <c r="Q2147" s="8" t="s">
        <v>3196</v>
      </c>
      <c r="R2147" s="9">
        <v>40</v>
      </c>
      <c r="S2147" s="9">
        <v>1719.64</v>
      </c>
      <c r="T2147" s="10">
        <v>0</v>
      </c>
      <c r="U2147" s="10">
        <f t="shared" si="1117"/>
        <v>0</v>
      </c>
      <c r="V2147" s="7"/>
      <c r="W2147" s="11">
        <v>2015</v>
      </c>
      <c r="X2147" s="12" t="s">
        <v>7518</v>
      </c>
    </row>
    <row r="2148" spans="1:24" s="13" customFormat="1" ht="76.5" customHeight="1" outlineLevel="1" x14ac:dyDescent="0.2">
      <c r="A2148" s="1" t="s">
        <v>9133</v>
      </c>
      <c r="B2148" s="38" t="s">
        <v>5277</v>
      </c>
      <c r="C2148" s="2" t="s">
        <v>484</v>
      </c>
      <c r="D2148" s="2" t="s">
        <v>483</v>
      </c>
      <c r="E2148" s="2" t="s">
        <v>482</v>
      </c>
      <c r="F2148" s="128" t="s">
        <v>486</v>
      </c>
      <c r="G2148" s="50" t="s">
        <v>3190</v>
      </c>
      <c r="H2148" s="5">
        <v>0</v>
      </c>
      <c r="I2148" s="6">
        <v>710000000</v>
      </c>
      <c r="J2148" s="4" t="s">
        <v>1931</v>
      </c>
      <c r="K2148" s="4" t="s">
        <v>9078</v>
      </c>
      <c r="L2148" s="3" t="s">
        <v>1165</v>
      </c>
      <c r="M2148" s="8" t="s">
        <v>3195</v>
      </c>
      <c r="N2148" s="3" t="s">
        <v>1890</v>
      </c>
      <c r="O2148" s="8" t="s">
        <v>1935</v>
      </c>
      <c r="P2148" s="8">
        <v>796</v>
      </c>
      <c r="Q2148" s="8" t="s">
        <v>3196</v>
      </c>
      <c r="R2148" s="9">
        <f>40+20</f>
        <v>60</v>
      </c>
      <c r="S2148" s="9">
        <v>1719.64</v>
      </c>
      <c r="T2148" s="10">
        <f t="shared" ref="T2148" si="1134">S2148*R2148</f>
        <v>103178.40000000001</v>
      </c>
      <c r="U2148" s="10">
        <f t="shared" ref="U2148" si="1135">T2148*1.12</f>
        <v>115559.80800000002</v>
      </c>
      <c r="V2148" s="7"/>
      <c r="W2148" s="11">
        <v>2015</v>
      </c>
      <c r="X2148" s="12"/>
    </row>
    <row r="2149" spans="1:24" s="13" customFormat="1" ht="76.5" customHeight="1" outlineLevel="1" x14ac:dyDescent="0.2">
      <c r="A2149" s="1" t="s">
        <v>3919</v>
      </c>
      <c r="B2149" s="38" t="s">
        <v>5277</v>
      </c>
      <c r="C2149" s="2" t="s">
        <v>484</v>
      </c>
      <c r="D2149" s="2" t="s">
        <v>483</v>
      </c>
      <c r="E2149" s="2" t="s">
        <v>482</v>
      </c>
      <c r="F2149" s="128" t="s">
        <v>486</v>
      </c>
      <c r="G2149" s="50" t="s">
        <v>3190</v>
      </c>
      <c r="H2149" s="5">
        <v>0</v>
      </c>
      <c r="I2149" s="6">
        <v>710000000</v>
      </c>
      <c r="J2149" s="4" t="s">
        <v>1931</v>
      </c>
      <c r="K2149" s="4" t="s">
        <v>5297</v>
      </c>
      <c r="L2149" s="3" t="s">
        <v>1165</v>
      </c>
      <c r="M2149" s="8" t="s">
        <v>3195</v>
      </c>
      <c r="N2149" s="3" t="s">
        <v>1890</v>
      </c>
      <c r="O2149" s="8" t="s">
        <v>1935</v>
      </c>
      <c r="P2149" s="8">
        <v>796</v>
      </c>
      <c r="Q2149" s="8" t="s">
        <v>3196</v>
      </c>
      <c r="R2149" s="9">
        <v>15</v>
      </c>
      <c r="S2149" s="9">
        <v>13821</v>
      </c>
      <c r="T2149" s="10">
        <v>0</v>
      </c>
      <c r="U2149" s="10">
        <f t="shared" si="1117"/>
        <v>0</v>
      </c>
      <c r="V2149" s="7"/>
      <c r="W2149" s="11">
        <v>2015</v>
      </c>
      <c r="X2149" s="12" t="s">
        <v>7518</v>
      </c>
    </row>
    <row r="2150" spans="1:24" s="13" customFormat="1" ht="76.5" customHeight="1" outlineLevel="1" x14ac:dyDescent="0.2">
      <c r="A2150" s="1" t="s">
        <v>9134</v>
      </c>
      <c r="B2150" s="38" t="s">
        <v>5277</v>
      </c>
      <c r="C2150" s="2" t="s">
        <v>484</v>
      </c>
      <c r="D2150" s="2" t="s">
        <v>483</v>
      </c>
      <c r="E2150" s="2" t="s">
        <v>482</v>
      </c>
      <c r="F2150" s="128" t="s">
        <v>486</v>
      </c>
      <c r="G2150" s="50" t="s">
        <v>3190</v>
      </c>
      <c r="H2150" s="5">
        <v>0</v>
      </c>
      <c r="I2150" s="6">
        <v>710000000</v>
      </c>
      <c r="J2150" s="4" t="s">
        <v>1931</v>
      </c>
      <c r="K2150" s="4" t="s">
        <v>9078</v>
      </c>
      <c r="L2150" s="3" t="s">
        <v>1165</v>
      </c>
      <c r="M2150" s="8" t="s">
        <v>3195</v>
      </c>
      <c r="N2150" s="3" t="s">
        <v>1890</v>
      </c>
      <c r="O2150" s="8" t="s">
        <v>1935</v>
      </c>
      <c r="P2150" s="8">
        <v>796</v>
      </c>
      <c r="Q2150" s="8" t="s">
        <v>3196</v>
      </c>
      <c r="R2150" s="9">
        <f>15+10</f>
        <v>25</v>
      </c>
      <c r="S2150" s="9">
        <v>13821</v>
      </c>
      <c r="T2150" s="10">
        <f t="shared" ref="T2150" si="1136">S2150*R2150</f>
        <v>345525</v>
      </c>
      <c r="U2150" s="10">
        <f t="shared" ref="U2150" si="1137">T2150*1.12</f>
        <v>386988.00000000006</v>
      </c>
      <c r="V2150" s="7"/>
      <c r="W2150" s="11">
        <v>2015</v>
      </c>
      <c r="X2150" s="12"/>
    </row>
    <row r="2151" spans="1:24" s="13" customFormat="1" ht="76.5" customHeight="1" outlineLevel="1" x14ac:dyDescent="0.2">
      <c r="A2151" s="1" t="s">
        <v>3920</v>
      </c>
      <c r="B2151" s="38" t="s">
        <v>5277</v>
      </c>
      <c r="C2151" s="2" t="s">
        <v>484</v>
      </c>
      <c r="D2151" s="2" t="s">
        <v>483</v>
      </c>
      <c r="E2151" s="2" t="s">
        <v>482</v>
      </c>
      <c r="F2151" s="128" t="s">
        <v>485</v>
      </c>
      <c r="G2151" s="50" t="s">
        <v>3190</v>
      </c>
      <c r="H2151" s="5">
        <v>0</v>
      </c>
      <c r="I2151" s="6">
        <v>710000000</v>
      </c>
      <c r="J2151" s="4" t="s">
        <v>1931</v>
      </c>
      <c r="K2151" s="4" t="s">
        <v>5297</v>
      </c>
      <c r="L2151" s="3" t="s">
        <v>1165</v>
      </c>
      <c r="M2151" s="8" t="s">
        <v>3195</v>
      </c>
      <c r="N2151" s="3" t="s">
        <v>1890</v>
      </c>
      <c r="O2151" s="8" t="s">
        <v>1935</v>
      </c>
      <c r="P2151" s="8">
        <v>796</v>
      </c>
      <c r="Q2151" s="8" t="s">
        <v>3196</v>
      </c>
      <c r="R2151" s="9">
        <v>15</v>
      </c>
      <c r="S2151" s="9">
        <v>478</v>
      </c>
      <c r="T2151" s="10">
        <v>0</v>
      </c>
      <c r="U2151" s="10">
        <f t="shared" si="1117"/>
        <v>0</v>
      </c>
      <c r="V2151" s="7"/>
      <c r="W2151" s="11">
        <v>2015</v>
      </c>
      <c r="X2151" s="12" t="s">
        <v>7518</v>
      </c>
    </row>
    <row r="2152" spans="1:24" s="13" customFormat="1" ht="76.5" customHeight="1" outlineLevel="1" x14ac:dyDescent="0.2">
      <c r="A2152" s="1" t="s">
        <v>9135</v>
      </c>
      <c r="B2152" s="38" t="s">
        <v>5277</v>
      </c>
      <c r="C2152" s="2" t="s">
        <v>484</v>
      </c>
      <c r="D2152" s="2" t="s">
        <v>483</v>
      </c>
      <c r="E2152" s="2" t="s">
        <v>482</v>
      </c>
      <c r="F2152" s="128" t="s">
        <v>485</v>
      </c>
      <c r="G2152" s="50" t="s">
        <v>3190</v>
      </c>
      <c r="H2152" s="5">
        <v>0</v>
      </c>
      <c r="I2152" s="6">
        <v>710000000</v>
      </c>
      <c r="J2152" s="4" t="s">
        <v>1931</v>
      </c>
      <c r="K2152" s="4" t="s">
        <v>9078</v>
      </c>
      <c r="L2152" s="3" t="s">
        <v>1165</v>
      </c>
      <c r="M2152" s="8" t="s">
        <v>3195</v>
      </c>
      <c r="N2152" s="3" t="s">
        <v>1890</v>
      </c>
      <c r="O2152" s="8" t="s">
        <v>1935</v>
      </c>
      <c r="P2152" s="8">
        <v>796</v>
      </c>
      <c r="Q2152" s="8" t="s">
        <v>3196</v>
      </c>
      <c r="R2152" s="9">
        <f>15+10</f>
        <v>25</v>
      </c>
      <c r="S2152" s="9">
        <v>478</v>
      </c>
      <c r="T2152" s="10">
        <f t="shared" ref="T2152" si="1138">S2152*R2152</f>
        <v>11950</v>
      </c>
      <c r="U2152" s="10">
        <f t="shared" ref="U2152" si="1139">T2152*1.12</f>
        <v>13384.000000000002</v>
      </c>
      <c r="V2152" s="7"/>
      <c r="W2152" s="11">
        <v>2015</v>
      </c>
      <c r="X2152" s="12"/>
    </row>
    <row r="2153" spans="1:24" s="13" customFormat="1" ht="76.5" customHeight="1" outlineLevel="1" x14ac:dyDescent="0.2">
      <c r="A2153" s="1" t="s">
        <v>3921</v>
      </c>
      <c r="B2153" s="38" t="s">
        <v>5277</v>
      </c>
      <c r="C2153" s="2" t="s">
        <v>484</v>
      </c>
      <c r="D2153" s="2" t="s">
        <v>483</v>
      </c>
      <c r="E2153" s="2" t="s">
        <v>482</v>
      </c>
      <c r="F2153" s="128" t="s">
        <v>481</v>
      </c>
      <c r="G2153" s="50" t="s">
        <v>3190</v>
      </c>
      <c r="H2153" s="5">
        <v>0</v>
      </c>
      <c r="I2153" s="6">
        <v>710000000</v>
      </c>
      <c r="J2153" s="4" t="s">
        <v>1931</v>
      </c>
      <c r="K2153" s="4" t="s">
        <v>5297</v>
      </c>
      <c r="L2153" s="3" t="s">
        <v>1165</v>
      </c>
      <c r="M2153" s="8" t="s">
        <v>3195</v>
      </c>
      <c r="N2153" s="3" t="s">
        <v>1890</v>
      </c>
      <c r="O2153" s="8" t="s">
        <v>1935</v>
      </c>
      <c r="P2153" s="8">
        <v>796</v>
      </c>
      <c r="Q2153" s="8" t="s">
        <v>3196</v>
      </c>
      <c r="R2153" s="9">
        <v>10</v>
      </c>
      <c r="S2153" s="9">
        <v>1146</v>
      </c>
      <c r="T2153" s="10">
        <v>0</v>
      </c>
      <c r="U2153" s="10">
        <f t="shared" si="1117"/>
        <v>0</v>
      </c>
      <c r="V2153" s="7"/>
      <c r="W2153" s="11">
        <v>2015</v>
      </c>
      <c r="X2153" s="12" t="s">
        <v>7518</v>
      </c>
    </row>
    <row r="2154" spans="1:24" s="13" customFormat="1" ht="76.5" customHeight="1" outlineLevel="1" x14ac:dyDescent="0.2">
      <c r="A2154" s="1" t="s">
        <v>9136</v>
      </c>
      <c r="B2154" s="38" t="s">
        <v>5277</v>
      </c>
      <c r="C2154" s="2" t="s">
        <v>484</v>
      </c>
      <c r="D2154" s="2" t="s">
        <v>483</v>
      </c>
      <c r="E2154" s="2" t="s">
        <v>482</v>
      </c>
      <c r="F2154" s="128" t="s">
        <v>481</v>
      </c>
      <c r="G2154" s="50" t="s">
        <v>3190</v>
      </c>
      <c r="H2154" s="5">
        <v>0</v>
      </c>
      <c r="I2154" s="6">
        <v>710000000</v>
      </c>
      <c r="J2154" s="4" t="s">
        <v>1931</v>
      </c>
      <c r="K2154" s="4" t="s">
        <v>9078</v>
      </c>
      <c r="L2154" s="3" t="s">
        <v>1165</v>
      </c>
      <c r="M2154" s="8" t="s">
        <v>3195</v>
      </c>
      <c r="N2154" s="3" t="s">
        <v>1890</v>
      </c>
      <c r="O2154" s="8" t="s">
        <v>1935</v>
      </c>
      <c r="P2154" s="8">
        <v>796</v>
      </c>
      <c r="Q2154" s="8" t="s">
        <v>3196</v>
      </c>
      <c r="R2154" s="9">
        <f>10+5</f>
        <v>15</v>
      </c>
      <c r="S2154" s="9">
        <v>1146</v>
      </c>
      <c r="T2154" s="10">
        <f t="shared" ref="T2154" si="1140">S2154*R2154</f>
        <v>17190</v>
      </c>
      <c r="U2154" s="10">
        <f t="shared" ref="U2154" si="1141">T2154*1.12</f>
        <v>19252.800000000003</v>
      </c>
      <c r="V2154" s="7"/>
      <c r="W2154" s="11">
        <v>2015</v>
      </c>
      <c r="X2154" s="12"/>
    </row>
    <row r="2155" spans="1:24" s="13" customFormat="1" ht="76.5" customHeight="1" outlineLevel="1" x14ac:dyDescent="0.2">
      <c r="A2155" s="1" t="s">
        <v>3922</v>
      </c>
      <c r="B2155" s="38" t="s">
        <v>5277</v>
      </c>
      <c r="C2155" s="2" t="s">
        <v>480</v>
      </c>
      <c r="D2155" s="2" t="s">
        <v>479</v>
      </c>
      <c r="E2155" s="2" t="s">
        <v>478</v>
      </c>
      <c r="F2155" s="39" t="s">
        <v>477</v>
      </c>
      <c r="G2155" s="50" t="s">
        <v>3190</v>
      </c>
      <c r="H2155" s="5">
        <v>0</v>
      </c>
      <c r="I2155" s="6">
        <v>710000000</v>
      </c>
      <c r="J2155" s="4" t="s">
        <v>1931</v>
      </c>
      <c r="K2155" s="4" t="s">
        <v>5297</v>
      </c>
      <c r="L2155" s="3" t="s">
        <v>1165</v>
      </c>
      <c r="M2155" s="8" t="s">
        <v>3195</v>
      </c>
      <c r="N2155" s="3" t="s">
        <v>1890</v>
      </c>
      <c r="O2155" s="8" t="s">
        <v>1935</v>
      </c>
      <c r="P2155" s="8">
        <v>796</v>
      </c>
      <c r="Q2155" s="8" t="s">
        <v>3196</v>
      </c>
      <c r="R2155" s="9">
        <v>2</v>
      </c>
      <c r="S2155" s="9">
        <v>1000</v>
      </c>
      <c r="T2155" s="10">
        <v>0</v>
      </c>
      <c r="U2155" s="10">
        <f t="shared" si="1117"/>
        <v>0</v>
      </c>
      <c r="V2155" s="7"/>
      <c r="W2155" s="11">
        <v>2015</v>
      </c>
      <c r="X2155" s="12" t="s">
        <v>7518</v>
      </c>
    </row>
    <row r="2156" spans="1:24" s="13" customFormat="1" ht="76.5" customHeight="1" outlineLevel="1" x14ac:dyDescent="0.2">
      <c r="A2156" s="1" t="s">
        <v>9137</v>
      </c>
      <c r="B2156" s="38" t="s">
        <v>5277</v>
      </c>
      <c r="C2156" s="2" t="s">
        <v>480</v>
      </c>
      <c r="D2156" s="2" t="s">
        <v>479</v>
      </c>
      <c r="E2156" s="2" t="s">
        <v>478</v>
      </c>
      <c r="F2156" s="39" t="s">
        <v>477</v>
      </c>
      <c r="G2156" s="50" t="s">
        <v>3190</v>
      </c>
      <c r="H2156" s="5">
        <v>0</v>
      </c>
      <c r="I2156" s="6">
        <v>710000000</v>
      </c>
      <c r="J2156" s="4" t="s">
        <v>1931</v>
      </c>
      <c r="K2156" s="4" t="s">
        <v>9078</v>
      </c>
      <c r="L2156" s="3" t="s">
        <v>1165</v>
      </c>
      <c r="M2156" s="8" t="s">
        <v>3195</v>
      </c>
      <c r="N2156" s="3" t="s">
        <v>1890</v>
      </c>
      <c r="O2156" s="8" t="s">
        <v>1935</v>
      </c>
      <c r="P2156" s="8">
        <v>796</v>
      </c>
      <c r="Q2156" s="8" t="s">
        <v>3196</v>
      </c>
      <c r="R2156" s="9">
        <f>1+2</f>
        <v>3</v>
      </c>
      <c r="S2156" s="9">
        <v>1000</v>
      </c>
      <c r="T2156" s="10">
        <f t="shared" ref="T2156" si="1142">S2156*R2156</f>
        <v>3000</v>
      </c>
      <c r="U2156" s="10">
        <f t="shared" ref="U2156" si="1143">T2156*1.12</f>
        <v>3360.0000000000005</v>
      </c>
      <c r="V2156" s="7"/>
      <c r="W2156" s="11">
        <v>2015</v>
      </c>
      <c r="X2156" s="12"/>
    </row>
    <row r="2157" spans="1:24" s="13" customFormat="1" ht="76.5" customHeight="1" outlineLevel="1" x14ac:dyDescent="0.2">
      <c r="A2157" s="1" t="s">
        <v>3923</v>
      </c>
      <c r="B2157" s="38" t="s">
        <v>5277</v>
      </c>
      <c r="C2157" s="2" t="s">
        <v>476</v>
      </c>
      <c r="D2157" s="2" t="s">
        <v>475</v>
      </c>
      <c r="E2157" s="2" t="s">
        <v>474</v>
      </c>
      <c r="F2157" s="39"/>
      <c r="G2157" s="50" t="s">
        <v>3190</v>
      </c>
      <c r="H2157" s="5">
        <v>0</v>
      </c>
      <c r="I2157" s="6">
        <v>710000000</v>
      </c>
      <c r="J2157" s="4" t="s">
        <v>1931</v>
      </c>
      <c r="K2157" s="4" t="s">
        <v>5297</v>
      </c>
      <c r="L2157" s="3" t="s">
        <v>1165</v>
      </c>
      <c r="M2157" s="8" t="s">
        <v>3195</v>
      </c>
      <c r="N2157" s="3" t="s">
        <v>1890</v>
      </c>
      <c r="O2157" s="8" t="s">
        <v>1935</v>
      </c>
      <c r="P2157" s="8">
        <v>796</v>
      </c>
      <c r="Q2157" s="8" t="s">
        <v>3196</v>
      </c>
      <c r="R2157" s="9">
        <v>2</v>
      </c>
      <c r="S2157" s="9">
        <v>1433</v>
      </c>
      <c r="T2157" s="10">
        <v>0</v>
      </c>
      <c r="U2157" s="10">
        <f t="shared" si="1117"/>
        <v>0</v>
      </c>
      <c r="V2157" s="7"/>
      <c r="W2157" s="11">
        <v>2015</v>
      </c>
      <c r="X2157" s="12" t="s">
        <v>7518</v>
      </c>
    </row>
    <row r="2158" spans="1:24" s="13" customFormat="1" ht="76.5" customHeight="1" outlineLevel="1" x14ac:dyDescent="0.2">
      <c r="A2158" s="1" t="s">
        <v>9138</v>
      </c>
      <c r="B2158" s="38" t="s">
        <v>5277</v>
      </c>
      <c r="C2158" s="2" t="s">
        <v>476</v>
      </c>
      <c r="D2158" s="2" t="s">
        <v>475</v>
      </c>
      <c r="E2158" s="2" t="s">
        <v>474</v>
      </c>
      <c r="F2158" s="39"/>
      <c r="G2158" s="50" t="s">
        <v>3190</v>
      </c>
      <c r="H2158" s="5">
        <v>0</v>
      </c>
      <c r="I2158" s="6">
        <v>710000000</v>
      </c>
      <c r="J2158" s="4" t="s">
        <v>1931</v>
      </c>
      <c r="K2158" s="4" t="s">
        <v>9078</v>
      </c>
      <c r="L2158" s="3" t="s">
        <v>1165</v>
      </c>
      <c r="M2158" s="8" t="s">
        <v>3195</v>
      </c>
      <c r="N2158" s="3" t="s">
        <v>1890</v>
      </c>
      <c r="O2158" s="8" t="s">
        <v>1935</v>
      </c>
      <c r="P2158" s="8">
        <v>796</v>
      </c>
      <c r="Q2158" s="8" t="s">
        <v>3196</v>
      </c>
      <c r="R2158" s="9">
        <f>2+1</f>
        <v>3</v>
      </c>
      <c r="S2158" s="9">
        <v>1433</v>
      </c>
      <c r="T2158" s="10">
        <f t="shared" ref="T2158" si="1144">S2158*R2158</f>
        <v>4299</v>
      </c>
      <c r="U2158" s="10">
        <f t="shared" ref="U2158" si="1145">T2158*1.12</f>
        <v>4814.88</v>
      </c>
      <c r="V2158" s="7"/>
      <c r="W2158" s="11">
        <v>2015</v>
      </c>
      <c r="X2158" s="12"/>
    </row>
    <row r="2159" spans="1:24" s="13" customFormat="1" ht="76.5" customHeight="1" outlineLevel="1" x14ac:dyDescent="0.2">
      <c r="A2159" s="1" t="s">
        <v>3924</v>
      </c>
      <c r="B2159" s="38" t="s">
        <v>5277</v>
      </c>
      <c r="C2159" s="2" t="s">
        <v>3802</v>
      </c>
      <c r="D2159" s="2" t="s">
        <v>3803</v>
      </c>
      <c r="E2159" s="2" t="s">
        <v>5549</v>
      </c>
      <c r="F2159" s="39"/>
      <c r="G2159" s="50" t="s">
        <v>3190</v>
      </c>
      <c r="H2159" s="5">
        <v>0</v>
      </c>
      <c r="I2159" s="6">
        <v>710000000</v>
      </c>
      <c r="J2159" s="4" t="s">
        <v>1931</v>
      </c>
      <c r="K2159" s="4" t="s">
        <v>5297</v>
      </c>
      <c r="L2159" s="3" t="s">
        <v>1165</v>
      </c>
      <c r="M2159" s="8" t="s">
        <v>3195</v>
      </c>
      <c r="N2159" s="3" t="s">
        <v>1890</v>
      </c>
      <c r="O2159" s="8" t="s">
        <v>1935</v>
      </c>
      <c r="P2159" s="8">
        <v>796</v>
      </c>
      <c r="Q2159" s="8" t="s">
        <v>3196</v>
      </c>
      <c r="R2159" s="9">
        <v>2</v>
      </c>
      <c r="S2159" s="9">
        <v>758.93</v>
      </c>
      <c r="T2159" s="10">
        <v>0</v>
      </c>
      <c r="U2159" s="10">
        <f t="shared" si="1117"/>
        <v>0</v>
      </c>
      <c r="V2159" s="7"/>
      <c r="W2159" s="11">
        <v>2015</v>
      </c>
      <c r="X2159" s="12" t="s">
        <v>7518</v>
      </c>
    </row>
    <row r="2160" spans="1:24" s="13" customFormat="1" ht="76.5" customHeight="1" outlineLevel="1" x14ac:dyDescent="0.2">
      <c r="A2160" s="1" t="s">
        <v>9139</v>
      </c>
      <c r="B2160" s="38" t="s">
        <v>5277</v>
      </c>
      <c r="C2160" s="2" t="s">
        <v>3802</v>
      </c>
      <c r="D2160" s="2" t="s">
        <v>3803</v>
      </c>
      <c r="E2160" s="2" t="s">
        <v>5549</v>
      </c>
      <c r="F2160" s="39"/>
      <c r="G2160" s="50" t="s">
        <v>3190</v>
      </c>
      <c r="H2160" s="5">
        <v>0</v>
      </c>
      <c r="I2160" s="6">
        <v>710000000</v>
      </c>
      <c r="J2160" s="4" t="s">
        <v>1931</v>
      </c>
      <c r="K2160" s="4" t="s">
        <v>9078</v>
      </c>
      <c r="L2160" s="3" t="s">
        <v>1165</v>
      </c>
      <c r="M2160" s="8" t="s">
        <v>3195</v>
      </c>
      <c r="N2160" s="3" t="s">
        <v>1890</v>
      </c>
      <c r="O2160" s="8" t="s">
        <v>1935</v>
      </c>
      <c r="P2160" s="8">
        <v>796</v>
      </c>
      <c r="Q2160" s="8" t="s">
        <v>3196</v>
      </c>
      <c r="R2160" s="9">
        <v>3</v>
      </c>
      <c r="S2160" s="9">
        <v>758.93</v>
      </c>
      <c r="T2160" s="10">
        <f t="shared" ref="T2160" si="1146">S2160*R2160</f>
        <v>2276.79</v>
      </c>
      <c r="U2160" s="10">
        <f t="shared" ref="U2160" si="1147">T2160*1.12</f>
        <v>2550.0048000000002</v>
      </c>
      <c r="V2160" s="7"/>
      <c r="W2160" s="11">
        <v>2015</v>
      </c>
      <c r="X2160" s="12"/>
    </row>
    <row r="2161" spans="1:24" s="13" customFormat="1" ht="76.5" customHeight="1" outlineLevel="1" x14ac:dyDescent="0.2">
      <c r="A2161" s="1" t="s">
        <v>3925</v>
      </c>
      <c r="B2161" s="38" t="s">
        <v>5277</v>
      </c>
      <c r="C2161" s="2" t="s">
        <v>473</v>
      </c>
      <c r="D2161" s="2" t="s">
        <v>472</v>
      </c>
      <c r="E2161" s="2" t="s">
        <v>471</v>
      </c>
      <c r="F2161" s="39"/>
      <c r="G2161" s="50" t="s">
        <v>3190</v>
      </c>
      <c r="H2161" s="5">
        <v>0</v>
      </c>
      <c r="I2161" s="6">
        <v>710000000</v>
      </c>
      <c r="J2161" s="4" t="s">
        <v>1931</v>
      </c>
      <c r="K2161" s="4" t="s">
        <v>5297</v>
      </c>
      <c r="L2161" s="3" t="s">
        <v>1165</v>
      </c>
      <c r="M2161" s="8" t="s">
        <v>3195</v>
      </c>
      <c r="N2161" s="3" t="s">
        <v>1890</v>
      </c>
      <c r="O2161" s="8" t="s">
        <v>1935</v>
      </c>
      <c r="P2161" s="8">
        <v>796</v>
      </c>
      <c r="Q2161" s="8" t="s">
        <v>3196</v>
      </c>
      <c r="R2161" s="9">
        <v>4</v>
      </c>
      <c r="S2161" s="9">
        <v>2572.3200000000002</v>
      </c>
      <c r="T2161" s="10">
        <v>0</v>
      </c>
      <c r="U2161" s="10">
        <f t="shared" si="1117"/>
        <v>0</v>
      </c>
      <c r="V2161" s="7"/>
      <c r="W2161" s="11">
        <v>2015</v>
      </c>
      <c r="X2161" s="12" t="s">
        <v>7518</v>
      </c>
    </row>
    <row r="2162" spans="1:24" s="13" customFormat="1" ht="76.5" customHeight="1" outlineLevel="1" x14ac:dyDescent="0.2">
      <c r="A2162" s="1" t="s">
        <v>9140</v>
      </c>
      <c r="B2162" s="38" t="s">
        <v>5277</v>
      </c>
      <c r="C2162" s="2" t="s">
        <v>473</v>
      </c>
      <c r="D2162" s="2" t="s">
        <v>472</v>
      </c>
      <c r="E2162" s="2" t="s">
        <v>471</v>
      </c>
      <c r="F2162" s="39"/>
      <c r="G2162" s="50" t="s">
        <v>3190</v>
      </c>
      <c r="H2162" s="5">
        <v>0</v>
      </c>
      <c r="I2162" s="6">
        <v>710000000</v>
      </c>
      <c r="J2162" s="4" t="s">
        <v>1931</v>
      </c>
      <c r="K2162" s="4" t="s">
        <v>9078</v>
      </c>
      <c r="L2162" s="3" t="s">
        <v>1165</v>
      </c>
      <c r="M2162" s="8" t="s">
        <v>3195</v>
      </c>
      <c r="N2162" s="3" t="s">
        <v>1890</v>
      </c>
      <c r="O2162" s="8" t="s">
        <v>1935</v>
      </c>
      <c r="P2162" s="8">
        <v>796</v>
      </c>
      <c r="Q2162" s="8" t="s">
        <v>3196</v>
      </c>
      <c r="R2162" s="9">
        <v>6</v>
      </c>
      <c r="S2162" s="9">
        <v>2572.3200000000002</v>
      </c>
      <c r="T2162" s="10">
        <f t="shared" ref="T2162" si="1148">S2162*R2162</f>
        <v>15433.920000000002</v>
      </c>
      <c r="U2162" s="10">
        <f t="shared" ref="U2162" si="1149">T2162*1.12</f>
        <v>17285.990400000002</v>
      </c>
      <c r="V2162" s="7"/>
      <c r="W2162" s="11">
        <v>2015</v>
      </c>
      <c r="X2162" s="12"/>
    </row>
    <row r="2163" spans="1:24" s="13" customFormat="1" ht="76.5" customHeight="1" outlineLevel="1" x14ac:dyDescent="0.2">
      <c r="A2163" s="1" t="s">
        <v>3926</v>
      </c>
      <c r="B2163" s="2" t="s">
        <v>5277</v>
      </c>
      <c r="C2163" s="2" t="s">
        <v>470</v>
      </c>
      <c r="D2163" s="70" t="s">
        <v>469</v>
      </c>
      <c r="E2163" s="70" t="s">
        <v>468</v>
      </c>
      <c r="F2163" s="70" t="s">
        <v>467</v>
      </c>
      <c r="G2163" s="3" t="s">
        <v>3190</v>
      </c>
      <c r="H2163" s="5">
        <v>0</v>
      </c>
      <c r="I2163" s="6">
        <v>710000000</v>
      </c>
      <c r="J2163" s="4" t="s">
        <v>1931</v>
      </c>
      <c r="K2163" s="4" t="s">
        <v>5297</v>
      </c>
      <c r="L2163" s="3" t="s">
        <v>1889</v>
      </c>
      <c r="M2163" s="8" t="s">
        <v>3195</v>
      </c>
      <c r="N2163" s="3" t="s">
        <v>1890</v>
      </c>
      <c r="O2163" s="8" t="s">
        <v>1935</v>
      </c>
      <c r="P2163" s="8">
        <v>796</v>
      </c>
      <c r="Q2163" s="8" t="s">
        <v>3196</v>
      </c>
      <c r="R2163" s="69">
        <v>5</v>
      </c>
      <c r="S2163" s="69">
        <v>12517.8</v>
      </c>
      <c r="T2163" s="10">
        <v>0</v>
      </c>
      <c r="U2163" s="10">
        <f t="shared" si="1117"/>
        <v>0</v>
      </c>
      <c r="V2163" s="7"/>
      <c r="W2163" s="1">
        <v>2015</v>
      </c>
      <c r="X2163" s="62">
        <v>11</v>
      </c>
    </row>
    <row r="2164" spans="1:24" s="13" customFormat="1" ht="76.5" customHeight="1" outlineLevel="1" x14ac:dyDescent="0.2">
      <c r="A2164" s="1" t="s">
        <v>7704</v>
      </c>
      <c r="B2164" s="2" t="s">
        <v>5277</v>
      </c>
      <c r="C2164" s="2" t="s">
        <v>470</v>
      </c>
      <c r="D2164" s="70" t="s">
        <v>469</v>
      </c>
      <c r="E2164" s="70" t="s">
        <v>468</v>
      </c>
      <c r="F2164" s="70" t="s">
        <v>467</v>
      </c>
      <c r="G2164" s="3" t="s">
        <v>3190</v>
      </c>
      <c r="H2164" s="5">
        <v>0</v>
      </c>
      <c r="I2164" s="6">
        <v>710000000</v>
      </c>
      <c r="J2164" s="4" t="s">
        <v>1931</v>
      </c>
      <c r="K2164" s="4" t="s">
        <v>756</v>
      </c>
      <c r="L2164" s="3" t="s">
        <v>1889</v>
      </c>
      <c r="M2164" s="8" t="s">
        <v>3195</v>
      </c>
      <c r="N2164" s="3" t="s">
        <v>1890</v>
      </c>
      <c r="O2164" s="8" t="s">
        <v>1935</v>
      </c>
      <c r="P2164" s="8">
        <v>796</v>
      </c>
      <c r="Q2164" s="8" t="s">
        <v>3196</v>
      </c>
      <c r="R2164" s="69">
        <v>5</v>
      </c>
      <c r="S2164" s="69">
        <v>12517.8</v>
      </c>
      <c r="T2164" s="10">
        <v>0</v>
      </c>
      <c r="U2164" s="10">
        <f t="shared" ref="U2164" si="1150">T2164*1.12</f>
        <v>0</v>
      </c>
      <c r="V2164" s="7"/>
      <c r="W2164" s="1">
        <v>2015</v>
      </c>
      <c r="X2164" s="62" t="s">
        <v>7518</v>
      </c>
    </row>
    <row r="2165" spans="1:24" s="13" customFormat="1" ht="76.5" customHeight="1" outlineLevel="1" x14ac:dyDescent="0.2">
      <c r="A2165" s="1" t="s">
        <v>9141</v>
      </c>
      <c r="B2165" s="2" t="s">
        <v>5277</v>
      </c>
      <c r="C2165" s="2" t="s">
        <v>470</v>
      </c>
      <c r="D2165" s="70" t="s">
        <v>469</v>
      </c>
      <c r="E2165" s="70" t="s">
        <v>468</v>
      </c>
      <c r="F2165" s="70" t="s">
        <v>467</v>
      </c>
      <c r="G2165" s="3" t="s">
        <v>3190</v>
      </c>
      <c r="H2165" s="5">
        <v>0</v>
      </c>
      <c r="I2165" s="6">
        <v>710000000</v>
      </c>
      <c r="J2165" s="4" t="s">
        <v>1931</v>
      </c>
      <c r="K2165" s="4" t="s">
        <v>9142</v>
      </c>
      <c r="L2165" s="3" t="s">
        <v>1889</v>
      </c>
      <c r="M2165" s="8" t="s">
        <v>3195</v>
      </c>
      <c r="N2165" s="3" t="s">
        <v>1890</v>
      </c>
      <c r="O2165" s="8" t="s">
        <v>1935</v>
      </c>
      <c r="P2165" s="8">
        <v>796</v>
      </c>
      <c r="Q2165" s="8" t="s">
        <v>3196</v>
      </c>
      <c r="R2165" s="69">
        <v>7</v>
      </c>
      <c r="S2165" s="69">
        <v>12517.8</v>
      </c>
      <c r="T2165" s="10">
        <f t="shared" ref="T2165" si="1151">S2165*R2165</f>
        <v>87624.599999999991</v>
      </c>
      <c r="U2165" s="10">
        <f t="shared" ref="U2165" si="1152">T2165*1.12</f>
        <v>98139.551999999996</v>
      </c>
      <c r="V2165" s="7"/>
      <c r="W2165" s="1">
        <v>2015</v>
      </c>
      <c r="X2165" s="62"/>
    </row>
    <row r="2166" spans="1:24" s="13" customFormat="1" ht="76.5" customHeight="1" outlineLevel="1" x14ac:dyDescent="0.2">
      <c r="A2166" s="1" t="s">
        <v>3927</v>
      </c>
      <c r="B2166" s="2" t="s">
        <v>5277</v>
      </c>
      <c r="C2166" s="2" t="s">
        <v>5133</v>
      </c>
      <c r="D2166" s="2" t="s">
        <v>5684</v>
      </c>
      <c r="E2166" s="6" t="s">
        <v>5685</v>
      </c>
      <c r="F2166" s="2"/>
      <c r="G2166" s="3" t="s">
        <v>3190</v>
      </c>
      <c r="H2166" s="5">
        <v>0</v>
      </c>
      <c r="I2166" s="6">
        <v>710000000</v>
      </c>
      <c r="J2166" s="4" t="s">
        <v>1931</v>
      </c>
      <c r="K2166" s="4" t="s">
        <v>5297</v>
      </c>
      <c r="L2166" s="3" t="s">
        <v>1889</v>
      </c>
      <c r="M2166" s="8" t="s">
        <v>3195</v>
      </c>
      <c r="N2166" s="3" t="s">
        <v>1890</v>
      </c>
      <c r="O2166" s="8" t="s">
        <v>1935</v>
      </c>
      <c r="P2166" s="8">
        <v>796</v>
      </c>
      <c r="Q2166" s="8" t="s">
        <v>3196</v>
      </c>
      <c r="R2166" s="69">
        <v>2</v>
      </c>
      <c r="S2166" s="69">
        <v>25451</v>
      </c>
      <c r="T2166" s="10">
        <v>0</v>
      </c>
      <c r="U2166" s="10">
        <f t="shared" si="1117"/>
        <v>0</v>
      </c>
      <c r="V2166" s="7"/>
      <c r="W2166" s="1">
        <v>2015</v>
      </c>
      <c r="X2166" s="62">
        <v>11</v>
      </c>
    </row>
    <row r="2167" spans="1:24" s="13" customFormat="1" ht="76.5" customHeight="1" outlineLevel="1" x14ac:dyDescent="0.2">
      <c r="A2167" s="1" t="s">
        <v>7705</v>
      </c>
      <c r="B2167" s="2" t="s">
        <v>5277</v>
      </c>
      <c r="C2167" s="2" t="s">
        <v>5133</v>
      </c>
      <c r="D2167" s="2" t="s">
        <v>5684</v>
      </c>
      <c r="E2167" s="6" t="s">
        <v>5685</v>
      </c>
      <c r="F2167" s="2"/>
      <c r="G2167" s="3" t="s">
        <v>3190</v>
      </c>
      <c r="H2167" s="5">
        <v>0</v>
      </c>
      <c r="I2167" s="6">
        <v>710000000</v>
      </c>
      <c r="J2167" s="4" t="s">
        <v>1931</v>
      </c>
      <c r="K2167" s="4" t="s">
        <v>756</v>
      </c>
      <c r="L2167" s="3" t="s">
        <v>1889</v>
      </c>
      <c r="M2167" s="8" t="s">
        <v>3195</v>
      </c>
      <c r="N2167" s="3" t="s">
        <v>1890</v>
      </c>
      <c r="O2167" s="8" t="s">
        <v>1935</v>
      </c>
      <c r="P2167" s="8">
        <v>796</v>
      </c>
      <c r="Q2167" s="8" t="s">
        <v>3196</v>
      </c>
      <c r="R2167" s="69">
        <v>2</v>
      </c>
      <c r="S2167" s="69">
        <v>25451</v>
      </c>
      <c r="T2167" s="10">
        <v>0</v>
      </c>
      <c r="U2167" s="10">
        <f t="shared" ref="U2167" si="1153">T2167*1.12</f>
        <v>0</v>
      </c>
      <c r="V2167" s="7"/>
      <c r="W2167" s="1">
        <v>2015</v>
      </c>
      <c r="X2167" s="62" t="s">
        <v>7518</v>
      </c>
    </row>
    <row r="2168" spans="1:24" s="13" customFormat="1" ht="76.5" customHeight="1" outlineLevel="1" x14ac:dyDescent="0.2">
      <c r="A2168" s="1" t="s">
        <v>9143</v>
      </c>
      <c r="B2168" s="2" t="s">
        <v>5277</v>
      </c>
      <c r="C2168" s="2" t="s">
        <v>5133</v>
      </c>
      <c r="D2168" s="2" t="s">
        <v>5684</v>
      </c>
      <c r="E2168" s="6" t="s">
        <v>5685</v>
      </c>
      <c r="F2168" s="2"/>
      <c r="G2168" s="3" t="s">
        <v>3190</v>
      </c>
      <c r="H2168" s="5">
        <v>0</v>
      </c>
      <c r="I2168" s="6">
        <v>710000000</v>
      </c>
      <c r="J2168" s="4" t="s">
        <v>1931</v>
      </c>
      <c r="K2168" s="4" t="s">
        <v>9142</v>
      </c>
      <c r="L2168" s="3" t="s">
        <v>1889</v>
      </c>
      <c r="M2168" s="8" t="s">
        <v>3195</v>
      </c>
      <c r="N2168" s="3" t="s">
        <v>1890</v>
      </c>
      <c r="O2168" s="8" t="s">
        <v>1935</v>
      </c>
      <c r="P2168" s="8">
        <v>796</v>
      </c>
      <c r="Q2168" s="8" t="s">
        <v>3196</v>
      </c>
      <c r="R2168" s="69">
        <v>3</v>
      </c>
      <c r="S2168" s="69">
        <v>25451</v>
      </c>
      <c r="T2168" s="10">
        <f t="shared" ref="T2168" si="1154">S2168*R2168</f>
        <v>76353</v>
      </c>
      <c r="U2168" s="10">
        <f t="shared" ref="U2168" si="1155">T2168*1.12</f>
        <v>85515.360000000015</v>
      </c>
      <c r="V2168" s="7"/>
      <c r="W2168" s="1">
        <v>2015</v>
      </c>
      <c r="X2168" s="62"/>
    </row>
    <row r="2169" spans="1:24" s="13" customFormat="1" ht="76.5" customHeight="1" outlineLevel="1" x14ac:dyDescent="0.2">
      <c r="A2169" s="1" t="s">
        <v>3928</v>
      </c>
      <c r="B2169" s="2" t="s">
        <v>5277</v>
      </c>
      <c r="C2169" s="2" t="s">
        <v>466</v>
      </c>
      <c r="D2169" s="2" t="s">
        <v>465</v>
      </c>
      <c r="E2169" s="2" t="s">
        <v>464</v>
      </c>
      <c r="F2169" s="2" t="s">
        <v>463</v>
      </c>
      <c r="G2169" s="3" t="s">
        <v>3190</v>
      </c>
      <c r="H2169" s="5">
        <v>0</v>
      </c>
      <c r="I2169" s="6">
        <v>710000000</v>
      </c>
      <c r="J2169" s="4" t="s">
        <v>1931</v>
      </c>
      <c r="K2169" s="4" t="s">
        <v>5297</v>
      </c>
      <c r="L2169" s="3" t="s">
        <v>1889</v>
      </c>
      <c r="M2169" s="8" t="s">
        <v>3195</v>
      </c>
      <c r="N2169" s="3" t="s">
        <v>1890</v>
      </c>
      <c r="O2169" s="8" t="s">
        <v>1935</v>
      </c>
      <c r="P2169" s="8">
        <v>796</v>
      </c>
      <c r="Q2169" s="8" t="s">
        <v>3196</v>
      </c>
      <c r="R2169" s="69">
        <v>1</v>
      </c>
      <c r="S2169" s="69">
        <v>9630</v>
      </c>
      <c r="T2169" s="10">
        <v>0</v>
      </c>
      <c r="U2169" s="10">
        <f t="shared" si="1117"/>
        <v>0</v>
      </c>
      <c r="V2169" s="7"/>
      <c r="W2169" s="1">
        <v>2015</v>
      </c>
      <c r="X2169" s="62">
        <v>11</v>
      </c>
    </row>
    <row r="2170" spans="1:24" s="13" customFormat="1" ht="76.5" customHeight="1" outlineLevel="1" x14ac:dyDescent="0.2">
      <c r="A2170" s="1" t="s">
        <v>7706</v>
      </c>
      <c r="B2170" s="2" t="s">
        <v>5277</v>
      </c>
      <c r="C2170" s="2" t="s">
        <v>466</v>
      </c>
      <c r="D2170" s="2" t="s">
        <v>465</v>
      </c>
      <c r="E2170" s="2" t="s">
        <v>464</v>
      </c>
      <c r="F2170" s="2" t="s">
        <v>463</v>
      </c>
      <c r="G2170" s="3" t="s">
        <v>3190</v>
      </c>
      <c r="H2170" s="5">
        <v>0</v>
      </c>
      <c r="I2170" s="6">
        <v>710000000</v>
      </c>
      <c r="J2170" s="4" t="s">
        <v>1931</v>
      </c>
      <c r="K2170" s="4" t="s">
        <v>756</v>
      </c>
      <c r="L2170" s="3" t="s">
        <v>1889</v>
      </c>
      <c r="M2170" s="8" t="s">
        <v>3195</v>
      </c>
      <c r="N2170" s="3" t="s">
        <v>1890</v>
      </c>
      <c r="O2170" s="8" t="s">
        <v>1935</v>
      </c>
      <c r="P2170" s="8">
        <v>796</v>
      </c>
      <c r="Q2170" s="8" t="s">
        <v>3196</v>
      </c>
      <c r="R2170" s="69">
        <v>1</v>
      </c>
      <c r="S2170" s="69">
        <v>0</v>
      </c>
      <c r="T2170" s="10">
        <f t="shared" ref="T2170" si="1156">S2170*R2170</f>
        <v>0</v>
      </c>
      <c r="U2170" s="10">
        <f t="shared" ref="U2170" si="1157">T2170*1.12</f>
        <v>0</v>
      </c>
      <c r="V2170" s="7"/>
      <c r="W2170" s="1">
        <v>2015</v>
      </c>
      <c r="X2170" s="62" t="s">
        <v>7518</v>
      </c>
    </row>
    <row r="2171" spans="1:24" s="13" customFormat="1" ht="76.5" customHeight="1" outlineLevel="1" x14ac:dyDescent="0.2">
      <c r="A2171" s="1" t="s">
        <v>9144</v>
      </c>
      <c r="B2171" s="2" t="s">
        <v>5277</v>
      </c>
      <c r="C2171" s="2" t="s">
        <v>466</v>
      </c>
      <c r="D2171" s="2" t="s">
        <v>465</v>
      </c>
      <c r="E2171" s="2" t="s">
        <v>464</v>
      </c>
      <c r="F2171" s="2" t="s">
        <v>463</v>
      </c>
      <c r="G2171" s="3" t="s">
        <v>3190</v>
      </c>
      <c r="H2171" s="5">
        <v>0</v>
      </c>
      <c r="I2171" s="6">
        <v>710000000</v>
      </c>
      <c r="J2171" s="4" t="s">
        <v>1931</v>
      </c>
      <c r="K2171" s="4" t="s">
        <v>9142</v>
      </c>
      <c r="L2171" s="3" t="s">
        <v>1889</v>
      </c>
      <c r="M2171" s="8" t="s">
        <v>3195</v>
      </c>
      <c r="N2171" s="3" t="s">
        <v>1890</v>
      </c>
      <c r="O2171" s="8" t="s">
        <v>1935</v>
      </c>
      <c r="P2171" s="8">
        <v>796</v>
      </c>
      <c r="Q2171" s="8" t="s">
        <v>3196</v>
      </c>
      <c r="R2171" s="69">
        <v>2</v>
      </c>
      <c r="S2171" s="69">
        <v>9630</v>
      </c>
      <c r="T2171" s="10">
        <f t="shared" ref="T2171" si="1158">S2171*R2171</f>
        <v>19260</v>
      </c>
      <c r="U2171" s="10">
        <f t="shared" ref="U2171" si="1159">T2171*1.12</f>
        <v>21571.200000000001</v>
      </c>
      <c r="V2171" s="7"/>
      <c r="W2171" s="1">
        <v>2015</v>
      </c>
      <c r="X2171" s="62"/>
    </row>
    <row r="2172" spans="1:24" s="13" customFormat="1" ht="76.5" customHeight="1" outlineLevel="1" x14ac:dyDescent="0.2">
      <c r="A2172" s="1" t="s">
        <v>3929</v>
      </c>
      <c r="B2172" s="2" t="s">
        <v>5277</v>
      </c>
      <c r="C2172" s="2" t="s">
        <v>3795</v>
      </c>
      <c r="D2172" s="2" t="s">
        <v>5542</v>
      </c>
      <c r="E2172" s="2" t="s">
        <v>462</v>
      </c>
      <c r="F2172" s="2" t="s">
        <v>461</v>
      </c>
      <c r="G2172" s="3" t="s">
        <v>3190</v>
      </c>
      <c r="H2172" s="5">
        <v>0</v>
      </c>
      <c r="I2172" s="6">
        <v>710000000</v>
      </c>
      <c r="J2172" s="4" t="s">
        <v>1931</v>
      </c>
      <c r="K2172" s="4" t="s">
        <v>5297</v>
      </c>
      <c r="L2172" s="3" t="s">
        <v>1889</v>
      </c>
      <c r="M2172" s="8" t="s">
        <v>3195</v>
      </c>
      <c r="N2172" s="3" t="s">
        <v>1890</v>
      </c>
      <c r="O2172" s="8" t="s">
        <v>1935</v>
      </c>
      <c r="P2172" s="8">
        <v>796</v>
      </c>
      <c r="Q2172" s="8" t="s">
        <v>3196</v>
      </c>
      <c r="R2172" s="69">
        <v>6</v>
      </c>
      <c r="S2172" s="69">
        <v>2195</v>
      </c>
      <c r="T2172" s="10">
        <v>0</v>
      </c>
      <c r="U2172" s="10">
        <f t="shared" si="1117"/>
        <v>0</v>
      </c>
      <c r="V2172" s="7"/>
      <c r="W2172" s="1">
        <v>2015</v>
      </c>
      <c r="X2172" s="62">
        <v>11</v>
      </c>
    </row>
    <row r="2173" spans="1:24" s="13" customFormat="1" ht="76.5" customHeight="1" outlineLevel="1" x14ac:dyDescent="0.2">
      <c r="A2173" s="1" t="s">
        <v>7707</v>
      </c>
      <c r="B2173" s="2" t="s">
        <v>5277</v>
      </c>
      <c r="C2173" s="2" t="s">
        <v>3795</v>
      </c>
      <c r="D2173" s="2" t="s">
        <v>5542</v>
      </c>
      <c r="E2173" s="2" t="s">
        <v>462</v>
      </c>
      <c r="F2173" s="2" t="s">
        <v>461</v>
      </c>
      <c r="G2173" s="3" t="s">
        <v>3190</v>
      </c>
      <c r="H2173" s="5">
        <v>0</v>
      </c>
      <c r="I2173" s="6">
        <v>710000000</v>
      </c>
      <c r="J2173" s="4" t="s">
        <v>1931</v>
      </c>
      <c r="K2173" s="4" t="s">
        <v>756</v>
      </c>
      <c r="L2173" s="3" t="s">
        <v>1889</v>
      </c>
      <c r="M2173" s="8" t="s">
        <v>3195</v>
      </c>
      <c r="N2173" s="3" t="s">
        <v>1890</v>
      </c>
      <c r="O2173" s="8" t="s">
        <v>1935</v>
      </c>
      <c r="P2173" s="8">
        <v>796</v>
      </c>
      <c r="Q2173" s="8" t="s">
        <v>3196</v>
      </c>
      <c r="R2173" s="69">
        <v>6</v>
      </c>
      <c r="S2173" s="69">
        <v>2195</v>
      </c>
      <c r="T2173" s="10">
        <f t="shared" ref="T2173" si="1160">S2173*R2173</f>
        <v>13170</v>
      </c>
      <c r="U2173" s="10">
        <f t="shared" ref="U2173" si="1161">T2173*1.12</f>
        <v>14750.400000000001</v>
      </c>
      <c r="V2173" s="7"/>
      <c r="W2173" s="1">
        <v>2015</v>
      </c>
      <c r="X2173" s="62"/>
    </row>
    <row r="2174" spans="1:24" s="13" customFormat="1" ht="76.5" customHeight="1" outlineLevel="1" x14ac:dyDescent="0.2">
      <c r="A2174" s="1" t="s">
        <v>3930</v>
      </c>
      <c r="B2174" s="2" t="s">
        <v>5277</v>
      </c>
      <c r="C2174" s="6" t="s">
        <v>3417</v>
      </c>
      <c r="D2174" s="6" t="s">
        <v>6052</v>
      </c>
      <c r="E2174" s="6" t="s">
        <v>6053</v>
      </c>
      <c r="F2174" s="2"/>
      <c r="G2174" s="3" t="s">
        <v>3190</v>
      </c>
      <c r="H2174" s="5">
        <v>0</v>
      </c>
      <c r="I2174" s="6">
        <v>710000000</v>
      </c>
      <c r="J2174" s="4" t="s">
        <v>1931</v>
      </c>
      <c r="K2174" s="4" t="s">
        <v>5297</v>
      </c>
      <c r="L2174" s="3" t="s">
        <v>1165</v>
      </c>
      <c r="M2174" s="8" t="s">
        <v>3195</v>
      </c>
      <c r="N2174" s="3" t="s">
        <v>1890</v>
      </c>
      <c r="O2174" s="8" t="s">
        <v>1935</v>
      </c>
      <c r="P2174" s="8">
        <v>796</v>
      </c>
      <c r="Q2174" s="8" t="s">
        <v>3196</v>
      </c>
      <c r="R2174" s="69">
        <f>5+5</f>
        <v>10</v>
      </c>
      <c r="S2174" s="69">
        <v>6696.43</v>
      </c>
      <c r="T2174" s="10">
        <v>0</v>
      </c>
      <c r="U2174" s="10">
        <f t="shared" si="1117"/>
        <v>0</v>
      </c>
      <c r="V2174" s="7"/>
      <c r="W2174" s="1">
        <v>2015</v>
      </c>
      <c r="X2174" s="62">
        <v>11</v>
      </c>
    </row>
    <row r="2175" spans="1:24" s="13" customFormat="1" ht="76.5" customHeight="1" outlineLevel="1" x14ac:dyDescent="0.2">
      <c r="A2175" s="1" t="s">
        <v>7708</v>
      </c>
      <c r="B2175" s="2" t="s">
        <v>5277</v>
      </c>
      <c r="C2175" s="6" t="s">
        <v>3417</v>
      </c>
      <c r="D2175" s="6" t="s">
        <v>6052</v>
      </c>
      <c r="E2175" s="6" t="s">
        <v>6053</v>
      </c>
      <c r="F2175" s="2"/>
      <c r="G2175" s="3" t="s">
        <v>3190</v>
      </c>
      <c r="H2175" s="5">
        <v>0</v>
      </c>
      <c r="I2175" s="6">
        <v>710000000</v>
      </c>
      <c r="J2175" s="4" t="s">
        <v>1931</v>
      </c>
      <c r="K2175" s="4" t="s">
        <v>756</v>
      </c>
      <c r="L2175" s="3" t="s">
        <v>1165</v>
      </c>
      <c r="M2175" s="8" t="s">
        <v>3195</v>
      </c>
      <c r="N2175" s="3" t="s">
        <v>1890</v>
      </c>
      <c r="O2175" s="8" t="s">
        <v>1935</v>
      </c>
      <c r="P2175" s="8">
        <v>796</v>
      </c>
      <c r="Q2175" s="8" t="s">
        <v>3196</v>
      </c>
      <c r="R2175" s="69">
        <f>5+5</f>
        <v>10</v>
      </c>
      <c r="S2175" s="69">
        <v>6696.43</v>
      </c>
      <c r="T2175" s="10">
        <f t="shared" ref="T2175" si="1162">S2175*R2175</f>
        <v>66964.3</v>
      </c>
      <c r="U2175" s="10">
        <f t="shared" ref="U2175" si="1163">T2175*1.12</f>
        <v>75000.016000000003</v>
      </c>
      <c r="V2175" s="7"/>
      <c r="W2175" s="1">
        <v>2015</v>
      </c>
      <c r="X2175" s="62"/>
    </row>
    <row r="2176" spans="1:24" s="13" customFormat="1" ht="76.5" customHeight="1" outlineLevel="1" x14ac:dyDescent="0.2">
      <c r="A2176" s="1" t="s">
        <v>3931</v>
      </c>
      <c r="B2176" s="38" t="s">
        <v>5277</v>
      </c>
      <c r="C2176" s="6" t="s">
        <v>5139</v>
      </c>
      <c r="D2176" s="6" t="s">
        <v>5217</v>
      </c>
      <c r="E2176" s="6" t="s">
        <v>5248</v>
      </c>
      <c r="F2176" s="39"/>
      <c r="G2176" s="50" t="s">
        <v>3190</v>
      </c>
      <c r="H2176" s="5">
        <v>0</v>
      </c>
      <c r="I2176" s="6">
        <v>710000000</v>
      </c>
      <c r="J2176" s="4" t="s">
        <v>1931</v>
      </c>
      <c r="K2176" s="4" t="s">
        <v>5297</v>
      </c>
      <c r="L2176" s="3" t="s">
        <v>1165</v>
      </c>
      <c r="M2176" s="8" t="s">
        <v>3195</v>
      </c>
      <c r="N2176" s="3" t="s">
        <v>1890</v>
      </c>
      <c r="O2176" s="8" t="s">
        <v>1935</v>
      </c>
      <c r="P2176" s="8">
        <v>796</v>
      </c>
      <c r="Q2176" s="8" t="s">
        <v>3196</v>
      </c>
      <c r="R2176" s="9">
        <f>5+7+3</f>
        <v>15</v>
      </c>
      <c r="S2176" s="9">
        <v>453.57</v>
      </c>
      <c r="T2176" s="10">
        <v>0</v>
      </c>
      <c r="U2176" s="10">
        <f t="shared" si="1117"/>
        <v>0</v>
      </c>
      <c r="V2176" s="7"/>
      <c r="W2176" s="11">
        <v>2015</v>
      </c>
      <c r="X2176" s="12" t="s">
        <v>6562</v>
      </c>
    </row>
    <row r="2177" spans="1:24" s="13" customFormat="1" ht="76.5" customHeight="1" outlineLevel="1" x14ac:dyDescent="0.2">
      <c r="A2177" s="1" t="s">
        <v>6653</v>
      </c>
      <c r="B2177" s="2" t="s">
        <v>5277</v>
      </c>
      <c r="C2177" s="6" t="s">
        <v>5139</v>
      </c>
      <c r="D2177" s="6" t="s">
        <v>5217</v>
      </c>
      <c r="E2177" s="6" t="s">
        <v>5248</v>
      </c>
      <c r="F2177" s="2"/>
      <c r="G2177" s="3" t="s">
        <v>3190</v>
      </c>
      <c r="H2177" s="5">
        <v>0</v>
      </c>
      <c r="I2177" s="6">
        <v>710000000</v>
      </c>
      <c r="J2177" s="4" t="s">
        <v>1931</v>
      </c>
      <c r="K2177" s="4" t="s">
        <v>5297</v>
      </c>
      <c r="L2177" s="3" t="s">
        <v>1165</v>
      </c>
      <c r="M2177" s="8" t="s">
        <v>3195</v>
      </c>
      <c r="N2177" s="3" t="s">
        <v>1890</v>
      </c>
      <c r="O2177" s="8" t="s">
        <v>1935</v>
      </c>
      <c r="P2177" s="8">
        <v>796</v>
      </c>
      <c r="Q2177" s="8" t="s">
        <v>3196</v>
      </c>
      <c r="R2177" s="69">
        <f>5+5+3</f>
        <v>13</v>
      </c>
      <c r="S2177" s="69">
        <v>453.57</v>
      </c>
      <c r="T2177" s="10">
        <v>0</v>
      </c>
      <c r="U2177" s="10">
        <f t="shared" si="1117"/>
        <v>0</v>
      </c>
      <c r="V2177" s="7"/>
      <c r="W2177" s="1">
        <v>2015</v>
      </c>
      <c r="X2177" s="62">
        <v>11</v>
      </c>
    </row>
    <row r="2178" spans="1:24" s="13" customFormat="1" ht="76.5" outlineLevel="1" x14ac:dyDescent="0.2">
      <c r="A2178" s="1" t="s">
        <v>7709</v>
      </c>
      <c r="B2178" s="2" t="s">
        <v>5277</v>
      </c>
      <c r="C2178" s="6" t="s">
        <v>5139</v>
      </c>
      <c r="D2178" s="6" t="s">
        <v>5217</v>
      </c>
      <c r="E2178" s="6" t="s">
        <v>5248</v>
      </c>
      <c r="F2178" s="2"/>
      <c r="G2178" s="3" t="s">
        <v>3190</v>
      </c>
      <c r="H2178" s="5">
        <v>0</v>
      </c>
      <c r="I2178" s="6">
        <v>710000000</v>
      </c>
      <c r="J2178" s="4" t="s">
        <v>1931</v>
      </c>
      <c r="K2178" s="4" t="s">
        <v>756</v>
      </c>
      <c r="L2178" s="3" t="s">
        <v>1165</v>
      </c>
      <c r="M2178" s="8" t="s">
        <v>3195</v>
      </c>
      <c r="N2178" s="3" t="s">
        <v>1890</v>
      </c>
      <c r="O2178" s="8" t="s">
        <v>1935</v>
      </c>
      <c r="P2178" s="8">
        <v>796</v>
      </c>
      <c r="Q2178" s="8" t="s">
        <v>3196</v>
      </c>
      <c r="R2178" s="69">
        <f>5+5+3</f>
        <v>13</v>
      </c>
      <c r="S2178" s="69">
        <v>453.57</v>
      </c>
      <c r="T2178" s="10">
        <v>0</v>
      </c>
      <c r="U2178" s="10">
        <f t="shared" ref="U2178" si="1164">T2178*1.12</f>
        <v>0</v>
      </c>
      <c r="V2178" s="7"/>
      <c r="W2178" s="1">
        <v>2015</v>
      </c>
      <c r="X2178" s="62" t="s">
        <v>7518</v>
      </c>
    </row>
    <row r="2179" spans="1:24" s="13" customFormat="1" ht="76.5" outlineLevel="1" x14ac:dyDescent="0.2">
      <c r="A2179" s="1" t="s">
        <v>9287</v>
      </c>
      <c r="B2179" s="2" t="s">
        <v>5277</v>
      </c>
      <c r="C2179" s="6" t="s">
        <v>5139</v>
      </c>
      <c r="D2179" s="6" t="s">
        <v>5217</v>
      </c>
      <c r="E2179" s="6" t="s">
        <v>5248</v>
      </c>
      <c r="F2179" s="2"/>
      <c r="G2179" s="3" t="s">
        <v>3190</v>
      </c>
      <c r="H2179" s="5">
        <v>0</v>
      </c>
      <c r="I2179" s="6">
        <v>710000000</v>
      </c>
      <c r="J2179" s="4" t="s">
        <v>1931</v>
      </c>
      <c r="K2179" s="4" t="s">
        <v>9276</v>
      </c>
      <c r="L2179" s="3" t="s">
        <v>1165</v>
      </c>
      <c r="M2179" s="8" t="s">
        <v>3195</v>
      </c>
      <c r="N2179" s="3" t="s">
        <v>1890</v>
      </c>
      <c r="O2179" s="8" t="s">
        <v>1935</v>
      </c>
      <c r="P2179" s="8">
        <v>796</v>
      </c>
      <c r="Q2179" s="8" t="s">
        <v>3196</v>
      </c>
      <c r="R2179" s="69">
        <f>5+5+3+6</f>
        <v>19</v>
      </c>
      <c r="S2179" s="69">
        <v>453.57</v>
      </c>
      <c r="T2179" s="10">
        <f t="shared" ref="T2179" si="1165">S2179*R2179</f>
        <v>8617.83</v>
      </c>
      <c r="U2179" s="10">
        <f t="shared" ref="U2179" si="1166">T2179*1.12</f>
        <v>9651.9696000000004</v>
      </c>
      <c r="V2179" s="7"/>
      <c r="W2179" s="1">
        <v>2015</v>
      </c>
      <c r="X2179" s="62"/>
    </row>
    <row r="2180" spans="1:24" s="13" customFormat="1" ht="76.5" customHeight="1" outlineLevel="1" x14ac:dyDescent="0.2">
      <c r="A2180" s="1" t="s">
        <v>3932</v>
      </c>
      <c r="B2180" s="2" t="s">
        <v>5277</v>
      </c>
      <c r="C2180" s="6" t="s">
        <v>459</v>
      </c>
      <c r="D2180" s="6" t="s">
        <v>458</v>
      </c>
      <c r="E2180" s="6" t="s">
        <v>457</v>
      </c>
      <c r="F2180" s="2" t="s">
        <v>460</v>
      </c>
      <c r="G2180" s="3" t="s">
        <v>3190</v>
      </c>
      <c r="H2180" s="5">
        <v>0</v>
      </c>
      <c r="I2180" s="6">
        <v>710000000</v>
      </c>
      <c r="J2180" s="4" t="s">
        <v>1931</v>
      </c>
      <c r="K2180" s="4" t="s">
        <v>5297</v>
      </c>
      <c r="L2180" s="3" t="s">
        <v>1165</v>
      </c>
      <c r="M2180" s="8" t="s">
        <v>3195</v>
      </c>
      <c r="N2180" s="3" t="s">
        <v>1890</v>
      </c>
      <c r="O2180" s="8" t="s">
        <v>1935</v>
      </c>
      <c r="P2180" s="8">
        <v>796</v>
      </c>
      <c r="Q2180" s="8" t="s">
        <v>3196</v>
      </c>
      <c r="R2180" s="69">
        <f>3+2+1</f>
        <v>6</v>
      </c>
      <c r="S2180" s="69">
        <v>1117.8599999999999</v>
      </c>
      <c r="T2180" s="10">
        <v>0</v>
      </c>
      <c r="U2180" s="10">
        <f t="shared" si="1117"/>
        <v>0</v>
      </c>
      <c r="V2180" s="7"/>
      <c r="W2180" s="1">
        <v>2015</v>
      </c>
      <c r="X2180" s="62" t="s">
        <v>7518</v>
      </c>
    </row>
    <row r="2181" spans="1:24" s="13" customFormat="1" ht="76.5" customHeight="1" outlineLevel="1" x14ac:dyDescent="0.2">
      <c r="A2181" s="1" t="s">
        <v>7710</v>
      </c>
      <c r="B2181" s="2" t="s">
        <v>5277</v>
      </c>
      <c r="C2181" s="6" t="s">
        <v>459</v>
      </c>
      <c r="D2181" s="6" t="s">
        <v>458</v>
      </c>
      <c r="E2181" s="6" t="s">
        <v>457</v>
      </c>
      <c r="F2181" s="2" t="s">
        <v>460</v>
      </c>
      <c r="G2181" s="3" t="s">
        <v>3190</v>
      </c>
      <c r="H2181" s="5">
        <v>0</v>
      </c>
      <c r="I2181" s="6">
        <v>710000000</v>
      </c>
      <c r="J2181" s="4" t="s">
        <v>1931</v>
      </c>
      <c r="K2181" s="4" t="s">
        <v>756</v>
      </c>
      <c r="L2181" s="3" t="s">
        <v>1165</v>
      </c>
      <c r="M2181" s="8" t="s">
        <v>3195</v>
      </c>
      <c r="N2181" s="3" t="s">
        <v>1890</v>
      </c>
      <c r="O2181" s="8" t="s">
        <v>1935</v>
      </c>
      <c r="P2181" s="8">
        <v>796</v>
      </c>
      <c r="Q2181" s="8" t="s">
        <v>3196</v>
      </c>
      <c r="R2181" s="69">
        <f>3+2</f>
        <v>5</v>
      </c>
      <c r="S2181" s="69">
        <v>1117.8599999999999</v>
      </c>
      <c r="T2181" s="10">
        <f t="shared" ref="T2181" si="1167">S2181*R2181</f>
        <v>5589.2999999999993</v>
      </c>
      <c r="U2181" s="10">
        <f t="shared" ref="U2181" si="1168">T2181*1.12</f>
        <v>6260.0159999999996</v>
      </c>
      <c r="V2181" s="7"/>
      <c r="W2181" s="1">
        <v>2015</v>
      </c>
      <c r="X2181" s="62"/>
    </row>
    <row r="2182" spans="1:24" s="13" customFormat="1" ht="76.5" customHeight="1" outlineLevel="1" x14ac:dyDescent="0.2">
      <c r="A2182" s="1" t="s">
        <v>3933</v>
      </c>
      <c r="B2182" s="2" t="s">
        <v>5277</v>
      </c>
      <c r="C2182" s="6" t="s">
        <v>459</v>
      </c>
      <c r="D2182" s="6" t="s">
        <v>458</v>
      </c>
      <c r="E2182" s="6" t="s">
        <v>457</v>
      </c>
      <c r="F2182" s="2" t="s">
        <v>456</v>
      </c>
      <c r="G2182" s="3" t="s">
        <v>3190</v>
      </c>
      <c r="H2182" s="5">
        <v>0</v>
      </c>
      <c r="I2182" s="6">
        <v>710000000</v>
      </c>
      <c r="J2182" s="4" t="s">
        <v>1931</v>
      </c>
      <c r="K2182" s="4" t="s">
        <v>5297</v>
      </c>
      <c r="L2182" s="3" t="s">
        <v>1165</v>
      </c>
      <c r="M2182" s="8" t="s">
        <v>3195</v>
      </c>
      <c r="N2182" s="3" t="s">
        <v>1890</v>
      </c>
      <c r="O2182" s="8" t="s">
        <v>1935</v>
      </c>
      <c r="P2182" s="8">
        <v>796</v>
      </c>
      <c r="Q2182" s="8" t="s">
        <v>3196</v>
      </c>
      <c r="R2182" s="69">
        <v>2</v>
      </c>
      <c r="S2182" s="69">
        <v>1533</v>
      </c>
      <c r="T2182" s="10">
        <v>0</v>
      </c>
      <c r="U2182" s="10">
        <f t="shared" si="1117"/>
        <v>0</v>
      </c>
      <c r="V2182" s="7"/>
      <c r="W2182" s="1">
        <v>2015</v>
      </c>
      <c r="X2182" s="62">
        <v>11</v>
      </c>
    </row>
    <row r="2183" spans="1:24" s="13" customFormat="1" ht="76.5" customHeight="1" outlineLevel="1" x14ac:dyDescent="0.2">
      <c r="A2183" s="1" t="s">
        <v>7711</v>
      </c>
      <c r="B2183" s="2" t="s">
        <v>5277</v>
      </c>
      <c r="C2183" s="6" t="s">
        <v>459</v>
      </c>
      <c r="D2183" s="6" t="s">
        <v>458</v>
      </c>
      <c r="E2183" s="6" t="s">
        <v>457</v>
      </c>
      <c r="F2183" s="2" t="s">
        <v>456</v>
      </c>
      <c r="G2183" s="3" t="s">
        <v>3190</v>
      </c>
      <c r="H2183" s="5">
        <v>0</v>
      </c>
      <c r="I2183" s="6">
        <v>710000000</v>
      </c>
      <c r="J2183" s="4" t="s">
        <v>1931</v>
      </c>
      <c r="K2183" s="4" t="s">
        <v>756</v>
      </c>
      <c r="L2183" s="3" t="s">
        <v>1165</v>
      </c>
      <c r="M2183" s="8" t="s">
        <v>3195</v>
      </c>
      <c r="N2183" s="3" t="s">
        <v>1890</v>
      </c>
      <c r="O2183" s="8" t="s">
        <v>1935</v>
      </c>
      <c r="P2183" s="8">
        <v>796</v>
      </c>
      <c r="Q2183" s="8" t="s">
        <v>3196</v>
      </c>
      <c r="R2183" s="69">
        <v>2</v>
      </c>
      <c r="S2183" s="69">
        <v>1533</v>
      </c>
      <c r="T2183" s="10">
        <f t="shared" ref="T2183" si="1169">S2183*R2183</f>
        <v>3066</v>
      </c>
      <c r="U2183" s="10">
        <f t="shared" ref="U2183" si="1170">T2183*1.12</f>
        <v>3433.9200000000005</v>
      </c>
      <c r="V2183" s="7"/>
      <c r="W2183" s="1">
        <v>2015</v>
      </c>
      <c r="X2183" s="62"/>
    </row>
    <row r="2184" spans="1:24" s="13" customFormat="1" ht="76.5" customHeight="1" outlineLevel="1" x14ac:dyDescent="0.2">
      <c r="A2184" s="1" t="s">
        <v>3934</v>
      </c>
      <c r="B2184" s="2" t="s">
        <v>5277</v>
      </c>
      <c r="C2184" s="6" t="s">
        <v>388</v>
      </c>
      <c r="D2184" s="6" t="s">
        <v>387</v>
      </c>
      <c r="E2184" s="6" t="s">
        <v>386</v>
      </c>
      <c r="F2184" s="2"/>
      <c r="G2184" s="3" t="s">
        <v>3190</v>
      </c>
      <c r="H2184" s="5">
        <v>0</v>
      </c>
      <c r="I2184" s="6">
        <v>710000000</v>
      </c>
      <c r="J2184" s="4" t="s">
        <v>1931</v>
      </c>
      <c r="K2184" s="4" t="s">
        <v>5297</v>
      </c>
      <c r="L2184" s="3" t="s">
        <v>1165</v>
      </c>
      <c r="M2184" s="8" t="s">
        <v>3195</v>
      </c>
      <c r="N2184" s="3" t="s">
        <v>1890</v>
      </c>
      <c r="O2184" s="8" t="s">
        <v>1935</v>
      </c>
      <c r="P2184" s="8">
        <v>796</v>
      </c>
      <c r="Q2184" s="8" t="s">
        <v>3196</v>
      </c>
      <c r="R2184" s="69">
        <v>5</v>
      </c>
      <c r="S2184" s="69">
        <v>2232.15</v>
      </c>
      <c r="T2184" s="10">
        <v>0</v>
      </c>
      <c r="U2184" s="10">
        <f t="shared" si="1117"/>
        <v>0</v>
      </c>
      <c r="V2184" s="7"/>
      <c r="W2184" s="1">
        <v>2015</v>
      </c>
      <c r="X2184" s="62">
        <v>11</v>
      </c>
    </row>
    <row r="2185" spans="1:24" s="13" customFormat="1" ht="76.5" customHeight="1" outlineLevel="1" x14ac:dyDescent="0.2">
      <c r="A2185" s="1" t="s">
        <v>7712</v>
      </c>
      <c r="B2185" s="2" t="s">
        <v>5277</v>
      </c>
      <c r="C2185" s="6" t="s">
        <v>388</v>
      </c>
      <c r="D2185" s="6" t="s">
        <v>387</v>
      </c>
      <c r="E2185" s="6" t="s">
        <v>386</v>
      </c>
      <c r="F2185" s="2"/>
      <c r="G2185" s="3" t="s">
        <v>3190</v>
      </c>
      <c r="H2185" s="5">
        <v>0</v>
      </c>
      <c r="I2185" s="6">
        <v>710000000</v>
      </c>
      <c r="J2185" s="4" t="s">
        <v>1931</v>
      </c>
      <c r="K2185" s="4" t="s">
        <v>756</v>
      </c>
      <c r="L2185" s="3" t="s">
        <v>1165</v>
      </c>
      <c r="M2185" s="8" t="s">
        <v>3195</v>
      </c>
      <c r="N2185" s="3" t="s">
        <v>1890</v>
      </c>
      <c r="O2185" s="8" t="s">
        <v>1935</v>
      </c>
      <c r="P2185" s="8">
        <v>796</v>
      </c>
      <c r="Q2185" s="8" t="s">
        <v>3196</v>
      </c>
      <c r="R2185" s="69">
        <v>5</v>
      </c>
      <c r="S2185" s="69">
        <v>2232.15</v>
      </c>
      <c r="T2185" s="10">
        <f t="shared" ref="T2185" si="1171">S2185*R2185</f>
        <v>11160.75</v>
      </c>
      <c r="U2185" s="10">
        <f t="shared" ref="U2185" si="1172">T2185*1.12</f>
        <v>12500.04</v>
      </c>
      <c r="V2185" s="7"/>
      <c r="W2185" s="1">
        <v>2015</v>
      </c>
      <c r="X2185" s="62"/>
    </row>
    <row r="2186" spans="1:24" s="13" customFormat="1" ht="76.5" customHeight="1" outlineLevel="1" x14ac:dyDescent="0.2">
      <c r="A2186" s="1" t="s">
        <v>3935</v>
      </c>
      <c r="B2186" s="2" t="s">
        <v>5277</v>
      </c>
      <c r="C2186" s="6" t="s">
        <v>455</v>
      </c>
      <c r="D2186" s="6" t="s">
        <v>5250</v>
      </c>
      <c r="E2186" s="6" t="s">
        <v>5251</v>
      </c>
      <c r="F2186" s="6" t="s">
        <v>454</v>
      </c>
      <c r="G2186" s="3" t="s">
        <v>3190</v>
      </c>
      <c r="H2186" s="5">
        <v>0</v>
      </c>
      <c r="I2186" s="6">
        <v>710000000</v>
      </c>
      <c r="J2186" s="4" t="s">
        <v>1931</v>
      </c>
      <c r="K2186" s="4" t="s">
        <v>5297</v>
      </c>
      <c r="L2186" s="3" t="s">
        <v>1165</v>
      </c>
      <c r="M2186" s="8" t="s">
        <v>3195</v>
      </c>
      <c r="N2186" s="3" t="s">
        <v>1890</v>
      </c>
      <c r="O2186" s="8" t="s">
        <v>1935</v>
      </c>
      <c r="P2186" s="62">
        <v>839</v>
      </c>
      <c r="Q2186" s="3" t="s">
        <v>5413</v>
      </c>
      <c r="R2186" s="69">
        <f>9+10+7+1</f>
        <v>27</v>
      </c>
      <c r="S2186" s="69">
        <v>2500</v>
      </c>
      <c r="T2186" s="10">
        <v>0</v>
      </c>
      <c r="U2186" s="10">
        <f t="shared" si="1117"/>
        <v>0</v>
      </c>
      <c r="V2186" s="7"/>
      <c r="W2186" s="1">
        <v>2015</v>
      </c>
      <c r="X2186" s="62">
        <v>11</v>
      </c>
    </row>
    <row r="2187" spans="1:24" s="13" customFormat="1" ht="76.5" customHeight="1" outlineLevel="1" x14ac:dyDescent="0.2">
      <c r="A2187" s="1" t="s">
        <v>7713</v>
      </c>
      <c r="B2187" s="2" t="s">
        <v>5277</v>
      </c>
      <c r="C2187" s="6" t="s">
        <v>455</v>
      </c>
      <c r="D2187" s="6" t="s">
        <v>5250</v>
      </c>
      <c r="E2187" s="6" t="s">
        <v>5251</v>
      </c>
      <c r="F2187" s="6" t="s">
        <v>454</v>
      </c>
      <c r="G2187" s="3" t="s">
        <v>3190</v>
      </c>
      <c r="H2187" s="5">
        <v>0</v>
      </c>
      <c r="I2187" s="6">
        <v>710000000</v>
      </c>
      <c r="J2187" s="4" t="s">
        <v>1931</v>
      </c>
      <c r="K2187" s="4" t="s">
        <v>756</v>
      </c>
      <c r="L2187" s="3" t="s">
        <v>1165</v>
      </c>
      <c r="M2187" s="8" t="s">
        <v>3195</v>
      </c>
      <c r="N2187" s="3" t="s">
        <v>1890</v>
      </c>
      <c r="O2187" s="8" t="s">
        <v>1935</v>
      </c>
      <c r="P2187" s="62">
        <v>839</v>
      </c>
      <c r="Q2187" s="3" t="s">
        <v>5413</v>
      </c>
      <c r="R2187" s="69">
        <f>9+10+7+1</f>
        <v>27</v>
      </c>
      <c r="S2187" s="69">
        <v>2500</v>
      </c>
      <c r="T2187" s="10">
        <f t="shared" ref="T2187" si="1173">S2187*R2187</f>
        <v>67500</v>
      </c>
      <c r="U2187" s="10">
        <f t="shared" ref="U2187" si="1174">T2187*1.12</f>
        <v>75600</v>
      </c>
      <c r="V2187" s="7"/>
      <c r="W2187" s="1">
        <v>2015</v>
      </c>
      <c r="X2187" s="62"/>
    </row>
    <row r="2188" spans="1:24" s="13" customFormat="1" ht="76.5" customHeight="1" outlineLevel="1" x14ac:dyDescent="0.2">
      <c r="A2188" s="1" t="s">
        <v>3936</v>
      </c>
      <c r="B2188" s="2" t="s">
        <v>5277</v>
      </c>
      <c r="C2188" s="6" t="s">
        <v>451</v>
      </c>
      <c r="D2188" s="6" t="s">
        <v>450</v>
      </c>
      <c r="E2188" s="6" t="s">
        <v>450</v>
      </c>
      <c r="F2188" s="2" t="s">
        <v>453</v>
      </c>
      <c r="G2188" s="3" t="s">
        <v>3190</v>
      </c>
      <c r="H2188" s="5">
        <v>0</v>
      </c>
      <c r="I2188" s="6">
        <v>710000000</v>
      </c>
      <c r="J2188" s="4" t="s">
        <v>1931</v>
      </c>
      <c r="K2188" s="4" t="s">
        <v>5297</v>
      </c>
      <c r="L2188" s="3" t="s">
        <v>1165</v>
      </c>
      <c r="M2188" s="8" t="s">
        <v>3195</v>
      </c>
      <c r="N2188" s="3" t="s">
        <v>1890</v>
      </c>
      <c r="O2188" s="8" t="s">
        <v>1935</v>
      </c>
      <c r="P2188" s="62">
        <v>839</v>
      </c>
      <c r="Q2188" s="3" t="s">
        <v>5413</v>
      </c>
      <c r="R2188" s="69">
        <v>50</v>
      </c>
      <c r="S2188" s="69">
        <v>1256.25</v>
      </c>
      <c r="T2188" s="10">
        <v>0</v>
      </c>
      <c r="U2188" s="10">
        <f t="shared" si="1117"/>
        <v>0</v>
      </c>
      <c r="V2188" s="7"/>
      <c r="W2188" s="1">
        <v>2015</v>
      </c>
      <c r="X2188" s="62" t="s">
        <v>7518</v>
      </c>
    </row>
    <row r="2189" spans="1:24" s="13" customFormat="1" ht="76.5" customHeight="1" outlineLevel="1" x14ac:dyDescent="0.2">
      <c r="A2189" s="1" t="s">
        <v>7714</v>
      </c>
      <c r="B2189" s="2" t="s">
        <v>5277</v>
      </c>
      <c r="C2189" s="6" t="s">
        <v>451</v>
      </c>
      <c r="D2189" s="6" t="s">
        <v>450</v>
      </c>
      <c r="E2189" s="6" t="s">
        <v>450</v>
      </c>
      <c r="F2189" s="2" t="s">
        <v>453</v>
      </c>
      <c r="G2189" s="3" t="s">
        <v>3190</v>
      </c>
      <c r="H2189" s="5">
        <v>0</v>
      </c>
      <c r="I2189" s="6">
        <v>710000000</v>
      </c>
      <c r="J2189" s="4" t="s">
        <v>1931</v>
      </c>
      <c r="K2189" s="4" t="s">
        <v>756</v>
      </c>
      <c r="L2189" s="3" t="s">
        <v>1165</v>
      </c>
      <c r="M2189" s="8" t="s">
        <v>3195</v>
      </c>
      <c r="N2189" s="3" t="s">
        <v>1890</v>
      </c>
      <c r="O2189" s="8" t="s">
        <v>1935</v>
      </c>
      <c r="P2189" s="62">
        <v>839</v>
      </c>
      <c r="Q2189" s="3" t="s">
        <v>5413</v>
      </c>
      <c r="R2189" s="69">
        <v>40</v>
      </c>
      <c r="S2189" s="69">
        <v>1256.25</v>
      </c>
      <c r="T2189" s="10">
        <f t="shared" ref="T2189" si="1175">S2189*R2189</f>
        <v>50250</v>
      </c>
      <c r="U2189" s="10">
        <f t="shared" ref="U2189" si="1176">T2189*1.12</f>
        <v>56280.000000000007</v>
      </c>
      <c r="V2189" s="7"/>
      <c r="W2189" s="1">
        <v>2015</v>
      </c>
      <c r="X2189" s="62"/>
    </row>
    <row r="2190" spans="1:24" s="13" customFormat="1" ht="76.5" customHeight="1" outlineLevel="1" x14ac:dyDescent="0.2">
      <c r="A2190" s="1" t="s">
        <v>3937</v>
      </c>
      <c r="B2190" s="2" t="s">
        <v>5277</v>
      </c>
      <c r="C2190" s="6" t="s">
        <v>451</v>
      </c>
      <c r="D2190" s="6" t="s">
        <v>450</v>
      </c>
      <c r="E2190" s="6" t="s">
        <v>450</v>
      </c>
      <c r="F2190" s="2" t="s">
        <v>452</v>
      </c>
      <c r="G2190" s="3" t="s">
        <v>3190</v>
      </c>
      <c r="H2190" s="5">
        <v>0</v>
      </c>
      <c r="I2190" s="6">
        <v>710000000</v>
      </c>
      <c r="J2190" s="4" t="s">
        <v>1931</v>
      </c>
      <c r="K2190" s="4" t="s">
        <v>5297</v>
      </c>
      <c r="L2190" s="3" t="s">
        <v>1165</v>
      </c>
      <c r="M2190" s="8" t="s">
        <v>3195</v>
      </c>
      <c r="N2190" s="3" t="s">
        <v>1890</v>
      </c>
      <c r="O2190" s="8" t="s">
        <v>1935</v>
      </c>
      <c r="P2190" s="62">
        <v>839</v>
      </c>
      <c r="Q2190" s="3" t="s">
        <v>5413</v>
      </c>
      <c r="R2190" s="69">
        <f>32+20</f>
        <v>52</v>
      </c>
      <c r="S2190" s="69">
        <v>2376.79</v>
      </c>
      <c r="T2190" s="10">
        <v>0</v>
      </c>
      <c r="U2190" s="10">
        <f t="shared" si="1117"/>
        <v>0</v>
      </c>
      <c r="V2190" s="7"/>
      <c r="W2190" s="1">
        <v>2015</v>
      </c>
      <c r="X2190" s="62" t="s">
        <v>7518</v>
      </c>
    </row>
    <row r="2191" spans="1:24" s="13" customFormat="1" ht="76.5" customHeight="1" outlineLevel="1" x14ac:dyDescent="0.2">
      <c r="A2191" s="1" t="s">
        <v>7715</v>
      </c>
      <c r="B2191" s="2" t="s">
        <v>5277</v>
      </c>
      <c r="C2191" s="6" t="s">
        <v>451</v>
      </c>
      <c r="D2191" s="6" t="s">
        <v>450</v>
      </c>
      <c r="E2191" s="6" t="s">
        <v>450</v>
      </c>
      <c r="F2191" s="2" t="s">
        <v>452</v>
      </c>
      <c r="G2191" s="3" t="s">
        <v>3190</v>
      </c>
      <c r="H2191" s="5">
        <v>0</v>
      </c>
      <c r="I2191" s="6">
        <v>710000000</v>
      </c>
      <c r="J2191" s="4" t="s">
        <v>1931</v>
      </c>
      <c r="K2191" s="4" t="s">
        <v>756</v>
      </c>
      <c r="L2191" s="3" t="s">
        <v>1165</v>
      </c>
      <c r="M2191" s="8" t="s">
        <v>3195</v>
      </c>
      <c r="N2191" s="3" t="s">
        <v>1890</v>
      </c>
      <c r="O2191" s="8" t="s">
        <v>1935</v>
      </c>
      <c r="P2191" s="62">
        <v>839</v>
      </c>
      <c r="Q2191" s="3" t="s">
        <v>5413</v>
      </c>
      <c r="R2191" s="69">
        <f>30+10</f>
        <v>40</v>
      </c>
      <c r="S2191" s="69">
        <v>2376.79</v>
      </c>
      <c r="T2191" s="10">
        <f t="shared" ref="T2191" si="1177">S2191*R2191</f>
        <v>95071.6</v>
      </c>
      <c r="U2191" s="10">
        <f t="shared" ref="U2191" si="1178">T2191*1.12</f>
        <v>106480.19200000001</v>
      </c>
      <c r="V2191" s="7"/>
      <c r="W2191" s="1">
        <v>2015</v>
      </c>
      <c r="X2191" s="62"/>
    </row>
    <row r="2192" spans="1:24" s="13" customFormat="1" ht="76.5" customHeight="1" outlineLevel="1" x14ac:dyDescent="0.2">
      <c r="A2192" s="1" t="s">
        <v>3938</v>
      </c>
      <c r="B2192" s="2" t="s">
        <v>5277</v>
      </c>
      <c r="C2192" s="6" t="s">
        <v>451</v>
      </c>
      <c r="D2192" s="6" t="s">
        <v>450</v>
      </c>
      <c r="E2192" s="6" t="s">
        <v>450</v>
      </c>
      <c r="F2192" s="2" t="s">
        <v>449</v>
      </c>
      <c r="G2192" s="3" t="s">
        <v>3190</v>
      </c>
      <c r="H2192" s="5">
        <v>0</v>
      </c>
      <c r="I2192" s="6">
        <v>710000000</v>
      </c>
      <c r="J2192" s="4" t="s">
        <v>1931</v>
      </c>
      <c r="K2192" s="4" t="s">
        <v>5297</v>
      </c>
      <c r="L2192" s="3" t="s">
        <v>1165</v>
      </c>
      <c r="M2192" s="8" t="s">
        <v>3195</v>
      </c>
      <c r="N2192" s="3" t="s">
        <v>1890</v>
      </c>
      <c r="O2192" s="8" t="s">
        <v>1935</v>
      </c>
      <c r="P2192" s="62">
        <v>839</v>
      </c>
      <c r="Q2192" s="3" t="s">
        <v>5413</v>
      </c>
      <c r="R2192" s="69">
        <v>20</v>
      </c>
      <c r="S2192" s="69">
        <v>2376.79</v>
      </c>
      <c r="T2192" s="10">
        <f t="shared" si="1114"/>
        <v>47535.8</v>
      </c>
      <c r="U2192" s="10">
        <f t="shared" si="1117"/>
        <v>53240.096000000005</v>
      </c>
      <c r="V2192" s="7"/>
      <c r="W2192" s="1">
        <v>2015</v>
      </c>
      <c r="X2192" s="62" t="s">
        <v>7518</v>
      </c>
    </row>
    <row r="2193" spans="1:24" s="13" customFormat="1" ht="76.5" outlineLevel="1" x14ac:dyDescent="0.2">
      <c r="A2193" s="1" t="s">
        <v>7716</v>
      </c>
      <c r="B2193" s="2" t="s">
        <v>5277</v>
      </c>
      <c r="C2193" s="6" t="s">
        <v>451</v>
      </c>
      <c r="D2193" s="6" t="s">
        <v>450</v>
      </c>
      <c r="E2193" s="6" t="s">
        <v>450</v>
      </c>
      <c r="F2193" s="2" t="s">
        <v>449</v>
      </c>
      <c r="G2193" s="3" t="s">
        <v>3190</v>
      </c>
      <c r="H2193" s="5">
        <v>0</v>
      </c>
      <c r="I2193" s="6">
        <v>710000000</v>
      </c>
      <c r="J2193" s="4" t="s">
        <v>1931</v>
      </c>
      <c r="K2193" s="4" t="s">
        <v>756</v>
      </c>
      <c r="L2193" s="3" t="s">
        <v>1165</v>
      </c>
      <c r="M2193" s="8" t="s">
        <v>3195</v>
      </c>
      <c r="N2193" s="3" t="s">
        <v>1890</v>
      </c>
      <c r="O2193" s="8" t="s">
        <v>1935</v>
      </c>
      <c r="P2193" s="62">
        <v>839</v>
      </c>
      <c r="Q2193" s="3" t="s">
        <v>5413</v>
      </c>
      <c r="R2193" s="69">
        <v>10</v>
      </c>
      <c r="S2193" s="69">
        <v>2376.79</v>
      </c>
      <c r="T2193" s="10">
        <v>0</v>
      </c>
      <c r="U2193" s="10">
        <f t="shared" ref="U2193" si="1179">T2193*1.12</f>
        <v>0</v>
      </c>
      <c r="V2193" s="7"/>
      <c r="W2193" s="1">
        <v>2015</v>
      </c>
      <c r="X2193" s="62" t="s">
        <v>7518</v>
      </c>
    </row>
    <row r="2194" spans="1:24" s="13" customFormat="1" ht="76.5" outlineLevel="1" x14ac:dyDescent="0.2">
      <c r="A2194" s="1" t="s">
        <v>9288</v>
      </c>
      <c r="B2194" s="2" t="s">
        <v>5277</v>
      </c>
      <c r="C2194" s="6" t="s">
        <v>451</v>
      </c>
      <c r="D2194" s="6" t="s">
        <v>450</v>
      </c>
      <c r="E2194" s="6" t="s">
        <v>450</v>
      </c>
      <c r="F2194" s="2" t="s">
        <v>449</v>
      </c>
      <c r="G2194" s="3" t="s">
        <v>3190</v>
      </c>
      <c r="H2194" s="5">
        <v>0</v>
      </c>
      <c r="I2194" s="6">
        <v>710000000</v>
      </c>
      <c r="J2194" s="4" t="s">
        <v>1931</v>
      </c>
      <c r="K2194" s="4" t="s">
        <v>9276</v>
      </c>
      <c r="L2194" s="3" t="s">
        <v>1165</v>
      </c>
      <c r="M2194" s="8" t="s">
        <v>3195</v>
      </c>
      <c r="N2194" s="3" t="s">
        <v>1890</v>
      </c>
      <c r="O2194" s="8" t="s">
        <v>1935</v>
      </c>
      <c r="P2194" s="62">
        <v>839</v>
      </c>
      <c r="Q2194" s="3" t="s">
        <v>5413</v>
      </c>
      <c r="R2194" s="69">
        <f>10+20</f>
        <v>30</v>
      </c>
      <c r="S2194" s="69">
        <v>2376.79</v>
      </c>
      <c r="T2194" s="10">
        <f t="shared" ref="T2194" si="1180">S2194*R2194</f>
        <v>71303.7</v>
      </c>
      <c r="U2194" s="10">
        <f t="shared" ref="U2194" si="1181">T2194*1.12</f>
        <v>79860.144</v>
      </c>
      <c r="V2194" s="7"/>
      <c r="W2194" s="1">
        <v>2015</v>
      </c>
      <c r="X2194" s="62"/>
    </row>
    <row r="2195" spans="1:24" s="13" customFormat="1" ht="76.5" customHeight="1" outlineLevel="1" x14ac:dyDescent="0.2">
      <c r="A2195" s="1" t="s">
        <v>3939</v>
      </c>
      <c r="B2195" s="2" t="s">
        <v>5277</v>
      </c>
      <c r="C2195" s="6" t="s">
        <v>448</v>
      </c>
      <c r="D2195" s="6" t="s">
        <v>378</v>
      </c>
      <c r="E2195" s="6" t="s">
        <v>447</v>
      </c>
      <c r="F2195" s="2" t="s">
        <v>446</v>
      </c>
      <c r="G2195" s="3" t="s">
        <v>3190</v>
      </c>
      <c r="H2195" s="5">
        <v>0</v>
      </c>
      <c r="I2195" s="6">
        <v>710000000</v>
      </c>
      <c r="J2195" s="4" t="s">
        <v>1931</v>
      </c>
      <c r="K2195" s="4" t="s">
        <v>5297</v>
      </c>
      <c r="L2195" s="3" t="s">
        <v>1165</v>
      </c>
      <c r="M2195" s="8" t="s">
        <v>3195</v>
      </c>
      <c r="N2195" s="3" t="s">
        <v>1890</v>
      </c>
      <c r="O2195" s="8" t="s">
        <v>1935</v>
      </c>
      <c r="P2195" s="8">
        <v>796</v>
      </c>
      <c r="Q2195" s="8" t="s">
        <v>3196</v>
      </c>
      <c r="R2195" s="69">
        <v>9</v>
      </c>
      <c r="S2195" s="69">
        <v>1003.57</v>
      </c>
      <c r="T2195" s="10">
        <v>0</v>
      </c>
      <c r="U2195" s="10">
        <f t="shared" si="1117"/>
        <v>0</v>
      </c>
      <c r="V2195" s="7"/>
      <c r="W2195" s="1">
        <v>2015</v>
      </c>
      <c r="X2195" s="62" t="s">
        <v>7518</v>
      </c>
    </row>
    <row r="2196" spans="1:24" s="13" customFormat="1" ht="76.5" customHeight="1" outlineLevel="1" x14ac:dyDescent="0.2">
      <c r="A2196" s="1" t="s">
        <v>7717</v>
      </c>
      <c r="B2196" s="2" t="s">
        <v>5277</v>
      </c>
      <c r="C2196" s="6" t="s">
        <v>448</v>
      </c>
      <c r="D2196" s="6" t="s">
        <v>378</v>
      </c>
      <c r="E2196" s="6" t="s">
        <v>447</v>
      </c>
      <c r="F2196" s="2" t="s">
        <v>446</v>
      </c>
      <c r="G2196" s="3" t="s">
        <v>3190</v>
      </c>
      <c r="H2196" s="5">
        <v>0</v>
      </c>
      <c r="I2196" s="6">
        <v>710000000</v>
      </c>
      <c r="J2196" s="4" t="s">
        <v>1931</v>
      </c>
      <c r="K2196" s="4" t="s">
        <v>756</v>
      </c>
      <c r="L2196" s="3" t="s">
        <v>1165</v>
      </c>
      <c r="M2196" s="8" t="s">
        <v>3195</v>
      </c>
      <c r="N2196" s="3" t="s">
        <v>1890</v>
      </c>
      <c r="O2196" s="8" t="s">
        <v>1935</v>
      </c>
      <c r="P2196" s="8">
        <v>796</v>
      </c>
      <c r="Q2196" s="8" t="s">
        <v>3196</v>
      </c>
      <c r="R2196" s="69">
        <v>5</v>
      </c>
      <c r="S2196" s="69">
        <v>1003.57</v>
      </c>
      <c r="T2196" s="10">
        <f t="shared" ref="T2196" si="1182">S2196*R2196</f>
        <v>5017.8500000000004</v>
      </c>
      <c r="U2196" s="10">
        <f t="shared" ref="U2196" si="1183">T2196*1.12</f>
        <v>5619.9920000000011</v>
      </c>
      <c r="V2196" s="7"/>
      <c r="W2196" s="1">
        <v>2015</v>
      </c>
      <c r="X2196" s="62"/>
    </row>
    <row r="2197" spans="1:24" s="13" customFormat="1" ht="76.5" customHeight="1" outlineLevel="1" x14ac:dyDescent="0.2">
      <c r="A2197" s="1" t="s">
        <v>3940</v>
      </c>
      <c r="B2197" s="2" t="s">
        <v>5277</v>
      </c>
      <c r="C2197" s="6" t="s">
        <v>4221</v>
      </c>
      <c r="D2197" s="6" t="s">
        <v>5558</v>
      </c>
      <c r="E2197" s="6" t="s">
        <v>5559</v>
      </c>
      <c r="F2197" s="2"/>
      <c r="G2197" s="3" t="s">
        <v>3190</v>
      </c>
      <c r="H2197" s="5">
        <v>0</v>
      </c>
      <c r="I2197" s="6">
        <v>710000000</v>
      </c>
      <c r="J2197" s="4" t="s">
        <v>1931</v>
      </c>
      <c r="K2197" s="4" t="s">
        <v>5297</v>
      </c>
      <c r="L2197" s="3" t="s">
        <v>1165</v>
      </c>
      <c r="M2197" s="8" t="s">
        <v>3195</v>
      </c>
      <c r="N2197" s="3" t="s">
        <v>1890</v>
      </c>
      <c r="O2197" s="8" t="s">
        <v>1935</v>
      </c>
      <c r="P2197" s="8">
        <v>796</v>
      </c>
      <c r="Q2197" s="8" t="s">
        <v>3196</v>
      </c>
      <c r="R2197" s="69">
        <v>10</v>
      </c>
      <c r="S2197" s="69">
        <v>444.65</v>
      </c>
      <c r="T2197" s="10">
        <v>0</v>
      </c>
      <c r="U2197" s="10">
        <f t="shared" si="1117"/>
        <v>0</v>
      </c>
      <c r="V2197" s="7"/>
      <c r="W2197" s="1">
        <v>2015</v>
      </c>
      <c r="X2197" s="62">
        <v>11</v>
      </c>
    </row>
    <row r="2198" spans="1:24" s="13" customFormat="1" ht="76.5" customHeight="1" outlineLevel="1" x14ac:dyDescent="0.2">
      <c r="A2198" s="1" t="s">
        <v>7718</v>
      </c>
      <c r="B2198" s="2" t="s">
        <v>5277</v>
      </c>
      <c r="C2198" s="6" t="s">
        <v>4221</v>
      </c>
      <c r="D2198" s="6" t="s">
        <v>5558</v>
      </c>
      <c r="E2198" s="6" t="s">
        <v>5559</v>
      </c>
      <c r="F2198" s="2"/>
      <c r="G2198" s="3" t="s">
        <v>3190</v>
      </c>
      <c r="H2198" s="5">
        <v>0</v>
      </c>
      <c r="I2198" s="6">
        <v>710000000</v>
      </c>
      <c r="J2198" s="4" t="s">
        <v>1931</v>
      </c>
      <c r="K2198" s="4" t="s">
        <v>756</v>
      </c>
      <c r="L2198" s="3" t="s">
        <v>1165</v>
      </c>
      <c r="M2198" s="8" t="s">
        <v>3195</v>
      </c>
      <c r="N2198" s="3" t="s">
        <v>1890</v>
      </c>
      <c r="O2198" s="8" t="s">
        <v>1935</v>
      </c>
      <c r="P2198" s="8">
        <v>796</v>
      </c>
      <c r="Q2198" s="8" t="s">
        <v>3196</v>
      </c>
      <c r="R2198" s="69">
        <v>10</v>
      </c>
      <c r="S2198" s="69">
        <v>444.65</v>
      </c>
      <c r="T2198" s="10">
        <f t="shared" ref="T2198" si="1184">S2198*R2198</f>
        <v>4446.5</v>
      </c>
      <c r="U2198" s="10">
        <f t="shared" ref="U2198" si="1185">T2198*1.12</f>
        <v>4980.0800000000008</v>
      </c>
      <c r="V2198" s="7"/>
      <c r="W2198" s="1">
        <v>2015</v>
      </c>
      <c r="X2198" s="62"/>
    </row>
    <row r="2199" spans="1:24" s="13" customFormat="1" ht="76.5" customHeight="1" outlineLevel="1" x14ac:dyDescent="0.2">
      <c r="A2199" s="1" t="s">
        <v>3941</v>
      </c>
      <c r="B2199" s="38" t="s">
        <v>5277</v>
      </c>
      <c r="C2199" s="6" t="s">
        <v>445</v>
      </c>
      <c r="D2199" s="6" t="s">
        <v>5225</v>
      </c>
      <c r="E2199" s="6" t="s">
        <v>5343</v>
      </c>
      <c r="F2199" s="39" t="s">
        <v>444</v>
      </c>
      <c r="G2199" s="50" t="s">
        <v>3190</v>
      </c>
      <c r="H2199" s="5">
        <v>0</v>
      </c>
      <c r="I2199" s="6">
        <v>710000000</v>
      </c>
      <c r="J2199" s="4" t="s">
        <v>1931</v>
      </c>
      <c r="K2199" s="4" t="s">
        <v>5297</v>
      </c>
      <c r="L2199" s="3" t="s">
        <v>1165</v>
      </c>
      <c r="M2199" s="8" t="s">
        <v>3195</v>
      </c>
      <c r="N2199" s="3" t="s">
        <v>1890</v>
      </c>
      <c r="O2199" s="8" t="s">
        <v>1935</v>
      </c>
      <c r="P2199" s="62">
        <v>704</v>
      </c>
      <c r="Q2199" s="3" t="s">
        <v>5196</v>
      </c>
      <c r="R2199" s="9">
        <v>20</v>
      </c>
      <c r="S2199" s="9">
        <v>1500</v>
      </c>
      <c r="T2199" s="10">
        <v>0</v>
      </c>
      <c r="U2199" s="10">
        <f t="shared" si="1117"/>
        <v>0</v>
      </c>
      <c r="V2199" s="7"/>
      <c r="W2199" s="11">
        <v>2015</v>
      </c>
      <c r="X2199" s="12" t="s">
        <v>6562</v>
      </c>
    </row>
    <row r="2200" spans="1:24" s="13" customFormat="1" ht="76.5" customHeight="1" outlineLevel="1" x14ac:dyDescent="0.2">
      <c r="A2200" s="1" t="s">
        <v>6654</v>
      </c>
      <c r="B2200" s="2" t="s">
        <v>5277</v>
      </c>
      <c r="C2200" s="6" t="s">
        <v>445</v>
      </c>
      <c r="D2200" s="6" t="s">
        <v>5225</v>
      </c>
      <c r="E2200" s="6" t="s">
        <v>5343</v>
      </c>
      <c r="F2200" s="2" t="s">
        <v>444</v>
      </c>
      <c r="G2200" s="3" t="s">
        <v>3190</v>
      </c>
      <c r="H2200" s="5">
        <v>0</v>
      </c>
      <c r="I2200" s="6">
        <v>710000000</v>
      </c>
      <c r="J2200" s="4" t="s">
        <v>1931</v>
      </c>
      <c r="K2200" s="4" t="s">
        <v>5297</v>
      </c>
      <c r="L2200" s="3" t="s">
        <v>1165</v>
      </c>
      <c r="M2200" s="8" t="s">
        <v>3195</v>
      </c>
      <c r="N2200" s="3" t="s">
        <v>1890</v>
      </c>
      <c r="O2200" s="8" t="s">
        <v>1935</v>
      </c>
      <c r="P2200" s="62">
        <v>704</v>
      </c>
      <c r="Q2200" s="3" t="s">
        <v>5196</v>
      </c>
      <c r="R2200" s="69">
        <v>18</v>
      </c>
      <c r="S2200" s="69">
        <v>1500</v>
      </c>
      <c r="T2200" s="10">
        <v>0</v>
      </c>
      <c r="U2200" s="10">
        <f t="shared" si="1117"/>
        <v>0</v>
      </c>
      <c r="V2200" s="7"/>
      <c r="W2200" s="1">
        <v>2015</v>
      </c>
      <c r="X2200" s="62">
        <v>11</v>
      </c>
    </row>
    <row r="2201" spans="1:24" s="13" customFormat="1" ht="76.5" customHeight="1" outlineLevel="1" x14ac:dyDescent="0.2">
      <c r="A2201" s="1" t="s">
        <v>7719</v>
      </c>
      <c r="B2201" s="2" t="s">
        <v>5277</v>
      </c>
      <c r="C2201" s="6" t="s">
        <v>445</v>
      </c>
      <c r="D2201" s="6" t="s">
        <v>5225</v>
      </c>
      <c r="E2201" s="6" t="s">
        <v>5343</v>
      </c>
      <c r="F2201" s="2" t="s">
        <v>444</v>
      </c>
      <c r="G2201" s="3" t="s">
        <v>3190</v>
      </c>
      <c r="H2201" s="5">
        <v>0</v>
      </c>
      <c r="I2201" s="6">
        <v>710000000</v>
      </c>
      <c r="J2201" s="4" t="s">
        <v>1931</v>
      </c>
      <c r="K2201" s="4" t="s">
        <v>756</v>
      </c>
      <c r="L2201" s="3" t="s">
        <v>1165</v>
      </c>
      <c r="M2201" s="8" t="s">
        <v>3195</v>
      </c>
      <c r="N2201" s="3" t="s">
        <v>1890</v>
      </c>
      <c r="O2201" s="8" t="s">
        <v>1935</v>
      </c>
      <c r="P2201" s="62">
        <v>704</v>
      </c>
      <c r="Q2201" s="3" t="s">
        <v>5196</v>
      </c>
      <c r="R2201" s="69">
        <v>18</v>
      </c>
      <c r="S2201" s="69">
        <v>1500</v>
      </c>
      <c r="T2201" s="10">
        <f t="shared" ref="T2201" si="1186">S2201*R2201</f>
        <v>27000</v>
      </c>
      <c r="U2201" s="10">
        <f t="shared" ref="U2201" si="1187">T2201*1.12</f>
        <v>30240.000000000004</v>
      </c>
      <c r="V2201" s="7"/>
      <c r="W2201" s="1">
        <v>2015</v>
      </c>
      <c r="X2201" s="62"/>
    </row>
    <row r="2202" spans="1:24" s="13" customFormat="1" ht="76.5" customHeight="1" outlineLevel="1" x14ac:dyDescent="0.2">
      <c r="A2202" s="1" t="s">
        <v>3942</v>
      </c>
      <c r="B2202" s="2" t="s">
        <v>5277</v>
      </c>
      <c r="C2202" s="6" t="s">
        <v>3095</v>
      </c>
      <c r="D2202" s="6" t="s">
        <v>5225</v>
      </c>
      <c r="E2202" s="6" t="s">
        <v>5226</v>
      </c>
      <c r="F2202" s="2"/>
      <c r="G2202" s="3" t="s">
        <v>3190</v>
      </c>
      <c r="H2202" s="5">
        <v>0</v>
      </c>
      <c r="I2202" s="6">
        <v>710000000</v>
      </c>
      <c r="J2202" s="4" t="s">
        <v>1931</v>
      </c>
      <c r="K2202" s="4" t="s">
        <v>5297</v>
      </c>
      <c r="L2202" s="3" t="s">
        <v>1165</v>
      </c>
      <c r="M2202" s="8" t="s">
        <v>3195</v>
      </c>
      <c r="N2202" s="3" t="s">
        <v>1890</v>
      </c>
      <c r="O2202" s="8" t="s">
        <v>1935</v>
      </c>
      <c r="P2202" s="8">
        <v>796</v>
      </c>
      <c r="Q2202" s="8" t="s">
        <v>3196</v>
      </c>
      <c r="R2202" s="69">
        <f>2+20</f>
        <v>22</v>
      </c>
      <c r="S2202" s="69">
        <v>0</v>
      </c>
      <c r="T2202" s="10">
        <f t="shared" si="1114"/>
        <v>0</v>
      </c>
      <c r="U2202" s="10">
        <f t="shared" si="1117"/>
        <v>0</v>
      </c>
      <c r="V2202" s="7"/>
      <c r="W2202" s="1">
        <v>2015</v>
      </c>
      <c r="X2202" s="62">
        <v>11</v>
      </c>
    </row>
    <row r="2203" spans="1:24" s="13" customFormat="1" ht="76.5" outlineLevel="1" x14ac:dyDescent="0.2">
      <c r="A2203" s="1" t="s">
        <v>7720</v>
      </c>
      <c r="B2203" s="2" t="s">
        <v>5277</v>
      </c>
      <c r="C2203" s="6" t="s">
        <v>3095</v>
      </c>
      <c r="D2203" s="6" t="s">
        <v>5225</v>
      </c>
      <c r="E2203" s="6" t="s">
        <v>5226</v>
      </c>
      <c r="F2203" s="2"/>
      <c r="G2203" s="3" t="s">
        <v>3190</v>
      </c>
      <c r="H2203" s="5">
        <v>0</v>
      </c>
      <c r="I2203" s="6">
        <v>710000000</v>
      </c>
      <c r="J2203" s="4" t="s">
        <v>1931</v>
      </c>
      <c r="K2203" s="4" t="s">
        <v>756</v>
      </c>
      <c r="L2203" s="3" t="s">
        <v>1165</v>
      </c>
      <c r="M2203" s="8" t="s">
        <v>3195</v>
      </c>
      <c r="N2203" s="3" t="s">
        <v>1890</v>
      </c>
      <c r="O2203" s="8" t="s">
        <v>1935</v>
      </c>
      <c r="P2203" s="8">
        <v>796</v>
      </c>
      <c r="Q2203" s="8" t="s">
        <v>3196</v>
      </c>
      <c r="R2203" s="69">
        <f>2+20</f>
        <v>22</v>
      </c>
      <c r="S2203" s="69">
        <v>601.79</v>
      </c>
      <c r="T2203" s="10">
        <v>0</v>
      </c>
      <c r="U2203" s="10">
        <f t="shared" ref="U2203" si="1188">T2203*1.12</f>
        <v>0</v>
      </c>
      <c r="V2203" s="7"/>
      <c r="W2203" s="1">
        <v>2015</v>
      </c>
      <c r="X2203" s="62" t="s">
        <v>7518</v>
      </c>
    </row>
    <row r="2204" spans="1:24" s="13" customFormat="1" ht="76.5" outlineLevel="1" x14ac:dyDescent="0.2">
      <c r="A2204" s="1" t="s">
        <v>9275</v>
      </c>
      <c r="B2204" s="2" t="s">
        <v>5277</v>
      </c>
      <c r="C2204" s="6" t="s">
        <v>3095</v>
      </c>
      <c r="D2204" s="6" t="s">
        <v>5225</v>
      </c>
      <c r="E2204" s="6" t="s">
        <v>5226</v>
      </c>
      <c r="F2204" s="2"/>
      <c r="G2204" s="3" t="s">
        <v>3190</v>
      </c>
      <c r="H2204" s="5">
        <v>0</v>
      </c>
      <c r="I2204" s="6">
        <v>710000000</v>
      </c>
      <c r="J2204" s="4" t="s">
        <v>1931</v>
      </c>
      <c r="K2204" s="4" t="s">
        <v>9276</v>
      </c>
      <c r="L2204" s="3" t="s">
        <v>1165</v>
      </c>
      <c r="M2204" s="8" t="s">
        <v>3195</v>
      </c>
      <c r="N2204" s="3" t="s">
        <v>1890</v>
      </c>
      <c r="O2204" s="8" t="s">
        <v>1935</v>
      </c>
      <c r="P2204" s="8">
        <v>796</v>
      </c>
      <c r="Q2204" s="8" t="s">
        <v>3196</v>
      </c>
      <c r="R2204" s="69">
        <f>2+20+20</f>
        <v>42</v>
      </c>
      <c r="S2204" s="69">
        <v>601.79</v>
      </c>
      <c r="T2204" s="10">
        <f t="shared" ref="T2204" si="1189">S2204*R2204</f>
        <v>25275.18</v>
      </c>
      <c r="U2204" s="10">
        <f t="shared" ref="U2204" si="1190">T2204*1.12</f>
        <v>28308.201600000004</v>
      </c>
      <c r="V2204" s="7"/>
      <c r="W2204" s="1">
        <v>2015</v>
      </c>
      <c r="X2204" s="62"/>
    </row>
    <row r="2205" spans="1:24" s="13" customFormat="1" ht="76.5" customHeight="1" outlineLevel="1" x14ac:dyDescent="0.2">
      <c r="A2205" s="1" t="s">
        <v>3943</v>
      </c>
      <c r="B2205" s="2" t="s">
        <v>5277</v>
      </c>
      <c r="C2205" s="6" t="s">
        <v>443</v>
      </c>
      <c r="D2205" s="6" t="s">
        <v>442</v>
      </c>
      <c r="E2205" s="6" t="s">
        <v>441</v>
      </c>
      <c r="F2205" s="2" t="s">
        <v>440</v>
      </c>
      <c r="G2205" s="3" t="s">
        <v>3190</v>
      </c>
      <c r="H2205" s="5">
        <v>0</v>
      </c>
      <c r="I2205" s="6">
        <v>710000000</v>
      </c>
      <c r="J2205" s="4" t="s">
        <v>1931</v>
      </c>
      <c r="K2205" s="4" t="s">
        <v>5297</v>
      </c>
      <c r="L2205" s="3" t="s">
        <v>1165</v>
      </c>
      <c r="M2205" s="8" t="s">
        <v>3195</v>
      </c>
      <c r="N2205" s="3" t="s">
        <v>1890</v>
      </c>
      <c r="O2205" s="8" t="s">
        <v>1935</v>
      </c>
      <c r="P2205" s="8">
        <v>796</v>
      </c>
      <c r="Q2205" s="8" t="s">
        <v>3196</v>
      </c>
      <c r="R2205" s="69">
        <v>2</v>
      </c>
      <c r="S2205" s="69">
        <v>5732.14</v>
      </c>
      <c r="T2205" s="10">
        <v>0</v>
      </c>
      <c r="U2205" s="10">
        <f t="shared" si="1117"/>
        <v>0</v>
      </c>
      <c r="V2205" s="7"/>
      <c r="W2205" s="1">
        <v>2015</v>
      </c>
      <c r="X2205" s="62">
        <v>11</v>
      </c>
    </row>
    <row r="2206" spans="1:24" s="13" customFormat="1" ht="76.5" customHeight="1" outlineLevel="1" x14ac:dyDescent="0.2">
      <c r="A2206" s="1" t="s">
        <v>7722</v>
      </c>
      <c r="B2206" s="2" t="s">
        <v>5277</v>
      </c>
      <c r="C2206" s="6" t="s">
        <v>443</v>
      </c>
      <c r="D2206" s="6" t="s">
        <v>442</v>
      </c>
      <c r="E2206" s="6" t="s">
        <v>441</v>
      </c>
      <c r="F2206" s="2" t="s">
        <v>440</v>
      </c>
      <c r="G2206" s="3" t="s">
        <v>3190</v>
      </c>
      <c r="H2206" s="5">
        <v>0</v>
      </c>
      <c r="I2206" s="6">
        <v>710000000</v>
      </c>
      <c r="J2206" s="4" t="s">
        <v>1931</v>
      </c>
      <c r="K2206" s="4" t="s">
        <v>756</v>
      </c>
      <c r="L2206" s="3" t="s">
        <v>1165</v>
      </c>
      <c r="M2206" s="8" t="s">
        <v>3195</v>
      </c>
      <c r="N2206" s="3" t="s">
        <v>1890</v>
      </c>
      <c r="O2206" s="8" t="s">
        <v>1935</v>
      </c>
      <c r="P2206" s="8">
        <v>796</v>
      </c>
      <c r="Q2206" s="8" t="s">
        <v>3196</v>
      </c>
      <c r="R2206" s="69">
        <v>2</v>
      </c>
      <c r="S2206" s="69">
        <v>5732.14</v>
      </c>
      <c r="T2206" s="10">
        <f t="shared" ref="T2206" si="1191">S2206*R2206</f>
        <v>11464.28</v>
      </c>
      <c r="U2206" s="10">
        <f t="shared" ref="U2206" si="1192">T2206*1.12</f>
        <v>12839.993600000002</v>
      </c>
      <c r="V2206" s="7"/>
      <c r="W2206" s="1">
        <v>2015</v>
      </c>
      <c r="X2206" s="62"/>
    </row>
    <row r="2207" spans="1:24" s="13" customFormat="1" ht="76.5" customHeight="1" outlineLevel="1" x14ac:dyDescent="0.2">
      <c r="A2207" s="1" t="s">
        <v>3944</v>
      </c>
      <c r="B2207" s="2" t="s">
        <v>5277</v>
      </c>
      <c r="C2207" s="6" t="s">
        <v>439</v>
      </c>
      <c r="D2207" s="6" t="s">
        <v>438</v>
      </c>
      <c r="E2207" s="6" t="s">
        <v>437</v>
      </c>
      <c r="F2207" s="2"/>
      <c r="G2207" s="3" t="s">
        <v>3190</v>
      </c>
      <c r="H2207" s="5">
        <v>0</v>
      </c>
      <c r="I2207" s="6">
        <v>710000000</v>
      </c>
      <c r="J2207" s="4" t="s">
        <v>1931</v>
      </c>
      <c r="K2207" s="4" t="s">
        <v>5297</v>
      </c>
      <c r="L2207" s="3" t="s">
        <v>1165</v>
      </c>
      <c r="M2207" s="8" t="s">
        <v>3195</v>
      </c>
      <c r="N2207" s="3" t="s">
        <v>1890</v>
      </c>
      <c r="O2207" s="8" t="s">
        <v>1935</v>
      </c>
      <c r="P2207" s="62">
        <v>704</v>
      </c>
      <c r="Q2207" s="3" t="s">
        <v>5196</v>
      </c>
      <c r="R2207" s="69">
        <v>20</v>
      </c>
      <c r="S2207" s="69">
        <v>1283.93</v>
      </c>
      <c r="T2207" s="10">
        <v>0</v>
      </c>
      <c r="U2207" s="10">
        <f t="shared" si="1117"/>
        <v>0</v>
      </c>
      <c r="V2207" s="7"/>
      <c r="W2207" s="1">
        <v>2015</v>
      </c>
      <c r="X2207" s="62">
        <v>11</v>
      </c>
    </row>
    <row r="2208" spans="1:24" s="13" customFormat="1" ht="76.5" customHeight="1" outlineLevel="1" x14ac:dyDescent="0.2">
      <c r="A2208" s="1" t="s">
        <v>7721</v>
      </c>
      <c r="B2208" s="2" t="s">
        <v>5277</v>
      </c>
      <c r="C2208" s="6" t="s">
        <v>439</v>
      </c>
      <c r="D2208" s="6" t="s">
        <v>438</v>
      </c>
      <c r="E2208" s="6" t="s">
        <v>437</v>
      </c>
      <c r="F2208" s="2"/>
      <c r="G2208" s="3" t="s">
        <v>3190</v>
      </c>
      <c r="H2208" s="5">
        <v>0</v>
      </c>
      <c r="I2208" s="6">
        <v>710000000</v>
      </c>
      <c r="J2208" s="4" t="s">
        <v>1931</v>
      </c>
      <c r="K2208" s="4" t="s">
        <v>756</v>
      </c>
      <c r="L2208" s="3" t="s">
        <v>1165</v>
      </c>
      <c r="M2208" s="8" t="s">
        <v>3195</v>
      </c>
      <c r="N2208" s="3" t="s">
        <v>1890</v>
      </c>
      <c r="O2208" s="8" t="s">
        <v>1935</v>
      </c>
      <c r="P2208" s="62">
        <v>704</v>
      </c>
      <c r="Q2208" s="3" t="s">
        <v>5196</v>
      </c>
      <c r="R2208" s="69">
        <v>20</v>
      </c>
      <c r="S2208" s="69">
        <v>1283.93</v>
      </c>
      <c r="T2208" s="10">
        <f t="shared" ref="T2208" si="1193">S2208*R2208</f>
        <v>25678.600000000002</v>
      </c>
      <c r="U2208" s="10">
        <f t="shared" ref="U2208" si="1194">T2208*1.12</f>
        <v>28760.032000000007</v>
      </c>
      <c r="V2208" s="7"/>
      <c r="W2208" s="1">
        <v>2015</v>
      </c>
      <c r="X2208" s="62"/>
    </row>
    <row r="2209" spans="1:24" s="13" customFormat="1" ht="102" customHeight="1" outlineLevel="1" x14ac:dyDescent="0.2">
      <c r="A2209" s="1" t="s">
        <v>3945</v>
      </c>
      <c r="B2209" s="38" t="s">
        <v>5277</v>
      </c>
      <c r="C2209" s="6" t="s">
        <v>436</v>
      </c>
      <c r="D2209" s="6" t="s">
        <v>435</v>
      </c>
      <c r="E2209" s="6" t="s">
        <v>7609</v>
      </c>
      <c r="F2209" s="39"/>
      <c r="G2209" s="50" t="s">
        <v>3190</v>
      </c>
      <c r="H2209" s="5">
        <v>0</v>
      </c>
      <c r="I2209" s="6">
        <v>710000000</v>
      </c>
      <c r="J2209" s="4" t="s">
        <v>1931</v>
      </c>
      <c r="K2209" s="4" t="s">
        <v>5297</v>
      </c>
      <c r="L2209" s="3" t="s">
        <v>1165</v>
      </c>
      <c r="M2209" s="8" t="s">
        <v>3195</v>
      </c>
      <c r="N2209" s="3" t="s">
        <v>1890</v>
      </c>
      <c r="O2209" s="8" t="s">
        <v>1935</v>
      </c>
      <c r="P2209" s="62">
        <v>839</v>
      </c>
      <c r="Q2209" s="3" t="s">
        <v>5413</v>
      </c>
      <c r="R2209" s="9">
        <f>9+2+3</f>
        <v>14</v>
      </c>
      <c r="S2209" s="9">
        <v>3914.29</v>
      </c>
      <c r="T2209" s="10">
        <v>0</v>
      </c>
      <c r="U2209" s="10">
        <f t="shared" si="1117"/>
        <v>0</v>
      </c>
      <c r="V2209" s="7"/>
      <c r="W2209" s="11">
        <v>2015</v>
      </c>
      <c r="X2209" s="12" t="s">
        <v>6562</v>
      </c>
    </row>
    <row r="2210" spans="1:24" s="13" customFormat="1" ht="102" customHeight="1" outlineLevel="1" x14ac:dyDescent="0.2">
      <c r="A2210" s="1" t="s">
        <v>6655</v>
      </c>
      <c r="B2210" s="2" t="s">
        <v>5277</v>
      </c>
      <c r="C2210" s="6" t="s">
        <v>436</v>
      </c>
      <c r="D2210" s="6" t="s">
        <v>435</v>
      </c>
      <c r="E2210" s="6" t="s">
        <v>7609</v>
      </c>
      <c r="F2210" s="2"/>
      <c r="G2210" s="3" t="s">
        <v>3190</v>
      </c>
      <c r="H2210" s="5">
        <v>0</v>
      </c>
      <c r="I2210" s="6">
        <v>710000000</v>
      </c>
      <c r="J2210" s="4" t="s">
        <v>1931</v>
      </c>
      <c r="K2210" s="4" t="s">
        <v>5297</v>
      </c>
      <c r="L2210" s="3" t="s">
        <v>1165</v>
      </c>
      <c r="M2210" s="8" t="s">
        <v>3195</v>
      </c>
      <c r="N2210" s="3" t="s">
        <v>1890</v>
      </c>
      <c r="O2210" s="8" t="s">
        <v>1935</v>
      </c>
      <c r="P2210" s="62">
        <v>839</v>
      </c>
      <c r="Q2210" s="3" t="s">
        <v>5413</v>
      </c>
      <c r="R2210" s="69">
        <f>7+2+3</f>
        <v>12</v>
      </c>
      <c r="S2210" s="69">
        <v>3914.29</v>
      </c>
      <c r="T2210" s="10">
        <v>0</v>
      </c>
      <c r="U2210" s="10">
        <f t="shared" si="1117"/>
        <v>0</v>
      </c>
      <c r="V2210" s="7"/>
      <c r="W2210" s="1">
        <v>2015</v>
      </c>
      <c r="X2210" s="62">
        <v>11</v>
      </c>
    </row>
    <row r="2211" spans="1:24" s="13" customFormat="1" ht="102" customHeight="1" outlineLevel="1" x14ac:dyDescent="0.2">
      <c r="A2211" s="1" t="s">
        <v>7723</v>
      </c>
      <c r="B2211" s="2" t="s">
        <v>5277</v>
      </c>
      <c r="C2211" s="6" t="s">
        <v>436</v>
      </c>
      <c r="D2211" s="6" t="s">
        <v>435</v>
      </c>
      <c r="E2211" s="6" t="s">
        <v>7609</v>
      </c>
      <c r="F2211" s="2"/>
      <c r="G2211" s="3" t="s">
        <v>3190</v>
      </c>
      <c r="H2211" s="5">
        <v>0</v>
      </c>
      <c r="I2211" s="6">
        <v>710000000</v>
      </c>
      <c r="J2211" s="4" t="s">
        <v>1931</v>
      </c>
      <c r="K2211" s="4" t="s">
        <v>756</v>
      </c>
      <c r="L2211" s="3" t="s">
        <v>1165</v>
      </c>
      <c r="M2211" s="8" t="s">
        <v>3195</v>
      </c>
      <c r="N2211" s="3" t="s">
        <v>1890</v>
      </c>
      <c r="O2211" s="8" t="s">
        <v>1935</v>
      </c>
      <c r="P2211" s="62">
        <v>839</v>
      </c>
      <c r="Q2211" s="3" t="s">
        <v>5413</v>
      </c>
      <c r="R2211" s="69">
        <f>7+2+3</f>
        <v>12</v>
      </c>
      <c r="S2211" s="69">
        <v>3914.29</v>
      </c>
      <c r="T2211" s="10">
        <f t="shared" ref="T2211" si="1195">S2211*R2211</f>
        <v>46971.479999999996</v>
      </c>
      <c r="U2211" s="10">
        <f t="shared" ref="U2211" si="1196">T2211*1.12</f>
        <v>52608.0576</v>
      </c>
      <c r="V2211" s="7"/>
      <c r="W2211" s="1">
        <v>2015</v>
      </c>
      <c r="X2211" s="62"/>
    </row>
    <row r="2212" spans="1:24" s="13" customFormat="1" ht="76.5" customHeight="1" outlineLevel="1" x14ac:dyDescent="0.2">
      <c r="A2212" s="1" t="s">
        <v>3946</v>
      </c>
      <c r="B2212" s="2" t="s">
        <v>5277</v>
      </c>
      <c r="C2212" s="6" t="s">
        <v>434</v>
      </c>
      <c r="D2212" s="6" t="s">
        <v>433</v>
      </c>
      <c r="E2212" s="6" t="s">
        <v>432</v>
      </c>
      <c r="F2212" s="2"/>
      <c r="G2212" s="3" t="s">
        <v>3190</v>
      </c>
      <c r="H2212" s="5">
        <v>0</v>
      </c>
      <c r="I2212" s="6">
        <v>710000000</v>
      </c>
      <c r="J2212" s="4" t="s">
        <v>1931</v>
      </c>
      <c r="K2212" s="4" t="s">
        <v>5297</v>
      </c>
      <c r="L2212" s="3" t="s">
        <v>1165</v>
      </c>
      <c r="M2212" s="8" t="s">
        <v>3195</v>
      </c>
      <c r="N2212" s="3" t="s">
        <v>1890</v>
      </c>
      <c r="O2212" s="8" t="s">
        <v>1935</v>
      </c>
      <c r="P2212" s="62">
        <v>704</v>
      </c>
      <c r="Q2212" s="3" t="s">
        <v>5196</v>
      </c>
      <c r="R2212" s="69">
        <f>5+1</f>
        <v>6</v>
      </c>
      <c r="S2212" s="69">
        <v>8120.54</v>
      </c>
      <c r="T2212" s="10">
        <v>0</v>
      </c>
      <c r="U2212" s="10">
        <f t="shared" si="1117"/>
        <v>0</v>
      </c>
      <c r="V2212" s="7"/>
      <c r="W2212" s="1">
        <v>2015</v>
      </c>
      <c r="X2212" s="62">
        <v>11</v>
      </c>
    </row>
    <row r="2213" spans="1:24" s="13" customFormat="1" ht="76.5" customHeight="1" outlineLevel="1" x14ac:dyDescent="0.2">
      <c r="A2213" s="1" t="s">
        <v>7724</v>
      </c>
      <c r="B2213" s="2" t="s">
        <v>5277</v>
      </c>
      <c r="C2213" s="6" t="s">
        <v>434</v>
      </c>
      <c r="D2213" s="6" t="s">
        <v>433</v>
      </c>
      <c r="E2213" s="6" t="s">
        <v>432</v>
      </c>
      <c r="F2213" s="2"/>
      <c r="G2213" s="3" t="s">
        <v>3190</v>
      </c>
      <c r="H2213" s="5">
        <v>0</v>
      </c>
      <c r="I2213" s="6">
        <v>710000000</v>
      </c>
      <c r="J2213" s="4" t="s">
        <v>1931</v>
      </c>
      <c r="K2213" s="4" t="s">
        <v>756</v>
      </c>
      <c r="L2213" s="3" t="s">
        <v>1165</v>
      </c>
      <c r="M2213" s="8" t="s">
        <v>3195</v>
      </c>
      <c r="N2213" s="3" t="s">
        <v>1890</v>
      </c>
      <c r="O2213" s="8" t="s">
        <v>1935</v>
      </c>
      <c r="P2213" s="62">
        <v>704</v>
      </c>
      <c r="Q2213" s="3" t="s">
        <v>5196</v>
      </c>
      <c r="R2213" s="69">
        <f>5+1</f>
        <v>6</v>
      </c>
      <c r="S2213" s="69">
        <v>8120.54</v>
      </c>
      <c r="T2213" s="10">
        <f t="shared" ref="T2213" si="1197">S2213*R2213</f>
        <v>48723.24</v>
      </c>
      <c r="U2213" s="10">
        <f t="shared" ref="U2213" si="1198">T2213*1.12</f>
        <v>54570.0288</v>
      </c>
      <c r="V2213" s="7"/>
      <c r="W2213" s="1">
        <v>2015</v>
      </c>
      <c r="X2213" s="62"/>
    </row>
    <row r="2214" spans="1:24" s="13" customFormat="1" ht="76.5" customHeight="1" outlineLevel="1" x14ac:dyDescent="0.2">
      <c r="A2214" s="1" t="s">
        <v>3947</v>
      </c>
      <c r="B2214" s="2" t="s">
        <v>5277</v>
      </c>
      <c r="C2214" s="6" t="s">
        <v>431</v>
      </c>
      <c r="D2214" s="6" t="s">
        <v>430</v>
      </c>
      <c r="E2214" s="6" t="s">
        <v>429</v>
      </c>
      <c r="F2214" s="2"/>
      <c r="G2214" s="3" t="s">
        <v>3190</v>
      </c>
      <c r="H2214" s="5">
        <v>0</v>
      </c>
      <c r="I2214" s="6">
        <v>710000000</v>
      </c>
      <c r="J2214" s="4" t="s">
        <v>1931</v>
      </c>
      <c r="K2214" s="4" t="s">
        <v>5297</v>
      </c>
      <c r="L2214" s="3" t="s">
        <v>1165</v>
      </c>
      <c r="M2214" s="8" t="s">
        <v>3195</v>
      </c>
      <c r="N2214" s="3" t="s">
        <v>1890</v>
      </c>
      <c r="O2214" s="8" t="s">
        <v>1935</v>
      </c>
      <c r="P2214" s="8">
        <v>796</v>
      </c>
      <c r="Q2214" s="8" t="s">
        <v>3196</v>
      </c>
      <c r="R2214" s="69">
        <f>10+5+5</f>
        <v>20</v>
      </c>
      <c r="S2214" s="69">
        <v>716.96</v>
      </c>
      <c r="T2214" s="10">
        <v>0</v>
      </c>
      <c r="U2214" s="10">
        <f t="shared" si="1117"/>
        <v>0</v>
      </c>
      <c r="V2214" s="7"/>
      <c r="W2214" s="1">
        <v>2015</v>
      </c>
      <c r="X2214" s="62">
        <v>11</v>
      </c>
    </row>
    <row r="2215" spans="1:24" s="13" customFormat="1" ht="76.5" outlineLevel="1" x14ac:dyDescent="0.2">
      <c r="A2215" s="1" t="s">
        <v>7725</v>
      </c>
      <c r="B2215" s="2" t="s">
        <v>5277</v>
      </c>
      <c r="C2215" s="6" t="s">
        <v>431</v>
      </c>
      <c r="D2215" s="6" t="s">
        <v>430</v>
      </c>
      <c r="E2215" s="6" t="s">
        <v>429</v>
      </c>
      <c r="F2215" s="2"/>
      <c r="G2215" s="3" t="s">
        <v>3190</v>
      </c>
      <c r="H2215" s="5">
        <v>0</v>
      </c>
      <c r="I2215" s="6">
        <v>710000000</v>
      </c>
      <c r="J2215" s="4" t="s">
        <v>1931</v>
      </c>
      <c r="K2215" s="4" t="s">
        <v>756</v>
      </c>
      <c r="L2215" s="3" t="s">
        <v>1165</v>
      </c>
      <c r="M2215" s="8" t="s">
        <v>3195</v>
      </c>
      <c r="N2215" s="3" t="s">
        <v>1890</v>
      </c>
      <c r="O2215" s="8" t="s">
        <v>1935</v>
      </c>
      <c r="P2215" s="8">
        <v>796</v>
      </c>
      <c r="Q2215" s="8" t="s">
        <v>3196</v>
      </c>
      <c r="R2215" s="69">
        <f>10+5+5</f>
        <v>20</v>
      </c>
      <c r="S2215" s="69">
        <v>716.96</v>
      </c>
      <c r="T2215" s="10">
        <v>0</v>
      </c>
      <c r="U2215" s="10">
        <f t="shared" ref="U2215" si="1199">T2215*1.12</f>
        <v>0</v>
      </c>
      <c r="V2215" s="7"/>
      <c r="W2215" s="1">
        <v>2015</v>
      </c>
      <c r="X2215" s="62" t="s">
        <v>7518</v>
      </c>
    </row>
    <row r="2216" spans="1:24" s="13" customFormat="1" ht="76.5" outlineLevel="1" x14ac:dyDescent="0.2">
      <c r="A2216" s="1" t="s">
        <v>9281</v>
      </c>
      <c r="B2216" s="2" t="s">
        <v>5277</v>
      </c>
      <c r="C2216" s="6" t="s">
        <v>431</v>
      </c>
      <c r="D2216" s="6" t="s">
        <v>430</v>
      </c>
      <c r="E2216" s="6" t="s">
        <v>429</v>
      </c>
      <c r="F2216" s="2"/>
      <c r="G2216" s="3" t="s">
        <v>3190</v>
      </c>
      <c r="H2216" s="5">
        <v>0</v>
      </c>
      <c r="I2216" s="6">
        <v>710000000</v>
      </c>
      <c r="J2216" s="4" t="s">
        <v>1931</v>
      </c>
      <c r="K2216" s="4" t="s">
        <v>9276</v>
      </c>
      <c r="L2216" s="3" t="s">
        <v>1165</v>
      </c>
      <c r="M2216" s="8" t="s">
        <v>3195</v>
      </c>
      <c r="N2216" s="3" t="s">
        <v>1890</v>
      </c>
      <c r="O2216" s="8" t="s">
        <v>1935</v>
      </c>
      <c r="P2216" s="8">
        <v>796</v>
      </c>
      <c r="Q2216" s="8" t="s">
        <v>3196</v>
      </c>
      <c r="R2216" s="69">
        <f>10+5+5+5</f>
        <v>25</v>
      </c>
      <c r="S2216" s="69">
        <v>716.96</v>
      </c>
      <c r="T2216" s="10">
        <f t="shared" ref="T2216" si="1200">S2216*R2216</f>
        <v>17924</v>
      </c>
      <c r="U2216" s="10">
        <f t="shared" ref="U2216" si="1201">T2216*1.12</f>
        <v>20074.88</v>
      </c>
      <c r="V2216" s="7"/>
      <c r="W2216" s="1">
        <v>2015</v>
      </c>
      <c r="X2216" s="62"/>
    </row>
    <row r="2217" spans="1:24" s="13" customFormat="1" ht="76.5" customHeight="1" outlineLevel="1" x14ac:dyDescent="0.2">
      <c r="A2217" s="1" t="s">
        <v>3948</v>
      </c>
      <c r="B2217" s="38" t="s">
        <v>5277</v>
      </c>
      <c r="C2217" s="6" t="s">
        <v>3396</v>
      </c>
      <c r="D2217" s="6" t="s">
        <v>6080</v>
      </c>
      <c r="E2217" s="6" t="s">
        <v>6081</v>
      </c>
      <c r="F2217" s="39" t="s">
        <v>6420</v>
      </c>
      <c r="G2217" s="50" t="s">
        <v>3190</v>
      </c>
      <c r="H2217" s="5">
        <v>0</v>
      </c>
      <c r="I2217" s="6">
        <v>710000000</v>
      </c>
      <c r="J2217" s="4" t="s">
        <v>1931</v>
      </c>
      <c r="K2217" s="4" t="s">
        <v>5297</v>
      </c>
      <c r="L2217" s="3" t="s">
        <v>1165</v>
      </c>
      <c r="M2217" s="8" t="s">
        <v>3195</v>
      </c>
      <c r="N2217" s="3" t="s">
        <v>1890</v>
      </c>
      <c r="O2217" s="8" t="s">
        <v>1935</v>
      </c>
      <c r="P2217" s="8">
        <v>796</v>
      </c>
      <c r="Q2217" s="8" t="s">
        <v>3196</v>
      </c>
      <c r="R2217" s="9">
        <f>2+2</f>
        <v>4</v>
      </c>
      <c r="S2217" s="9">
        <v>9931.25</v>
      </c>
      <c r="T2217" s="10">
        <v>0</v>
      </c>
      <c r="U2217" s="10">
        <f t="shared" si="1117"/>
        <v>0</v>
      </c>
      <c r="V2217" s="7"/>
      <c r="W2217" s="11">
        <v>2015</v>
      </c>
      <c r="X2217" s="12" t="s">
        <v>6562</v>
      </c>
    </row>
    <row r="2218" spans="1:24" s="13" customFormat="1" ht="76.5" customHeight="1" outlineLevel="1" x14ac:dyDescent="0.2">
      <c r="A2218" s="1" t="s">
        <v>6656</v>
      </c>
      <c r="B2218" s="2" t="s">
        <v>5277</v>
      </c>
      <c r="C2218" s="6" t="s">
        <v>3396</v>
      </c>
      <c r="D2218" s="6" t="s">
        <v>6080</v>
      </c>
      <c r="E2218" s="6" t="s">
        <v>6081</v>
      </c>
      <c r="F2218" s="2" t="s">
        <v>6420</v>
      </c>
      <c r="G2218" s="3" t="s">
        <v>3190</v>
      </c>
      <c r="H2218" s="5">
        <v>0</v>
      </c>
      <c r="I2218" s="6">
        <v>710000000</v>
      </c>
      <c r="J2218" s="4" t="s">
        <v>1931</v>
      </c>
      <c r="K2218" s="4" t="s">
        <v>5297</v>
      </c>
      <c r="L2218" s="3" t="s">
        <v>1165</v>
      </c>
      <c r="M2218" s="8" t="s">
        <v>3195</v>
      </c>
      <c r="N2218" s="3" t="s">
        <v>1890</v>
      </c>
      <c r="O2218" s="8" t="s">
        <v>1935</v>
      </c>
      <c r="P2218" s="8">
        <v>796</v>
      </c>
      <c r="Q2218" s="8" t="s">
        <v>3196</v>
      </c>
      <c r="R2218" s="69">
        <f>1+2</f>
        <v>3</v>
      </c>
      <c r="S2218" s="69">
        <v>9931.25</v>
      </c>
      <c r="T2218" s="10">
        <v>0</v>
      </c>
      <c r="U2218" s="10">
        <f t="shared" si="1117"/>
        <v>0</v>
      </c>
      <c r="V2218" s="7"/>
      <c r="W2218" s="1">
        <v>2015</v>
      </c>
      <c r="X2218" s="62">
        <v>11</v>
      </c>
    </row>
    <row r="2219" spans="1:24" s="13" customFormat="1" ht="76.5" customHeight="1" outlineLevel="1" x14ac:dyDescent="0.2">
      <c r="A2219" s="1" t="s">
        <v>7726</v>
      </c>
      <c r="B2219" s="2" t="s">
        <v>5277</v>
      </c>
      <c r="C2219" s="6" t="s">
        <v>3396</v>
      </c>
      <c r="D2219" s="6" t="s">
        <v>6080</v>
      </c>
      <c r="E2219" s="6" t="s">
        <v>6081</v>
      </c>
      <c r="F2219" s="2" t="s">
        <v>6420</v>
      </c>
      <c r="G2219" s="3" t="s">
        <v>3190</v>
      </c>
      <c r="H2219" s="5">
        <v>0</v>
      </c>
      <c r="I2219" s="6">
        <v>710000000</v>
      </c>
      <c r="J2219" s="4" t="s">
        <v>1931</v>
      </c>
      <c r="K2219" s="4" t="s">
        <v>756</v>
      </c>
      <c r="L2219" s="3" t="s">
        <v>1165</v>
      </c>
      <c r="M2219" s="8" t="s">
        <v>3195</v>
      </c>
      <c r="N2219" s="3" t="s">
        <v>1890</v>
      </c>
      <c r="O2219" s="8" t="s">
        <v>1935</v>
      </c>
      <c r="P2219" s="8">
        <v>796</v>
      </c>
      <c r="Q2219" s="8" t="s">
        <v>3196</v>
      </c>
      <c r="R2219" s="69">
        <f>1+2</f>
        <v>3</v>
      </c>
      <c r="S2219" s="69">
        <v>9931.25</v>
      </c>
      <c r="T2219" s="10">
        <f t="shared" ref="T2219" si="1202">S2219*R2219</f>
        <v>29793.75</v>
      </c>
      <c r="U2219" s="10">
        <f t="shared" ref="U2219" si="1203">T2219*1.12</f>
        <v>33369</v>
      </c>
      <c r="V2219" s="7"/>
      <c r="W2219" s="1">
        <v>2015</v>
      </c>
      <c r="X2219" s="62"/>
    </row>
    <row r="2220" spans="1:24" s="13" customFormat="1" ht="76.5" customHeight="1" outlineLevel="1" x14ac:dyDescent="0.2">
      <c r="A2220" s="1" t="s">
        <v>3949</v>
      </c>
      <c r="B2220" s="2" t="s">
        <v>5277</v>
      </c>
      <c r="C2220" s="6" t="s">
        <v>428</v>
      </c>
      <c r="D2220" s="6" t="s">
        <v>427</v>
      </c>
      <c r="E2220" s="6" t="s">
        <v>426</v>
      </c>
      <c r="F2220" s="2"/>
      <c r="G2220" s="3" t="s">
        <v>3190</v>
      </c>
      <c r="H2220" s="5">
        <v>0</v>
      </c>
      <c r="I2220" s="6">
        <v>710000000</v>
      </c>
      <c r="J2220" s="4" t="s">
        <v>1931</v>
      </c>
      <c r="K2220" s="4" t="s">
        <v>5297</v>
      </c>
      <c r="L2220" s="3" t="s">
        <v>1165</v>
      </c>
      <c r="M2220" s="8" t="s">
        <v>3195</v>
      </c>
      <c r="N2220" s="3" t="s">
        <v>1890</v>
      </c>
      <c r="O2220" s="8" t="s">
        <v>1935</v>
      </c>
      <c r="P2220" s="8">
        <v>796</v>
      </c>
      <c r="Q2220" s="8" t="s">
        <v>3196</v>
      </c>
      <c r="R2220" s="69">
        <v>10</v>
      </c>
      <c r="S2220" s="69">
        <v>5254.46</v>
      </c>
      <c r="T2220" s="10">
        <v>0</v>
      </c>
      <c r="U2220" s="10">
        <f t="shared" si="1117"/>
        <v>0</v>
      </c>
      <c r="V2220" s="7"/>
      <c r="W2220" s="1">
        <v>2015</v>
      </c>
      <c r="X2220" s="62">
        <v>11</v>
      </c>
    </row>
    <row r="2221" spans="1:24" s="13" customFormat="1" ht="76.5" outlineLevel="1" x14ac:dyDescent="0.2">
      <c r="A2221" s="1" t="s">
        <v>7727</v>
      </c>
      <c r="B2221" s="2" t="s">
        <v>5277</v>
      </c>
      <c r="C2221" s="6" t="s">
        <v>428</v>
      </c>
      <c r="D2221" s="6" t="s">
        <v>427</v>
      </c>
      <c r="E2221" s="6" t="s">
        <v>426</v>
      </c>
      <c r="F2221" s="2"/>
      <c r="G2221" s="3" t="s">
        <v>3190</v>
      </c>
      <c r="H2221" s="5">
        <v>0</v>
      </c>
      <c r="I2221" s="6">
        <v>710000000</v>
      </c>
      <c r="J2221" s="4" t="s">
        <v>1931</v>
      </c>
      <c r="K2221" s="4" t="s">
        <v>756</v>
      </c>
      <c r="L2221" s="3" t="s">
        <v>1165</v>
      </c>
      <c r="M2221" s="8" t="s">
        <v>3195</v>
      </c>
      <c r="N2221" s="3" t="s">
        <v>1890</v>
      </c>
      <c r="O2221" s="8" t="s">
        <v>1935</v>
      </c>
      <c r="P2221" s="8">
        <v>796</v>
      </c>
      <c r="Q2221" s="8" t="s">
        <v>3196</v>
      </c>
      <c r="R2221" s="69">
        <v>10</v>
      </c>
      <c r="S2221" s="69">
        <v>5254.46</v>
      </c>
      <c r="T2221" s="10">
        <v>0</v>
      </c>
      <c r="U2221" s="10">
        <f t="shared" ref="U2221" si="1204">T2221*1.12</f>
        <v>0</v>
      </c>
      <c r="V2221" s="7"/>
      <c r="W2221" s="1">
        <v>2015</v>
      </c>
      <c r="X2221" s="62" t="s">
        <v>7518</v>
      </c>
    </row>
    <row r="2222" spans="1:24" s="13" customFormat="1" ht="76.5" outlineLevel="1" x14ac:dyDescent="0.2">
      <c r="A2222" s="1" t="s">
        <v>9283</v>
      </c>
      <c r="B2222" s="2" t="s">
        <v>5277</v>
      </c>
      <c r="C2222" s="6" t="s">
        <v>428</v>
      </c>
      <c r="D2222" s="6" t="s">
        <v>427</v>
      </c>
      <c r="E2222" s="6" t="s">
        <v>426</v>
      </c>
      <c r="F2222" s="2"/>
      <c r="G2222" s="3" t="s">
        <v>3190</v>
      </c>
      <c r="H2222" s="5">
        <v>0</v>
      </c>
      <c r="I2222" s="6">
        <v>710000000</v>
      </c>
      <c r="J2222" s="4" t="s">
        <v>1931</v>
      </c>
      <c r="K2222" s="4" t="s">
        <v>9276</v>
      </c>
      <c r="L2222" s="3" t="s">
        <v>1165</v>
      </c>
      <c r="M2222" s="8" t="s">
        <v>3195</v>
      </c>
      <c r="N2222" s="3" t="s">
        <v>1890</v>
      </c>
      <c r="O2222" s="8" t="s">
        <v>1935</v>
      </c>
      <c r="P2222" s="8">
        <v>796</v>
      </c>
      <c r="Q2222" s="8" t="s">
        <v>3196</v>
      </c>
      <c r="R2222" s="69">
        <f>10+2+20</f>
        <v>32</v>
      </c>
      <c r="S2222" s="69">
        <v>5254.46</v>
      </c>
      <c r="T2222" s="10">
        <f t="shared" ref="T2222" si="1205">S2222*R2222</f>
        <v>168142.72</v>
      </c>
      <c r="U2222" s="10">
        <f t="shared" ref="U2222" si="1206">T2222*1.12</f>
        <v>188319.84640000001</v>
      </c>
      <c r="V2222" s="7"/>
      <c r="W2222" s="1">
        <v>2015</v>
      </c>
      <c r="X2222" s="62"/>
    </row>
    <row r="2223" spans="1:24" s="13" customFormat="1" ht="76.5" customHeight="1" outlineLevel="1" x14ac:dyDescent="0.2">
      <c r="A2223" s="1" t="s">
        <v>3950</v>
      </c>
      <c r="B2223" s="2" t="s">
        <v>5277</v>
      </c>
      <c r="C2223" s="6" t="s">
        <v>425</v>
      </c>
      <c r="D2223" s="6" t="s">
        <v>1564</v>
      </c>
      <c r="E2223" s="6" t="s">
        <v>424</v>
      </c>
      <c r="F2223" s="2"/>
      <c r="G2223" s="3" t="s">
        <v>3190</v>
      </c>
      <c r="H2223" s="5">
        <v>0</v>
      </c>
      <c r="I2223" s="6">
        <v>710000000</v>
      </c>
      <c r="J2223" s="4" t="s">
        <v>1931</v>
      </c>
      <c r="K2223" s="4" t="s">
        <v>5297</v>
      </c>
      <c r="L2223" s="3" t="s">
        <v>1165</v>
      </c>
      <c r="M2223" s="8" t="s">
        <v>3195</v>
      </c>
      <c r="N2223" s="3" t="s">
        <v>1890</v>
      </c>
      <c r="O2223" s="8" t="s">
        <v>1935</v>
      </c>
      <c r="P2223" s="8">
        <v>796</v>
      </c>
      <c r="Q2223" s="8" t="s">
        <v>3196</v>
      </c>
      <c r="R2223" s="69">
        <f>10+1</f>
        <v>11</v>
      </c>
      <c r="S2223" s="69">
        <v>1146.43</v>
      </c>
      <c r="T2223" s="10">
        <v>0</v>
      </c>
      <c r="U2223" s="10">
        <f t="shared" si="1117"/>
        <v>0</v>
      </c>
      <c r="V2223" s="7"/>
      <c r="W2223" s="1">
        <v>2015</v>
      </c>
      <c r="X2223" s="62">
        <v>11</v>
      </c>
    </row>
    <row r="2224" spans="1:24" s="13" customFormat="1" ht="76.5" customHeight="1" outlineLevel="1" x14ac:dyDescent="0.2">
      <c r="A2224" s="1" t="s">
        <v>7728</v>
      </c>
      <c r="B2224" s="2" t="s">
        <v>5277</v>
      </c>
      <c r="C2224" s="6" t="s">
        <v>425</v>
      </c>
      <c r="D2224" s="6" t="s">
        <v>1564</v>
      </c>
      <c r="E2224" s="6" t="s">
        <v>424</v>
      </c>
      <c r="F2224" s="2"/>
      <c r="G2224" s="3" t="s">
        <v>3190</v>
      </c>
      <c r="H2224" s="5">
        <v>0</v>
      </c>
      <c r="I2224" s="6">
        <v>710000000</v>
      </c>
      <c r="J2224" s="4" t="s">
        <v>1931</v>
      </c>
      <c r="K2224" s="4" t="s">
        <v>756</v>
      </c>
      <c r="L2224" s="3" t="s">
        <v>1165</v>
      </c>
      <c r="M2224" s="8" t="s">
        <v>3195</v>
      </c>
      <c r="N2224" s="3" t="s">
        <v>1890</v>
      </c>
      <c r="O2224" s="8" t="s">
        <v>1935</v>
      </c>
      <c r="P2224" s="8">
        <v>796</v>
      </c>
      <c r="Q2224" s="8" t="s">
        <v>3196</v>
      </c>
      <c r="R2224" s="69">
        <f>10+1</f>
        <v>11</v>
      </c>
      <c r="S2224" s="69">
        <v>1146.43</v>
      </c>
      <c r="T2224" s="10">
        <f t="shared" ref="T2224" si="1207">S2224*R2224</f>
        <v>12610.730000000001</v>
      </c>
      <c r="U2224" s="10">
        <f t="shared" ref="U2224" si="1208">T2224*1.12</f>
        <v>14124.017600000003</v>
      </c>
      <c r="V2224" s="7"/>
      <c r="W2224" s="1">
        <v>2015</v>
      </c>
      <c r="X2224" s="62"/>
    </row>
    <row r="2225" spans="1:24" s="13" customFormat="1" ht="76.5" customHeight="1" outlineLevel="1" x14ac:dyDescent="0.2">
      <c r="A2225" s="1" t="s">
        <v>3951</v>
      </c>
      <c r="B2225" s="2" t="s">
        <v>5277</v>
      </c>
      <c r="C2225" s="6" t="s">
        <v>423</v>
      </c>
      <c r="D2225" s="6" t="s">
        <v>422</v>
      </c>
      <c r="E2225" s="6" t="s">
        <v>421</v>
      </c>
      <c r="F2225" s="2" t="s">
        <v>5553</v>
      </c>
      <c r="G2225" s="3" t="s">
        <v>3190</v>
      </c>
      <c r="H2225" s="5">
        <v>0</v>
      </c>
      <c r="I2225" s="6">
        <v>710000000</v>
      </c>
      <c r="J2225" s="4" t="s">
        <v>1931</v>
      </c>
      <c r="K2225" s="4" t="s">
        <v>5297</v>
      </c>
      <c r="L2225" s="3" t="s">
        <v>1165</v>
      </c>
      <c r="M2225" s="8" t="s">
        <v>3195</v>
      </c>
      <c r="N2225" s="3" t="s">
        <v>1890</v>
      </c>
      <c r="O2225" s="8" t="s">
        <v>1935</v>
      </c>
      <c r="P2225" s="8">
        <v>796</v>
      </c>
      <c r="Q2225" s="8" t="s">
        <v>3196</v>
      </c>
      <c r="R2225" s="69">
        <v>5</v>
      </c>
      <c r="S2225" s="69">
        <v>280.36</v>
      </c>
      <c r="T2225" s="10">
        <v>0</v>
      </c>
      <c r="U2225" s="10">
        <f t="shared" si="1117"/>
        <v>0</v>
      </c>
      <c r="V2225" s="7"/>
      <c r="W2225" s="1">
        <v>2015</v>
      </c>
      <c r="X2225" s="62">
        <v>11</v>
      </c>
    </row>
    <row r="2226" spans="1:24" s="13" customFormat="1" ht="76.5" customHeight="1" outlineLevel="1" x14ac:dyDescent="0.2">
      <c r="A2226" s="1" t="s">
        <v>7729</v>
      </c>
      <c r="B2226" s="2" t="s">
        <v>5277</v>
      </c>
      <c r="C2226" s="6" t="s">
        <v>423</v>
      </c>
      <c r="D2226" s="6" t="s">
        <v>422</v>
      </c>
      <c r="E2226" s="6" t="s">
        <v>421</v>
      </c>
      <c r="F2226" s="2" t="s">
        <v>5553</v>
      </c>
      <c r="G2226" s="3" t="s">
        <v>3190</v>
      </c>
      <c r="H2226" s="5">
        <v>0</v>
      </c>
      <c r="I2226" s="6">
        <v>710000000</v>
      </c>
      <c r="J2226" s="4" t="s">
        <v>1931</v>
      </c>
      <c r="K2226" s="4" t="s">
        <v>756</v>
      </c>
      <c r="L2226" s="3" t="s">
        <v>1165</v>
      </c>
      <c r="M2226" s="8" t="s">
        <v>3195</v>
      </c>
      <c r="N2226" s="3" t="s">
        <v>1890</v>
      </c>
      <c r="O2226" s="8" t="s">
        <v>1935</v>
      </c>
      <c r="P2226" s="8">
        <v>796</v>
      </c>
      <c r="Q2226" s="8" t="s">
        <v>3196</v>
      </c>
      <c r="R2226" s="69">
        <v>5</v>
      </c>
      <c r="S2226" s="69">
        <v>280.36</v>
      </c>
      <c r="T2226" s="10">
        <f t="shared" ref="T2226" si="1209">S2226*R2226</f>
        <v>1401.8000000000002</v>
      </c>
      <c r="U2226" s="10">
        <f t="shared" ref="U2226" si="1210">T2226*1.12</f>
        <v>1570.0160000000003</v>
      </c>
      <c r="V2226" s="7"/>
      <c r="W2226" s="1">
        <v>2015</v>
      </c>
      <c r="X2226" s="62"/>
    </row>
    <row r="2227" spans="1:24" s="13" customFormat="1" ht="76.5" customHeight="1" outlineLevel="1" x14ac:dyDescent="0.2">
      <c r="A2227" s="1" t="s">
        <v>3952</v>
      </c>
      <c r="B2227" s="2" t="s">
        <v>5277</v>
      </c>
      <c r="C2227" s="6" t="s">
        <v>423</v>
      </c>
      <c r="D2227" s="6" t="s">
        <v>422</v>
      </c>
      <c r="E2227" s="6" t="s">
        <v>421</v>
      </c>
      <c r="F2227" s="2" t="s">
        <v>420</v>
      </c>
      <c r="G2227" s="3" t="s">
        <v>3190</v>
      </c>
      <c r="H2227" s="5">
        <v>0</v>
      </c>
      <c r="I2227" s="6">
        <v>710000000</v>
      </c>
      <c r="J2227" s="4" t="s">
        <v>1931</v>
      </c>
      <c r="K2227" s="4" t="s">
        <v>5297</v>
      </c>
      <c r="L2227" s="3" t="s">
        <v>1165</v>
      </c>
      <c r="M2227" s="8" t="s">
        <v>3195</v>
      </c>
      <c r="N2227" s="3" t="s">
        <v>1890</v>
      </c>
      <c r="O2227" s="8" t="s">
        <v>1935</v>
      </c>
      <c r="P2227" s="8">
        <v>796</v>
      </c>
      <c r="Q2227" s="8" t="s">
        <v>3196</v>
      </c>
      <c r="R2227" s="69">
        <v>5</v>
      </c>
      <c r="S2227" s="69">
        <v>280.36</v>
      </c>
      <c r="T2227" s="10">
        <v>0</v>
      </c>
      <c r="U2227" s="10">
        <f t="shared" si="1117"/>
        <v>0</v>
      </c>
      <c r="V2227" s="7"/>
      <c r="W2227" s="1">
        <v>2015</v>
      </c>
      <c r="X2227" s="62">
        <v>11</v>
      </c>
    </row>
    <row r="2228" spans="1:24" s="13" customFormat="1" ht="76.5" customHeight="1" outlineLevel="1" x14ac:dyDescent="0.2">
      <c r="A2228" s="1" t="s">
        <v>7730</v>
      </c>
      <c r="B2228" s="2" t="s">
        <v>5277</v>
      </c>
      <c r="C2228" s="6" t="s">
        <v>423</v>
      </c>
      <c r="D2228" s="6" t="s">
        <v>422</v>
      </c>
      <c r="E2228" s="6" t="s">
        <v>421</v>
      </c>
      <c r="F2228" s="2" t="s">
        <v>420</v>
      </c>
      <c r="G2228" s="3" t="s">
        <v>3190</v>
      </c>
      <c r="H2228" s="5">
        <v>0</v>
      </c>
      <c r="I2228" s="6">
        <v>710000000</v>
      </c>
      <c r="J2228" s="4" t="s">
        <v>1931</v>
      </c>
      <c r="K2228" s="4" t="s">
        <v>756</v>
      </c>
      <c r="L2228" s="3" t="s">
        <v>1165</v>
      </c>
      <c r="M2228" s="8" t="s">
        <v>3195</v>
      </c>
      <c r="N2228" s="3" t="s">
        <v>1890</v>
      </c>
      <c r="O2228" s="8" t="s">
        <v>1935</v>
      </c>
      <c r="P2228" s="8">
        <v>796</v>
      </c>
      <c r="Q2228" s="8" t="s">
        <v>3196</v>
      </c>
      <c r="R2228" s="69">
        <v>5</v>
      </c>
      <c r="S2228" s="69">
        <v>280.36</v>
      </c>
      <c r="T2228" s="10">
        <f t="shared" ref="T2228" si="1211">S2228*R2228</f>
        <v>1401.8000000000002</v>
      </c>
      <c r="U2228" s="10">
        <f t="shared" ref="U2228" si="1212">T2228*1.12</f>
        <v>1570.0160000000003</v>
      </c>
      <c r="V2228" s="7"/>
      <c r="W2228" s="1">
        <v>2015</v>
      </c>
      <c r="X2228" s="62"/>
    </row>
    <row r="2229" spans="1:24" s="13" customFormat="1" ht="76.5" customHeight="1" outlineLevel="1" x14ac:dyDescent="0.2">
      <c r="A2229" s="1" t="s">
        <v>3953</v>
      </c>
      <c r="B2229" s="38" t="s">
        <v>5277</v>
      </c>
      <c r="C2229" s="6" t="s">
        <v>419</v>
      </c>
      <c r="D2229" s="6" t="s">
        <v>5552</v>
      </c>
      <c r="E2229" s="6" t="s">
        <v>5556</v>
      </c>
      <c r="F2229" s="39"/>
      <c r="G2229" s="50" t="s">
        <v>3190</v>
      </c>
      <c r="H2229" s="5">
        <v>0</v>
      </c>
      <c r="I2229" s="6">
        <v>710000000</v>
      </c>
      <c r="J2229" s="4" t="s">
        <v>1931</v>
      </c>
      <c r="K2229" s="4" t="s">
        <v>5297</v>
      </c>
      <c r="L2229" s="3" t="s">
        <v>1165</v>
      </c>
      <c r="M2229" s="8" t="s">
        <v>3195</v>
      </c>
      <c r="N2229" s="3" t="s">
        <v>1890</v>
      </c>
      <c r="O2229" s="8" t="s">
        <v>1935</v>
      </c>
      <c r="P2229" s="8">
        <v>796</v>
      </c>
      <c r="Q2229" s="8" t="s">
        <v>3196</v>
      </c>
      <c r="R2229" s="9">
        <f>7+3</f>
        <v>10</v>
      </c>
      <c r="S2229" s="9">
        <v>508.93</v>
      </c>
      <c r="T2229" s="10">
        <v>0</v>
      </c>
      <c r="U2229" s="10">
        <f t="shared" si="1117"/>
        <v>0</v>
      </c>
      <c r="V2229" s="7"/>
      <c r="W2229" s="11">
        <v>2015</v>
      </c>
      <c r="X2229" s="12" t="s">
        <v>6562</v>
      </c>
    </row>
    <row r="2230" spans="1:24" s="13" customFormat="1" ht="76.5" customHeight="1" outlineLevel="1" x14ac:dyDescent="0.2">
      <c r="A2230" s="1" t="s">
        <v>6657</v>
      </c>
      <c r="B2230" s="2" t="s">
        <v>5277</v>
      </c>
      <c r="C2230" s="6" t="s">
        <v>419</v>
      </c>
      <c r="D2230" s="6" t="s">
        <v>5552</v>
      </c>
      <c r="E2230" s="6" t="s">
        <v>5556</v>
      </c>
      <c r="F2230" s="2"/>
      <c r="G2230" s="3" t="s">
        <v>3190</v>
      </c>
      <c r="H2230" s="5">
        <v>0</v>
      </c>
      <c r="I2230" s="6">
        <v>710000000</v>
      </c>
      <c r="J2230" s="4" t="s">
        <v>1931</v>
      </c>
      <c r="K2230" s="4" t="s">
        <v>5297</v>
      </c>
      <c r="L2230" s="3" t="s">
        <v>1165</v>
      </c>
      <c r="M2230" s="8" t="s">
        <v>3195</v>
      </c>
      <c r="N2230" s="3" t="s">
        <v>1890</v>
      </c>
      <c r="O2230" s="8" t="s">
        <v>1935</v>
      </c>
      <c r="P2230" s="8">
        <v>796</v>
      </c>
      <c r="Q2230" s="8" t="s">
        <v>3196</v>
      </c>
      <c r="R2230" s="69">
        <f>5+3</f>
        <v>8</v>
      </c>
      <c r="S2230" s="69">
        <v>508.93</v>
      </c>
      <c r="T2230" s="10">
        <v>0</v>
      </c>
      <c r="U2230" s="10">
        <f t="shared" si="1117"/>
        <v>0</v>
      </c>
      <c r="V2230" s="7"/>
      <c r="W2230" s="1">
        <v>2015</v>
      </c>
      <c r="X2230" s="62">
        <v>11</v>
      </c>
    </row>
    <row r="2231" spans="1:24" s="13" customFormat="1" ht="76.5" customHeight="1" outlineLevel="1" x14ac:dyDescent="0.2">
      <c r="A2231" s="1" t="s">
        <v>7731</v>
      </c>
      <c r="B2231" s="2" t="s">
        <v>5277</v>
      </c>
      <c r="C2231" s="6" t="s">
        <v>419</v>
      </c>
      <c r="D2231" s="6" t="s">
        <v>5552</v>
      </c>
      <c r="E2231" s="6" t="s">
        <v>5556</v>
      </c>
      <c r="F2231" s="2"/>
      <c r="G2231" s="3" t="s">
        <v>3190</v>
      </c>
      <c r="H2231" s="5">
        <v>0</v>
      </c>
      <c r="I2231" s="6">
        <v>710000000</v>
      </c>
      <c r="J2231" s="4" t="s">
        <v>1931</v>
      </c>
      <c r="K2231" s="4" t="s">
        <v>756</v>
      </c>
      <c r="L2231" s="3" t="s">
        <v>1165</v>
      </c>
      <c r="M2231" s="8" t="s">
        <v>3195</v>
      </c>
      <c r="N2231" s="3" t="s">
        <v>1890</v>
      </c>
      <c r="O2231" s="8" t="s">
        <v>1935</v>
      </c>
      <c r="P2231" s="8">
        <v>796</v>
      </c>
      <c r="Q2231" s="8" t="s">
        <v>3196</v>
      </c>
      <c r="R2231" s="69">
        <f>5+3</f>
        <v>8</v>
      </c>
      <c r="S2231" s="69">
        <v>508.93</v>
      </c>
      <c r="T2231" s="10">
        <f t="shared" ref="T2231" si="1213">S2231*R2231</f>
        <v>4071.44</v>
      </c>
      <c r="U2231" s="10">
        <f t="shared" ref="U2231" si="1214">T2231*1.12</f>
        <v>4560.0128000000004</v>
      </c>
      <c r="V2231" s="7"/>
      <c r="W2231" s="1">
        <v>2015</v>
      </c>
      <c r="X2231" s="62"/>
    </row>
    <row r="2232" spans="1:24" s="13" customFormat="1" ht="76.5" customHeight="1" outlineLevel="1" x14ac:dyDescent="0.2">
      <c r="A2232" s="1" t="s">
        <v>3954</v>
      </c>
      <c r="B2232" s="2" t="s">
        <v>5277</v>
      </c>
      <c r="C2232" s="6" t="s">
        <v>3407</v>
      </c>
      <c r="D2232" s="6" t="s">
        <v>6063</v>
      </c>
      <c r="E2232" s="6" t="s">
        <v>6064</v>
      </c>
      <c r="F2232" s="2"/>
      <c r="G2232" s="3" t="s">
        <v>3190</v>
      </c>
      <c r="H2232" s="5">
        <v>0</v>
      </c>
      <c r="I2232" s="6">
        <v>710000000</v>
      </c>
      <c r="J2232" s="4" t="s">
        <v>1931</v>
      </c>
      <c r="K2232" s="4" t="s">
        <v>5297</v>
      </c>
      <c r="L2232" s="3" t="s">
        <v>1165</v>
      </c>
      <c r="M2232" s="8" t="s">
        <v>3195</v>
      </c>
      <c r="N2232" s="3" t="s">
        <v>1890</v>
      </c>
      <c r="O2232" s="8" t="s">
        <v>1935</v>
      </c>
      <c r="P2232" s="8">
        <v>796</v>
      </c>
      <c r="Q2232" s="8" t="s">
        <v>3196</v>
      </c>
      <c r="R2232" s="69">
        <f>5+2</f>
        <v>7</v>
      </c>
      <c r="S2232" s="69">
        <v>892.86</v>
      </c>
      <c r="T2232" s="10">
        <f t="shared" si="1114"/>
        <v>6250.02</v>
      </c>
      <c r="U2232" s="10">
        <f t="shared" si="1117"/>
        <v>7000.0224000000007</v>
      </c>
      <c r="V2232" s="7"/>
      <c r="W2232" s="1">
        <v>2015</v>
      </c>
      <c r="X2232" s="62" t="s">
        <v>7518</v>
      </c>
    </row>
    <row r="2233" spans="1:24" s="13" customFormat="1" ht="76.5" customHeight="1" outlineLevel="1" x14ac:dyDescent="0.2">
      <c r="A2233" s="1" t="s">
        <v>7732</v>
      </c>
      <c r="B2233" s="2" t="s">
        <v>5277</v>
      </c>
      <c r="C2233" s="6" t="s">
        <v>3407</v>
      </c>
      <c r="D2233" s="6" t="s">
        <v>6063</v>
      </c>
      <c r="E2233" s="6" t="s">
        <v>6064</v>
      </c>
      <c r="F2233" s="2"/>
      <c r="G2233" s="3" t="s">
        <v>3190</v>
      </c>
      <c r="H2233" s="5">
        <v>0</v>
      </c>
      <c r="I2233" s="6">
        <v>710000000</v>
      </c>
      <c r="J2233" s="4" t="s">
        <v>1931</v>
      </c>
      <c r="K2233" s="4" t="s">
        <v>756</v>
      </c>
      <c r="L2233" s="3" t="s">
        <v>1165</v>
      </c>
      <c r="M2233" s="8" t="s">
        <v>3195</v>
      </c>
      <c r="N2233" s="3" t="s">
        <v>1890</v>
      </c>
      <c r="O2233" s="8" t="s">
        <v>1935</v>
      </c>
      <c r="P2233" s="8">
        <v>796</v>
      </c>
      <c r="Q2233" s="8" t="s">
        <v>3196</v>
      </c>
      <c r="R2233" s="69">
        <v>5</v>
      </c>
      <c r="S2233" s="69">
        <v>892.86</v>
      </c>
      <c r="T2233" s="10">
        <f t="shared" ref="T2233" si="1215">S2233*R2233</f>
        <v>4464.3</v>
      </c>
      <c r="U2233" s="10">
        <f t="shared" ref="U2233" si="1216">T2233*1.12</f>
        <v>5000.0160000000005</v>
      </c>
      <c r="V2233" s="7"/>
      <c r="W2233" s="1">
        <v>2015</v>
      </c>
      <c r="X2233" s="62"/>
    </row>
    <row r="2234" spans="1:24" s="13" customFormat="1" ht="76.5" customHeight="1" outlineLevel="1" x14ac:dyDescent="0.2">
      <c r="A2234" s="1" t="s">
        <v>3955</v>
      </c>
      <c r="B2234" s="2" t="s">
        <v>5277</v>
      </c>
      <c r="C2234" s="6" t="s">
        <v>418</v>
      </c>
      <c r="D2234" s="6" t="s">
        <v>6096</v>
      </c>
      <c r="E2234" s="6" t="s">
        <v>417</v>
      </c>
      <c r="F2234" s="2"/>
      <c r="G2234" s="3" t="s">
        <v>3190</v>
      </c>
      <c r="H2234" s="5">
        <v>0</v>
      </c>
      <c r="I2234" s="6">
        <v>710000000</v>
      </c>
      <c r="J2234" s="4" t="s">
        <v>1931</v>
      </c>
      <c r="K2234" s="4" t="s">
        <v>5297</v>
      </c>
      <c r="L2234" s="3" t="s">
        <v>1165</v>
      </c>
      <c r="M2234" s="8" t="s">
        <v>3195</v>
      </c>
      <c r="N2234" s="3" t="s">
        <v>1890</v>
      </c>
      <c r="O2234" s="8" t="s">
        <v>1935</v>
      </c>
      <c r="P2234" s="8">
        <v>796</v>
      </c>
      <c r="Q2234" s="8" t="s">
        <v>3196</v>
      </c>
      <c r="R2234" s="69">
        <f>2+5</f>
        <v>7</v>
      </c>
      <c r="S2234" s="69">
        <v>1455.36</v>
      </c>
      <c r="T2234" s="10">
        <v>0</v>
      </c>
      <c r="U2234" s="10">
        <f t="shared" si="1117"/>
        <v>0</v>
      </c>
      <c r="V2234" s="7"/>
      <c r="W2234" s="1">
        <v>2015</v>
      </c>
      <c r="X2234" s="62">
        <v>11</v>
      </c>
    </row>
    <row r="2235" spans="1:24" s="13" customFormat="1" ht="76.5" customHeight="1" outlineLevel="1" x14ac:dyDescent="0.2">
      <c r="A2235" s="1" t="s">
        <v>7733</v>
      </c>
      <c r="B2235" s="2" t="s">
        <v>5277</v>
      </c>
      <c r="C2235" s="6" t="s">
        <v>418</v>
      </c>
      <c r="D2235" s="6" t="s">
        <v>6096</v>
      </c>
      <c r="E2235" s="6" t="s">
        <v>417</v>
      </c>
      <c r="F2235" s="2"/>
      <c r="G2235" s="3" t="s">
        <v>3190</v>
      </c>
      <c r="H2235" s="5">
        <v>0</v>
      </c>
      <c r="I2235" s="6">
        <v>710000000</v>
      </c>
      <c r="J2235" s="4" t="s">
        <v>1931</v>
      </c>
      <c r="K2235" s="4" t="s">
        <v>756</v>
      </c>
      <c r="L2235" s="3" t="s">
        <v>1165</v>
      </c>
      <c r="M2235" s="8" t="s">
        <v>3195</v>
      </c>
      <c r="N2235" s="3" t="s">
        <v>1890</v>
      </c>
      <c r="O2235" s="8" t="s">
        <v>1935</v>
      </c>
      <c r="P2235" s="8">
        <v>796</v>
      </c>
      <c r="Q2235" s="8" t="s">
        <v>3196</v>
      </c>
      <c r="R2235" s="69">
        <f>2+5</f>
        <v>7</v>
      </c>
      <c r="S2235" s="69">
        <v>1455.36</v>
      </c>
      <c r="T2235" s="10">
        <f t="shared" ref="T2235" si="1217">S2235*R2235</f>
        <v>10187.519999999999</v>
      </c>
      <c r="U2235" s="10">
        <f t="shared" ref="U2235" si="1218">T2235*1.12</f>
        <v>11410.0224</v>
      </c>
      <c r="V2235" s="7"/>
      <c r="W2235" s="1">
        <v>2015</v>
      </c>
      <c r="X2235" s="62"/>
    </row>
    <row r="2236" spans="1:24" s="13" customFormat="1" ht="76.5" customHeight="1" outlineLevel="1" x14ac:dyDescent="0.2">
      <c r="A2236" s="1" t="s">
        <v>3956</v>
      </c>
      <c r="B2236" s="38" t="s">
        <v>5277</v>
      </c>
      <c r="C2236" s="6" t="s">
        <v>416</v>
      </c>
      <c r="D2236" s="6" t="s">
        <v>5677</v>
      </c>
      <c r="E2236" s="6" t="s">
        <v>415</v>
      </c>
      <c r="F2236" s="39" t="s">
        <v>5556</v>
      </c>
      <c r="G2236" s="50" t="s">
        <v>3190</v>
      </c>
      <c r="H2236" s="5">
        <v>0</v>
      </c>
      <c r="I2236" s="6">
        <v>710000000</v>
      </c>
      <c r="J2236" s="4" t="s">
        <v>1931</v>
      </c>
      <c r="K2236" s="4" t="s">
        <v>5297</v>
      </c>
      <c r="L2236" s="3" t="s">
        <v>1165</v>
      </c>
      <c r="M2236" s="8" t="s">
        <v>3195</v>
      </c>
      <c r="N2236" s="3" t="s">
        <v>1890</v>
      </c>
      <c r="O2236" s="8" t="s">
        <v>1935</v>
      </c>
      <c r="P2236" s="8">
        <v>796</v>
      </c>
      <c r="Q2236" s="8" t="s">
        <v>3196</v>
      </c>
      <c r="R2236" s="9">
        <f>25+5</f>
        <v>30</v>
      </c>
      <c r="S2236" s="9">
        <v>166.07</v>
      </c>
      <c r="T2236" s="10">
        <v>0</v>
      </c>
      <c r="U2236" s="10">
        <f t="shared" si="1117"/>
        <v>0</v>
      </c>
      <c r="V2236" s="7"/>
      <c r="W2236" s="11">
        <v>2015</v>
      </c>
      <c r="X2236" s="12" t="s">
        <v>6562</v>
      </c>
    </row>
    <row r="2237" spans="1:24" s="13" customFormat="1" ht="76.5" customHeight="1" outlineLevel="1" x14ac:dyDescent="0.2">
      <c r="A2237" s="1" t="s">
        <v>6658</v>
      </c>
      <c r="B2237" s="2" t="s">
        <v>5277</v>
      </c>
      <c r="C2237" s="6" t="s">
        <v>416</v>
      </c>
      <c r="D2237" s="6" t="s">
        <v>5677</v>
      </c>
      <c r="E2237" s="6" t="s">
        <v>415</v>
      </c>
      <c r="F2237" s="2" t="s">
        <v>5556</v>
      </c>
      <c r="G2237" s="3" t="s">
        <v>3190</v>
      </c>
      <c r="H2237" s="5">
        <v>0</v>
      </c>
      <c r="I2237" s="6">
        <v>710000000</v>
      </c>
      <c r="J2237" s="4" t="s">
        <v>1931</v>
      </c>
      <c r="K2237" s="4" t="s">
        <v>5297</v>
      </c>
      <c r="L2237" s="3" t="s">
        <v>1165</v>
      </c>
      <c r="M2237" s="8" t="s">
        <v>3195</v>
      </c>
      <c r="N2237" s="3" t="s">
        <v>1890</v>
      </c>
      <c r="O2237" s="8" t="s">
        <v>1935</v>
      </c>
      <c r="P2237" s="8">
        <v>796</v>
      </c>
      <c r="Q2237" s="8" t="s">
        <v>3196</v>
      </c>
      <c r="R2237" s="69">
        <f>20+5</f>
        <v>25</v>
      </c>
      <c r="S2237" s="69">
        <v>166.07</v>
      </c>
      <c r="T2237" s="10">
        <v>0</v>
      </c>
      <c r="U2237" s="10">
        <f t="shared" si="1117"/>
        <v>0</v>
      </c>
      <c r="V2237" s="7"/>
      <c r="W2237" s="1">
        <v>2015</v>
      </c>
      <c r="X2237" s="62" t="s">
        <v>7518</v>
      </c>
    </row>
    <row r="2238" spans="1:24" s="13" customFormat="1" ht="76.5" customHeight="1" outlineLevel="1" x14ac:dyDescent="0.2">
      <c r="A2238" s="1" t="s">
        <v>7734</v>
      </c>
      <c r="B2238" s="2" t="s">
        <v>5277</v>
      </c>
      <c r="C2238" s="6" t="s">
        <v>416</v>
      </c>
      <c r="D2238" s="6" t="s">
        <v>5677</v>
      </c>
      <c r="E2238" s="6" t="s">
        <v>415</v>
      </c>
      <c r="F2238" s="2" t="s">
        <v>5556</v>
      </c>
      <c r="G2238" s="3" t="s">
        <v>3190</v>
      </c>
      <c r="H2238" s="5">
        <v>0</v>
      </c>
      <c r="I2238" s="6">
        <v>710000000</v>
      </c>
      <c r="J2238" s="4" t="s">
        <v>1931</v>
      </c>
      <c r="K2238" s="4" t="s">
        <v>756</v>
      </c>
      <c r="L2238" s="3" t="s">
        <v>1165</v>
      </c>
      <c r="M2238" s="8" t="s">
        <v>3195</v>
      </c>
      <c r="N2238" s="3" t="s">
        <v>1890</v>
      </c>
      <c r="O2238" s="8" t="s">
        <v>1935</v>
      </c>
      <c r="P2238" s="8">
        <v>796</v>
      </c>
      <c r="Q2238" s="8" t="s">
        <v>3196</v>
      </c>
      <c r="R2238" s="69">
        <v>20</v>
      </c>
      <c r="S2238" s="69">
        <v>166.07</v>
      </c>
      <c r="T2238" s="10">
        <f t="shared" ref="T2238" si="1219">S2238*R2238</f>
        <v>3321.3999999999996</v>
      </c>
      <c r="U2238" s="10">
        <f t="shared" ref="U2238" si="1220">T2238*1.12</f>
        <v>3719.9679999999998</v>
      </c>
      <c r="V2238" s="7"/>
      <c r="W2238" s="1">
        <v>2015</v>
      </c>
      <c r="X2238" s="62"/>
    </row>
    <row r="2239" spans="1:24" s="13" customFormat="1" ht="76.5" customHeight="1" outlineLevel="1" x14ac:dyDescent="0.2">
      <c r="A2239" s="1" t="s">
        <v>3957</v>
      </c>
      <c r="B2239" s="2" t="s">
        <v>5277</v>
      </c>
      <c r="C2239" s="2" t="s">
        <v>5140</v>
      </c>
      <c r="D2239" s="2" t="s">
        <v>5189</v>
      </c>
      <c r="E2239" s="6" t="s">
        <v>5249</v>
      </c>
      <c r="F2239" s="2"/>
      <c r="G2239" s="3" t="s">
        <v>3190</v>
      </c>
      <c r="H2239" s="5">
        <v>0</v>
      </c>
      <c r="I2239" s="6">
        <v>710000000</v>
      </c>
      <c r="J2239" s="4" t="s">
        <v>1931</v>
      </c>
      <c r="K2239" s="4" t="s">
        <v>5297</v>
      </c>
      <c r="L2239" s="3" t="s">
        <v>1165</v>
      </c>
      <c r="M2239" s="8" t="s">
        <v>3195</v>
      </c>
      <c r="N2239" s="3" t="s">
        <v>1890</v>
      </c>
      <c r="O2239" s="8" t="s">
        <v>1935</v>
      </c>
      <c r="P2239" s="8">
        <v>796</v>
      </c>
      <c r="Q2239" s="8" t="s">
        <v>3196</v>
      </c>
      <c r="R2239" s="69">
        <f>15+5+20+15</f>
        <v>55</v>
      </c>
      <c r="S2239" s="69">
        <v>367.86</v>
      </c>
      <c r="T2239" s="10">
        <v>0</v>
      </c>
      <c r="U2239" s="10">
        <f t="shared" si="1117"/>
        <v>0</v>
      </c>
      <c r="V2239" s="7"/>
      <c r="W2239" s="1">
        <v>2015</v>
      </c>
      <c r="X2239" s="62" t="s">
        <v>7518</v>
      </c>
    </row>
    <row r="2240" spans="1:24" s="13" customFormat="1" ht="76.5" customHeight="1" outlineLevel="1" x14ac:dyDescent="0.2">
      <c r="A2240" s="1" t="s">
        <v>7735</v>
      </c>
      <c r="B2240" s="2" t="s">
        <v>5277</v>
      </c>
      <c r="C2240" s="2" t="s">
        <v>5140</v>
      </c>
      <c r="D2240" s="2" t="s">
        <v>5189</v>
      </c>
      <c r="E2240" s="6" t="s">
        <v>5249</v>
      </c>
      <c r="F2240" s="2"/>
      <c r="G2240" s="3" t="s">
        <v>3190</v>
      </c>
      <c r="H2240" s="5">
        <v>0</v>
      </c>
      <c r="I2240" s="6">
        <v>710000000</v>
      </c>
      <c r="J2240" s="4" t="s">
        <v>1931</v>
      </c>
      <c r="K2240" s="4" t="s">
        <v>756</v>
      </c>
      <c r="L2240" s="3" t="s">
        <v>1165</v>
      </c>
      <c r="M2240" s="8" t="s">
        <v>3195</v>
      </c>
      <c r="N2240" s="3" t="s">
        <v>1890</v>
      </c>
      <c r="O2240" s="8" t="s">
        <v>1935</v>
      </c>
      <c r="P2240" s="8">
        <v>796</v>
      </c>
      <c r="Q2240" s="8" t="s">
        <v>3196</v>
      </c>
      <c r="R2240" s="69">
        <f>10+20+10</f>
        <v>40</v>
      </c>
      <c r="S2240" s="69">
        <v>367.86</v>
      </c>
      <c r="T2240" s="10">
        <f t="shared" ref="T2240" si="1221">S2240*R2240</f>
        <v>14714.400000000001</v>
      </c>
      <c r="U2240" s="10">
        <f t="shared" ref="U2240" si="1222">T2240*1.12</f>
        <v>16480.128000000004</v>
      </c>
      <c r="V2240" s="7"/>
      <c r="W2240" s="1">
        <v>2015</v>
      </c>
      <c r="X2240" s="62"/>
    </row>
    <row r="2241" spans="1:24" s="13" customFormat="1" ht="76.5" customHeight="1" outlineLevel="1" x14ac:dyDescent="0.2">
      <c r="A2241" s="1" t="s">
        <v>3958</v>
      </c>
      <c r="B2241" s="2" t="s">
        <v>5277</v>
      </c>
      <c r="C2241" s="6" t="s">
        <v>414</v>
      </c>
      <c r="D2241" s="6" t="s">
        <v>413</v>
      </c>
      <c r="E2241" s="6" t="s">
        <v>6477</v>
      </c>
      <c r="F2241" s="75"/>
      <c r="G2241" s="3" t="s">
        <v>3190</v>
      </c>
      <c r="H2241" s="5">
        <v>0</v>
      </c>
      <c r="I2241" s="6">
        <v>710000000</v>
      </c>
      <c r="J2241" s="4" t="s">
        <v>1931</v>
      </c>
      <c r="K2241" s="4" t="s">
        <v>5297</v>
      </c>
      <c r="L2241" s="3" t="s">
        <v>1165</v>
      </c>
      <c r="M2241" s="8" t="s">
        <v>3195</v>
      </c>
      <c r="N2241" s="3" t="s">
        <v>1890</v>
      </c>
      <c r="O2241" s="8" t="s">
        <v>1935</v>
      </c>
      <c r="P2241" s="8">
        <v>796</v>
      </c>
      <c r="Q2241" s="8" t="s">
        <v>3196</v>
      </c>
      <c r="R2241" s="69">
        <v>100</v>
      </c>
      <c r="S2241" s="69">
        <v>148.08000000000001</v>
      </c>
      <c r="T2241" s="10">
        <v>0</v>
      </c>
      <c r="U2241" s="10">
        <f t="shared" si="1117"/>
        <v>0</v>
      </c>
      <c r="V2241" s="7"/>
      <c r="W2241" s="1">
        <v>2015</v>
      </c>
      <c r="X2241" s="62" t="s">
        <v>7518</v>
      </c>
    </row>
    <row r="2242" spans="1:24" s="13" customFormat="1" ht="76.5" customHeight="1" outlineLevel="1" x14ac:dyDescent="0.2">
      <c r="A2242" s="1" t="s">
        <v>7736</v>
      </c>
      <c r="B2242" s="2" t="s">
        <v>5277</v>
      </c>
      <c r="C2242" s="6" t="s">
        <v>414</v>
      </c>
      <c r="D2242" s="6" t="s">
        <v>413</v>
      </c>
      <c r="E2242" s="6" t="s">
        <v>6477</v>
      </c>
      <c r="F2242" s="75"/>
      <c r="G2242" s="3" t="s">
        <v>3190</v>
      </c>
      <c r="H2242" s="5">
        <v>0</v>
      </c>
      <c r="I2242" s="6">
        <v>710000000</v>
      </c>
      <c r="J2242" s="4" t="s">
        <v>1931</v>
      </c>
      <c r="K2242" s="4" t="s">
        <v>756</v>
      </c>
      <c r="L2242" s="3" t="s">
        <v>1165</v>
      </c>
      <c r="M2242" s="8" t="s">
        <v>3195</v>
      </c>
      <c r="N2242" s="3" t="s">
        <v>1890</v>
      </c>
      <c r="O2242" s="8" t="s">
        <v>1935</v>
      </c>
      <c r="P2242" s="8">
        <v>796</v>
      </c>
      <c r="Q2242" s="8" t="s">
        <v>3196</v>
      </c>
      <c r="R2242" s="69">
        <v>50</v>
      </c>
      <c r="S2242" s="69">
        <v>148.08000000000001</v>
      </c>
      <c r="T2242" s="10">
        <f t="shared" ref="T2242" si="1223">S2242*R2242</f>
        <v>7404.0000000000009</v>
      </c>
      <c r="U2242" s="10">
        <f t="shared" ref="U2242" si="1224">T2242*1.12</f>
        <v>8292.4800000000014</v>
      </c>
      <c r="V2242" s="7"/>
      <c r="W2242" s="1">
        <v>2015</v>
      </c>
      <c r="X2242" s="62"/>
    </row>
    <row r="2243" spans="1:24" s="13" customFormat="1" ht="76.5" customHeight="1" outlineLevel="1" x14ac:dyDescent="0.2">
      <c r="A2243" s="1" t="s">
        <v>3959</v>
      </c>
      <c r="B2243" s="2" t="s">
        <v>5277</v>
      </c>
      <c r="C2243" s="2" t="s">
        <v>3806</v>
      </c>
      <c r="D2243" s="2" t="s">
        <v>5552</v>
      </c>
      <c r="E2243" s="6" t="s">
        <v>5553</v>
      </c>
      <c r="F2243" s="2"/>
      <c r="G2243" s="3" t="s">
        <v>3190</v>
      </c>
      <c r="H2243" s="5">
        <v>0</v>
      </c>
      <c r="I2243" s="6">
        <v>710000000</v>
      </c>
      <c r="J2243" s="4" t="s">
        <v>1931</v>
      </c>
      <c r="K2243" s="4" t="s">
        <v>5297</v>
      </c>
      <c r="L2243" s="3" t="s">
        <v>1165</v>
      </c>
      <c r="M2243" s="8" t="s">
        <v>3195</v>
      </c>
      <c r="N2243" s="3" t="s">
        <v>1890</v>
      </c>
      <c r="O2243" s="8" t="s">
        <v>1935</v>
      </c>
      <c r="P2243" s="8">
        <v>796</v>
      </c>
      <c r="Q2243" s="8" t="s">
        <v>3196</v>
      </c>
      <c r="R2243" s="69">
        <f>3+2+1</f>
        <v>6</v>
      </c>
      <c r="S2243" s="69">
        <v>1000</v>
      </c>
      <c r="T2243" s="10">
        <v>0</v>
      </c>
      <c r="U2243" s="10">
        <f t="shared" si="1117"/>
        <v>0</v>
      </c>
      <c r="V2243" s="7"/>
      <c r="W2243" s="1">
        <v>2015</v>
      </c>
      <c r="X2243" s="62">
        <v>11</v>
      </c>
    </row>
    <row r="2244" spans="1:24" s="13" customFormat="1" ht="76.5" customHeight="1" outlineLevel="1" x14ac:dyDescent="0.2">
      <c r="A2244" s="1" t="s">
        <v>7737</v>
      </c>
      <c r="B2244" s="2" t="s">
        <v>5277</v>
      </c>
      <c r="C2244" s="2" t="s">
        <v>3806</v>
      </c>
      <c r="D2244" s="2" t="s">
        <v>5552</v>
      </c>
      <c r="E2244" s="6" t="s">
        <v>5553</v>
      </c>
      <c r="F2244" s="2"/>
      <c r="G2244" s="3" t="s">
        <v>3190</v>
      </c>
      <c r="H2244" s="5">
        <v>0</v>
      </c>
      <c r="I2244" s="6">
        <v>710000000</v>
      </c>
      <c r="J2244" s="4" t="s">
        <v>1931</v>
      </c>
      <c r="K2244" s="4" t="s">
        <v>756</v>
      </c>
      <c r="L2244" s="3" t="s">
        <v>1165</v>
      </c>
      <c r="M2244" s="8" t="s">
        <v>3195</v>
      </c>
      <c r="N2244" s="3" t="s">
        <v>1890</v>
      </c>
      <c r="O2244" s="8" t="s">
        <v>1935</v>
      </c>
      <c r="P2244" s="8">
        <v>796</v>
      </c>
      <c r="Q2244" s="8" t="s">
        <v>3196</v>
      </c>
      <c r="R2244" s="69">
        <f>3+2+1</f>
        <v>6</v>
      </c>
      <c r="S2244" s="69">
        <v>1000</v>
      </c>
      <c r="T2244" s="10">
        <f t="shared" ref="T2244" si="1225">S2244*R2244</f>
        <v>6000</v>
      </c>
      <c r="U2244" s="10">
        <f t="shared" ref="U2244" si="1226">T2244*1.12</f>
        <v>6720.0000000000009</v>
      </c>
      <c r="V2244" s="7"/>
      <c r="W2244" s="1">
        <v>2015</v>
      </c>
      <c r="X2244" s="62"/>
    </row>
    <row r="2245" spans="1:24" s="13" customFormat="1" ht="76.5" customHeight="1" outlineLevel="1" x14ac:dyDescent="0.2">
      <c r="A2245" s="1" t="s">
        <v>3960</v>
      </c>
      <c r="B2245" s="2" t="s">
        <v>5277</v>
      </c>
      <c r="C2245" s="2" t="s">
        <v>382</v>
      </c>
      <c r="D2245" s="2" t="s">
        <v>381</v>
      </c>
      <c r="E2245" s="2" t="s">
        <v>380</v>
      </c>
      <c r="F2245" s="2"/>
      <c r="G2245" s="3" t="s">
        <v>3190</v>
      </c>
      <c r="H2245" s="5">
        <v>0</v>
      </c>
      <c r="I2245" s="6">
        <v>710000000</v>
      </c>
      <c r="J2245" s="4" t="s">
        <v>1931</v>
      </c>
      <c r="K2245" s="4" t="s">
        <v>5297</v>
      </c>
      <c r="L2245" s="3" t="s">
        <v>1165</v>
      </c>
      <c r="M2245" s="8" t="s">
        <v>3195</v>
      </c>
      <c r="N2245" s="3" t="s">
        <v>1890</v>
      </c>
      <c r="O2245" s="8" t="s">
        <v>1935</v>
      </c>
      <c r="P2245" s="62">
        <v>839</v>
      </c>
      <c r="Q2245" s="3" t="s">
        <v>5413</v>
      </c>
      <c r="R2245" s="69">
        <f>5+3+7+15</f>
        <v>30</v>
      </c>
      <c r="S2245" s="69">
        <v>2000</v>
      </c>
      <c r="T2245" s="10">
        <v>0</v>
      </c>
      <c r="U2245" s="10">
        <f t="shared" si="1117"/>
        <v>0</v>
      </c>
      <c r="V2245" s="7"/>
      <c r="W2245" s="1">
        <v>2015</v>
      </c>
      <c r="X2245" s="62" t="s">
        <v>7518</v>
      </c>
    </row>
    <row r="2246" spans="1:24" s="13" customFormat="1" ht="76.5" customHeight="1" outlineLevel="1" x14ac:dyDescent="0.2">
      <c r="A2246" s="1" t="s">
        <v>7738</v>
      </c>
      <c r="B2246" s="2" t="s">
        <v>5277</v>
      </c>
      <c r="C2246" s="2" t="s">
        <v>382</v>
      </c>
      <c r="D2246" s="2" t="s">
        <v>381</v>
      </c>
      <c r="E2246" s="2" t="s">
        <v>380</v>
      </c>
      <c r="F2246" s="2"/>
      <c r="G2246" s="3" t="s">
        <v>3190</v>
      </c>
      <c r="H2246" s="5">
        <v>0</v>
      </c>
      <c r="I2246" s="6">
        <v>710000000</v>
      </c>
      <c r="J2246" s="4" t="s">
        <v>1931</v>
      </c>
      <c r="K2246" s="4" t="s">
        <v>756</v>
      </c>
      <c r="L2246" s="3" t="s">
        <v>1165</v>
      </c>
      <c r="M2246" s="8" t="s">
        <v>3195</v>
      </c>
      <c r="N2246" s="3" t="s">
        <v>1890</v>
      </c>
      <c r="O2246" s="8" t="s">
        <v>1935</v>
      </c>
      <c r="P2246" s="62">
        <v>839</v>
      </c>
      <c r="Q2246" s="3" t="s">
        <v>5413</v>
      </c>
      <c r="R2246" s="69">
        <f>5+5+10</f>
        <v>20</v>
      </c>
      <c r="S2246" s="69">
        <v>2000</v>
      </c>
      <c r="T2246" s="10">
        <f t="shared" ref="T2246" si="1227">S2246*R2246</f>
        <v>40000</v>
      </c>
      <c r="U2246" s="10">
        <f t="shared" ref="U2246" si="1228">T2246*1.12</f>
        <v>44800.000000000007</v>
      </c>
      <c r="V2246" s="7"/>
      <c r="W2246" s="1">
        <v>2015</v>
      </c>
      <c r="X2246" s="62"/>
    </row>
    <row r="2247" spans="1:24" s="13" customFormat="1" ht="76.5" customHeight="1" outlineLevel="1" x14ac:dyDescent="0.2">
      <c r="A2247" s="1" t="s">
        <v>3961</v>
      </c>
      <c r="B2247" s="2" t="s">
        <v>5277</v>
      </c>
      <c r="C2247" s="2" t="s">
        <v>3804</v>
      </c>
      <c r="D2247" s="2" t="s">
        <v>3805</v>
      </c>
      <c r="E2247" s="6" t="s">
        <v>9890</v>
      </c>
      <c r="F2247" s="2"/>
      <c r="G2247" s="3" t="s">
        <v>3190</v>
      </c>
      <c r="H2247" s="5">
        <v>0</v>
      </c>
      <c r="I2247" s="6">
        <v>710000000</v>
      </c>
      <c r="J2247" s="4" t="s">
        <v>1931</v>
      </c>
      <c r="K2247" s="4" t="s">
        <v>5297</v>
      </c>
      <c r="L2247" s="3" t="s">
        <v>1165</v>
      </c>
      <c r="M2247" s="8" t="s">
        <v>3195</v>
      </c>
      <c r="N2247" s="3" t="s">
        <v>1890</v>
      </c>
      <c r="O2247" s="8" t="s">
        <v>1935</v>
      </c>
      <c r="P2247" s="8">
        <v>796</v>
      </c>
      <c r="Q2247" s="8" t="s">
        <v>3196</v>
      </c>
      <c r="R2247" s="69">
        <f>3+2</f>
        <v>5</v>
      </c>
      <c r="S2247" s="69">
        <v>1978</v>
      </c>
      <c r="T2247" s="10">
        <v>0</v>
      </c>
      <c r="U2247" s="10">
        <f t="shared" ref="U2247:U2389" si="1229">T2247*1.12</f>
        <v>0</v>
      </c>
      <c r="V2247" s="7"/>
      <c r="W2247" s="1">
        <v>2015</v>
      </c>
      <c r="X2247" s="62">
        <v>11</v>
      </c>
    </row>
    <row r="2248" spans="1:24" s="13" customFormat="1" ht="76.5" customHeight="1" outlineLevel="1" x14ac:dyDescent="0.2">
      <c r="A2248" s="1" t="s">
        <v>7739</v>
      </c>
      <c r="B2248" s="2" t="s">
        <v>5277</v>
      </c>
      <c r="C2248" s="2" t="s">
        <v>3804</v>
      </c>
      <c r="D2248" s="2" t="s">
        <v>3805</v>
      </c>
      <c r="E2248" s="6" t="s">
        <v>9890</v>
      </c>
      <c r="F2248" s="2"/>
      <c r="G2248" s="3" t="s">
        <v>3190</v>
      </c>
      <c r="H2248" s="5">
        <v>0</v>
      </c>
      <c r="I2248" s="6">
        <v>710000000</v>
      </c>
      <c r="J2248" s="4" t="s">
        <v>1931</v>
      </c>
      <c r="K2248" s="4" t="s">
        <v>756</v>
      </c>
      <c r="L2248" s="3" t="s">
        <v>1165</v>
      </c>
      <c r="M2248" s="8" t="s">
        <v>3195</v>
      </c>
      <c r="N2248" s="3" t="s">
        <v>1890</v>
      </c>
      <c r="O2248" s="8" t="s">
        <v>1935</v>
      </c>
      <c r="P2248" s="8">
        <v>796</v>
      </c>
      <c r="Q2248" s="8" t="s">
        <v>3196</v>
      </c>
      <c r="R2248" s="69">
        <f>3+2</f>
        <v>5</v>
      </c>
      <c r="S2248" s="69">
        <v>1978</v>
      </c>
      <c r="T2248" s="10">
        <f t="shared" ref="T2248" si="1230">S2248*R2248</f>
        <v>9890</v>
      </c>
      <c r="U2248" s="10">
        <f t="shared" ref="U2248" si="1231">T2248*1.12</f>
        <v>11076.800000000001</v>
      </c>
      <c r="V2248" s="7"/>
      <c r="W2248" s="1">
        <v>2015</v>
      </c>
      <c r="X2248" s="62"/>
    </row>
    <row r="2249" spans="1:24" s="13" customFormat="1" ht="76.5" customHeight="1" outlineLevel="1" x14ac:dyDescent="0.2">
      <c r="A2249" s="1" t="s">
        <v>3962</v>
      </c>
      <c r="B2249" s="2" t="s">
        <v>5277</v>
      </c>
      <c r="C2249" s="2" t="s">
        <v>3792</v>
      </c>
      <c r="D2249" s="2" t="s">
        <v>5536</v>
      </c>
      <c r="E2249" s="6" t="s">
        <v>5537</v>
      </c>
      <c r="F2249" s="2"/>
      <c r="G2249" s="3" t="s">
        <v>3190</v>
      </c>
      <c r="H2249" s="5">
        <v>0</v>
      </c>
      <c r="I2249" s="6">
        <v>710000000</v>
      </c>
      <c r="J2249" s="4" t="s">
        <v>1931</v>
      </c>
      <c r="K2249" s="4" t="s">
        <v>5297</v>
      </c>
      <c r="L2249" s="3" t="s">
        <v>1165</v>
      </c>
      <c r="M2249" s="8" t="s">
        <v>3195</v>
      </c>
      <c r="N2249" s="3" t="s">
        <v>1890</v>
      </c>
      <c r="O2249" s="8" t="s">
        <v>1935</v>
      </c>
      <c r="P2249" s="8">
        <v>796</v>
      </c>
      <c r="Q2249" s="8" t="s">
        <v>3196</v>
      </c>
      <c r="R2249" s="69">
        <v>1</v>
      </c>
      <c r="S2249" s="69">
        <v>1719.64</v>
      </c>
      <c r="T2249" s="10">
        <v>0</v>
      </c>
      <c r="U2249" s="10">
        <f t="shared" si="1229"/>
        <v>0</v>
      </c>
      <c r="V2249" s="7"/>
      <c r="W2249" s="1">
        <v>2015</v>
      </c>
      <c r="X2249" s="62">
        <v>11</v>
      </c>
    </row>
    <row r="2250" spans="1:24" s="13" customFormat="1" ht="76.5" customHeight="1" outlineLevel="1" x14ac:dyDescent="0.2">
      <c r="A2250" s="1" t="s">
        <v>7740</v>
      </c>
      <c r="B2250" s="2" t="s">
        <v>5277</v>
      </c>
      <c r="C2250" s="2" t="s">
        <v>3792</v>
      </c>
      <c r="D2250" s="2" t="s">
        <v>5536</v>
      </c>
      <c r="E2250" s="6" t="s">
        <v>5537</v>
      </c>
      <c r="F2250" s="2"/>
      <c r="G2250" s="3" t="s">
        <v>3190</v>
      </c>
      <c r="H2250" s="5">
        <v>0</v>
      </c>
      <c r="I2250" s="6">
        <v>710000000</v>
      </c>
      <c r="J2250" s="4" t="s">
        <v>1931</v>
      </c>
      <c r="K2250" s="4" t="s">
        <v>756</v>
      </c>
      <c r="L2250" s="3" t="s">
        <v>1165</v>
      </c>
      <c r="M2250" s="8" t="s">
        <v>3195</v>
      </c>
      <c r="N2250" s="3" t="s">
        <v>1890</v>
      </c>
      <c r="O2250" s="8" t="s">
        <v>1935</v>
      </c>
      <c r="P2250" s="8">
        <v>796</v>
      </c>
      <c r="Q2250" s="8" t="s">
        <v>3196</v>
      </c>
      <c r="R2250" s="69">
        <v>1</v>
      </c>
      <c r="S2250" s="69">
        <v>1719.64</v>
      </c>
      <c r="T2250" s="10">
        <f t="shared" ref="T2250" si="1232">S2250*R2250</f>
        <v>1719.64</v>
      </c>
      <c r="U2250" s="10">
        <f t="shared" ref="U2250" si="1233">T2250*1.12</f>
        <v>1925.9968000000003</v>
      </c>
      <c r="V2250" s="7"/>
      <c r="W2250" s="1">
        <v>2015</v>
      </c>
      <c r="X2250" s="62"/>
    </row>
    <row r="2251" spans="1:24" s="13" customFormat="1" ht="76.5" customHeight="1" outlineLevel="1" x14ac:dyDescent="0.2">
      <c r="A2251" s="1" t="s">
        <v>3963</v>
      </c>
      <c r="B2251" s="2" t="s">
        <v>5277</v>
      </c>
      <c r="C2251" s="2" t="s">
        <v>375</v>
      </c>
      <c r="D2251" s="2" t="s">
        <v>374</v>
      </c>
      <c r="E2251" s="2" t="s">
        <v>373</v>
      </c>
      <c r="F2251" s="2" t="s">
        <v>372</v>
      </c>
      <c r="G2251" s="3" t="s">
        <v>3190</v>
      </c>
      <c r="H2251" s="5">
        <v>0</v>
      </c>
      <c r="I2251" s="6">
        <v>710000000</v>
      </c>
      <c r="J2251" s="4" t="s">
        <v>1931</v>
      </c>
      <c r="K2251" s="4" t="s">
        <v>5297</v>
      </c>
      <c r="L2251" s="3" t="s">
        <v>1165</v>
      </c>
      <c r="M2251" s="8" t="s">
        <v>3195</v>
      </c>
      <c r="N2251" s="3" t="s">
        <v>1890</v>
      </c>
      <c r="O2251" s="8" t="s">
        <v>1935</v>
      </c>
      <c r="P2251" s="8">
        <v>796</v>
      </c>
      <c r="Q2251" s="8" t="s">
        <v>3196</v>
      </c>
      <c r="R2251" s="69">
        <v>10</v>
      </c>
      <c r="S2251" s="69">
        <v>597.32000000000005</v>
      </c>
      <c r="T2251" s="10">
        <v>0</v>
      </c>
      <c r="U2251" s="10">
        <f t="shared" si="1229"/>
        <v>0</v>
      </c>
      <c r="V2251" s="7"/>
      <c r="W2251" s="1">
        <v>2015</v>
      </c>
      <c r="X2251" s="62">
        <v>11</v>
      </c>
    </row>
    <row r="2252" spans="1:24" s="13" customFormat="1" ht="76.5" customHeight="1" outlineLevel="1" x14ac:dyDescent="0.2">
      <c r="A2252" s="1" t="s">
        <v>7741</v>
      </c>
      <c r="B2252" s="2" t="s">
        <v>5277</v>
      </c>
      <c r="C2252" s="2" t="s">
        <v>375</v>
      </c>
      <c r="D2252" s="2" t="s">
        <v>374</v>
      </c>
      <c r="E2252" s="2" t="s">
        <v>373</v>
      </c>
      <c r="F2252" s="2" t="s">
        <v>372</v>
      </c>
      <c r="G2252" s="3" t="s">
        <v>3190</v>
      </c>
      <c r="H2252" s="5">
        <v>0</v>
      </c>
      <c r="I2252" s="6">
        <v>710000000</v>
      </c>
      <c r="J2252" s="4" t="s">
        <v>1931</v>
      </c>
      <c r="K2252" s="4" t="s">
        <v>756</v>
      </c>
      <c r="L2252" s="3" t="s">
        <v>1165</v>
      </c>
      <c r="M2252" s="8" t="s">
        <v>3195</v>
      </c>
      <c r="N2252" s="3" t="s">
        <v>1890</v>
      </c>
      <c r="O2252" s="8" t="s">
        <v>1935</v>
      </c>
      <c r="P2252" s="8">
        <v>796</v>
      </c>
      <c r="Q2252" s="8" t="s">
        <v>3196</v>
      </c>
      <c r="R2252" s="69">
        <v>10</v>
      </c>
      <c r="S2252" s="69">
        <v>597.32000000000005</v>
      </c>
      <c r="T2252" s="10">
        <f t="shared" ref="T2252" si="1234">S2252*R2252</f>
        <v>5973.2000000000007</v>
      </c>
      <c r="U2252" s="10">
        <f t="shared" ref="U2252" si="1235">T2252*1.12</f>
        <v>6689.9840000000013</v>
      </c>
      <c r="V2252" s="7"/>
      <c r="W2252" s="1">
        <v>2015</v>
      </c>
      <c r="X2252" s="62"/>
    </row>
    <row r="2253" spans="1:24" s="13" customFormat="1" ht="76.5" customHeight="1" outlineLevel="1" x14ac:dyDescent="0.2">
      <c r="A2253" s="1" t="s">
        <v>3964</v>
      </c>
      <c r="B2253" s="2" t="s">
        <v>5277</v>
      </c>
      <c r="C2253" s="2" t="s">
        <v>375</v>
      </c>
      <c r="D2253" s="2" t="s">
        <v>374</v>
      </c>
      <c r="E2253" s="2" t="s">
        <v>373</v>
      </c>
      <c r="F2253" s="2" t="s">
        <v>412</v>
      </c>
      <c r="G2253" s="3" t="s">
        <v>3190</v>
      </c>
      <c r="H2253" s="5">
        <v>0</v>
      </c>
      <c r="I2253" s="6">
        <v>710000000</v>
      </c>
      <c r="J2253" s="4" t="s">
        <v>1931</v>
      </c>
      <c r="K2253" s="4" t="s">
        <v>5297</v>
      </c>
      <c r="L2253" s="3" t="s">
        <v>1165</v>
      </c>
      <c r="M2253" s="8" t="s">
        <v>3195</v>
      </c>
      <c r="N2253" s="3" t="s">
        <v>1890</v>
      </c>
      <c r="O2253" s="8" t="s">
        <v>1935</v>
      </c>
      <c r="P2253" s="8">
        <v>796</v>
      </c>
      <c r="Q2253" s="8" t="s">
        <v>3196</v>
      </c>
      <c r="R2253" s="69">
        <v>10</v>
      </c>
      <c r="S2253" s="69">
        <v>752.68</v>
      </c>
      <c r="T2253" s="10">
        <f t="shared" ref="T2253:T2305" si="1236">S2253*R2253</f>
        <v>7526.7999999999993</v>
      </c>
      <c r="U2253" s="10">
        <f t="shared" si="1229"/>
        <v>8430.0159999999996</v>
      </c>
      <c r="V2253" s="7"/>
      <c r="W2253" s="1">
        <v>2015</v>
      </c>
      <c r="X2253" s="62"/>
    </row>
    <row r="2254" spans="1:24" s="13" customFormat="1" ht="76.5" customHeight="1" outlineLevel="1" x14ac:dyDescent="0.2">
      <c r="A2254" s="1" t="s">
        <v>7742</v>
      </c>
      <c r="B2254" s="2" t="s">
        <v>5277</v>
      </c>
      <c r="C2254" s="2" t="s">
        <v>375</v>
      </c>
      <c r="D2254" s="2" t="s">
        <v>374</v>
      </c>
      <c r="E2254" s="2" t="s">
        <v>373</v>
      </c>
      <c r="F2254" s="2" t="s">
        <v>412</v>
      </c>
      <c r="G2254" s="3" t="s">
        <v>3190</v>
      </c>
      <c r="H2254" s="5">
        <v>0</v>
      </c>
      <c r="I2254" s="6">
        <v>710000000</v>
      </c>
      <c r="J2254" s="4" t="s">
        <v>1931</v>
      </c>
      <c r="K2254" s="4" t="s">
        <v>756</v>
      </c>
      <c r="L2254" s="3" t="s">
        <v>1165</v>
      </c>
      <c r="M2254" s="8" t="s">
        <v>3195</v>
      </c>
      <c r="N2254" s="3" t="s">
        <v>1890</v>
      </c>
      <c r="O2254" s="8" t="s">
        <v>1935</v>
      </c>
      <c r="P2254" s="8">
        <v>796</v>
      </c>
      <c r="Q2254" s="8" t="s">
        <v>3196</v>
      </c>
      <c r="R2254" s="69">
        <v>10</v>
      </c>
      <c r="S2254" s="69">
        <v>752.68</v>
      </c>
      <c r="T2254" s="10">
        <f t="shared" ref="T2254" si="1237">S2254*R2254</f>
        <v>7526.7999999999993</v>
      </c>
      <c r="U2254" s="10">
        <f t="shared" ref="U2254" si="1238">T2254*1.12</f>
        <v>8430.0159999999996</v>
      </c>
      <c r="V2254" s="7"/>
      <c r="W2254" s="1">
        <v>2015</v>
      </c>
      <c r="X2254" s="62"/>
    </row>
    <row r="2255" spans="1:24" s="13" customFormat="1" ht="76.5" customHeight="1" outlineLevel="1" x14ac:dyDescent="0.2">
      <c r="A2255" s="1" t="s">
        <v>3965</v>
      </c>
      <c r="B2255" s="38" t="s">
        <v>5277</v>
      </c>
      <c r="C2255" s="2" t="s">
        <v>411</v>
      </c>
      <c r="D2255" s="2" t="s">
        <v>374</v>
      </c>
      <c r="E2255" s="2" t="s">
        <v>410</v>
      </c>
      <c r="F2255" s="39"/>
      <c r="G2255" s="50" t="s">
        <v>3190</v>
      </c>
      <c r="H2255" s="5">
        <v>0</v>
      </c>
      <c r="I2255" s="6">
        <v>710000000</v>
      </c>
      <c r="J2255" s="4" t="s">
        <v>1931</v>
      </c>
      <c r="K2255" s="4" t="s">
        <v>5297</v>
      </c>
      <c r="L2255" s="3" t="s">
        <v>1165</v>
      </c>
      <c r="M2255" s="8" t="s">
        <v>3195</v>
      </c>
      <c r="N2255" s="3" t="s">
        <v>1890</v>
      </c>
      <c r="O2255" s="8" t="s">
        <v>1935</v>
      </c>
      <c r="P2255" s="8">
        <v>796</v>
      </c>
      <c r="Q2255" s="8" t="s">
        <v>3196</v>
      </c>
      <c r="R2255" s="9">
        <f>40+15</f>
        <v>55</v>
      </c>
      <c r="S2255" s="9">
        <v>397.32</v>
      </c>
      <c r="T2255" s="10">
        <v>0</v>
      </c>
      <c r="U2255" s="10">
        <f t="shared" si="1229"/>
        <v>0</v>
      </c>
      <c r="V2255" s="7"/>
      <c r="W2255" s="11">
        <v>2015</v>
      </c>
      <c r="X2255" s="12" t="s">
        <v>6562</v>
      </c>
    </row>
    <row r="2256" spans="1:24" s="13" customFormat="1" ht="76.5" customHeight="1" outlineLevel="1" x14ac:dyDescent="0.2">
      <c r="A2256" s="1" t="s">
        <v>6659</v>
      </c>
      <c r="B2256" s="2" t="s">
        <v>5277</v>
      </c>
      <c r="C2256" s="2" t="s">
        <v>411</v>
      </c>
      <c r="D2256" s="2" t="s">
        <v>374</v>
      </c>
      <c r="E2256" s="2" t="s">
        <v>410</v>
      </c>
      <c r="F2256" s="2"/>
      <c r="G2256" s="3" t="s">
        <v>3190</v>
      </c>
      <c r="H2256" s="5">
        <v>0</v>
      </c>
      <c r="I2256" s="6">
        <v>710000000</v>
      </c>
      <c r="J2256" s="4" t="s">
        <v>1931</v>
      </c>
      <c r="K2256" s="4" t="s">
        <v>5297</v>
      </c>
      <c r="L2256" s="3" t="s">
        <v>1165</v>
      </c>
      <c r="M2256" s="8" t="s">
        <v>3195</v>
      </c>
      <c r="N2256" s="3" t="s">
        <v>1890</v>
      </c>
      <c r="O2256" s="8" t="s">
        <v>1935</v>
      </c>
      <c r="P2256" s="8">
        <v>796</v>
      </c>
      <c r="Q2256" s="8" t="s">
        <v>3196</v>
      </c>
      <c r="R2256" s="69">
        <f>15+20</f>
        <v>35</v>
      </c>
      <c r="S2256" s="69">
        <v>397.32</v>
      </c>
      <c r="T2256" s="10">
        <v>0</v>
      </c>
      <c r="U2256" s="10">
        <f t="shared" si="1229"/>
        <v>0</v>
      </c>
      <c r="V2256" s="7"/>
      <c r="W2256" s="1">
        <v>2015</v>
      </c>
      <c r="X2256" s="62" t="s">
        <v>7518</v>
      </c>
    </row>
    <row r="2257" spans="1:24" s="13" customFormat="1" ht="76.5" customHeight="1" outlineLevel="1" x14ac:dyDescent="0.2">
      <c r="A2257" s="1" t="s">
        <v>7743</v>
      </c>
      <c r="B2257" s="2" t="s">
        <v>5277</v>
      </c>
      <c r="C2257" s="2" t="s">
        <v>411</v>
      </c>
      <c r="D2257" s="2" t="s">
        <v>374</v>
      </c>
      <c r="E2257" s="2" t="s">
        <v>410</v>
      </c>
      <c r="F2257" s="2"/>
      <c r="G2257" s="3" t="s">
        <v>3190</v>
      </c>
      <c r="H2257" s="5">
        <v>0</v>
      </c>
      <c r="I2257" s="6">
        <v>710000000</v>
      </c>
      <c r="J2257" s="4" t="s">
        <v>1931</v>
      </c>
      <c r="K2257" s="4" t="s">
        <v>756</v>
      </c>
      <c r="L2257" s="3" t="s">
        <v>1165</v>
      </c>
      <c r="M2257" s="8" t="s">
        <v>3195</v>
      </c>
      <c r="N2257" s="3" t="s">
        <v>1890</v>
      </c>
      <c r="O2257" s="8" t="s">
        <v>1935</v>
      </c>
      <c r="P2257" s="8">
        <v>796</v>
      </c>
      <c r="Q2257" s="8" t="s">
        <v>3196</v>
      </c>
      <c r="R2257" s="69">
        <f>10+15</f>
        <v>25</v>
      </c>
      <c r="S2257" s="69">
        <v>397.32</v>
      </c>
      <c r="T2257" s="10">
        <f t="shared" ref="T2257" si="1239">S2257*R2257</f>
        <v>9933</v>
      </c>
      <c r="U2257" s="10">
        <f t="shared" ref="U2257" si="1240">T2257*1.12</f>
        <v>11124.960000000001</v>
      </c>
      <c r="V2257" s="7"/>
      <c r="W2257" s="1">
        <v>2015</v>
      </c>
      <c r="X2257" s="62"/>
    </row>
    <row r="2258" spans="1:24" s="13" customFormat="1" ht="76.5" customHeight="1" outlineLevel="1" x14ac:dyDescent="0.2">
      <c r="A2258" s="1" t="s">
        <v>3966</v>
      </c>
      <c r="B2258" s="2" t="s">
        <v>5277</v>
      </c>
      <c r="C2258" s="6" t="s">
        <v>409</v>
      </c>
      <c r="D2258" s="6" t="s">
        <v>374</v>
      </c>
      <c r="E2258" s="6" t="s">
        <v>408</v>
      </c>
      <c r="F2258" s="2" t="s">
        <v>407</v>
      </c>
      <c r="G2258" s="3" t="s">
        <v>3190</v>
      </c>
      <c r="H2258" s="5">
        <v>0</v>
      </c>
      <c r="I2258" s="6">
        <v>710000000</v>
      </c>
      <c r="J2258" s="4" t="s">
        <v>1931</v>
      </c>
      <c r="K2258" s="4" t="s">
        <v>5297</v>
      </c>
      <c r="L2258" s="3" t="s">
        <v>1165</v>
      </c>
      <c r="M2258" s="8" t="s">
        <v>3195</v>
      </c>
      <c r="N2258" s="3" t="s">
        <v>1890</v>
      </c>
      <c r="O2258" s="8" t="s">
        <v>1935</v>
      </c>
      <c r="P2258" s="8">
        <v>796</v>
      </c>
      <c r="Q2258" s="8" t="s">
        <v>3196</v>
      </c>
      <c r="R2258" s="69">
        <f>20+89</f>
        <v>109</v>
      </c>
      <c r="S2258" s="69">
        <v>239.29</v>
      </c>
      <c r="T2258" s="10">
        <v>0</v>
      </c>
      <c r="U2258" s="10">
        <f t="shared" si="1229"/>
        <v>0</v>
      </c>
      <c r="V2258" s="7"/>
      <c r="W2258" s="1">
        <v>2015</v>
      </c>
      <c r="X2258" s="62" t="s">
        <v>7518</v>
      </c>
    </row>
    <row r="2259" spans="1:24" s="13" customFormat="1" ht="76.5" customHeight="1" outlineLevel="1" x14ac:dyDescent="0.2">
      <c r="A2259" s="1" t="s">
        <v>7744</v>
      </c>
      <c r="B2259" s="2" t="s">
        <v>5277</v>
      </c>
      <c r="C2259" s="6" t="s">
        <v>409</v>
      </c>
      <c r="D2259" s="6" t="s">
        <v>374</v>
      </c>
      <c r="E2259" s="6" t="s">
        <v>408</v>
      </c>
      <c r="F2259" s="2" t="s">
        <v>407</v>
      </c>
      <c r="G2259" s="3" t="s">
        <v>3190</v>
      </c>
      <c r="H2259" s="5">
        <v>0</v>
      </c>
      <c r="I2259" s="6">
        <v>710000000</v>
      </c>
      <c r="J2259" s="4" t="s">
        <v>1931</v>
      </c>
      <c r="K2259" s="4" t="s">
        <v>756</v>
      </c>
      <c r="L2259" s="3" t="s">
        <v>1165</v>
      </c>
      <c r="M2259" s="8" t="s">
        <v>3195</v>
      </c>
      <c r="N2259" s="3" t="s">
        <v>1890</v>
      </c>
      <c r="O2259" s="8" t="s">
        <v>1935</v>
      </c>
      <c r="P2259" s="8">
        <v>796</v>
      </c>
      <c r="Q2259" s="8" t="s">
        <v>3196</v>
      </c>
      <c r="R2259" s="69">
        <f>20+50</f>
        <v>70</v>
      </c>
      <c r="S2259" s="69">
        <v>239.29</v>
      </c>
      <c r="T2259" s="10">
        <f t="shared" ref="T2259" si="1241">S2259*R2259</f>
        <v>16750.3</v>
      </c>
      <c r="U2259" s="10">
        <f t="shared" ref="U2259" si="1242">T2259*1.12</f>
        <v>18760.335999999999</v>
      </c>
      <c r="V2259" s="7"/>
      <c r="W2259" s="1">
        <v>2015</v>
      </c>
      <c r="X2259" s="62"/>
    </row>
    <row r="2260" spans="1:24" s="13" customFormat="1" ht="76.5" customHeight="1" outlineLevel="1" x14ac:dyDescent="0.2">
      <c r="A2260" s="1" t="s">
        <v>3967</v>
      </c>
      <c r="B2260" s="38" t="s">
        <v>5277</v>
      </c>
      <c r="C2260" s="2" t="s">
        <v>406</v>
      </c>
      <c r="D2260" s="2" t="s">
        <v>1564</v>
      </c>
      <c r="E2260" s="2" t="s">
        <v>405</v>
      </c>
      <c r="F2260" s="39"/>
      <c r="G2260" s="50" t="s">
        <v>3190</v>
      </c>
      <c r="H2260" s="5">
        <v>0</v>
      </c>
      <c r="I2260" s="6">
        <v>710000000</v>
      </c>
      <c r="J2260" s="4" t="s">
        <v>1931</v>
      </c>
      <c r="K2260" s="4" t="s">
        <v>5297</v>
      </c>
      <c r="L2260" s="3" t="s">
        <v>1165</v>
      </c>
      <c r="M2260" s="8" t="s">
        <v>3195</v>
      </c>
      <c r="N2260" s="3" t="s">
        <v>1890</v>
      </c>
      <c r="O2260" s="8" t="s">
        <v>1935</v>
      </c>
      <c r="P2260" s="8">
        <v>796</v>
      </c>
      <c r="Q2260" s="8" t="s">
        <v>3196</v>
      </c>
      <c r="R2260" s="9">
        <v>1</v>
      </c>
      <c r="S2260" s="9">
        <v>4199.1099999999997</v>
      </c>
      <c r="T2260" s="10">
        <f t="shared" si="1236"/>
        <v>4199.1099999999997</v>
      </c>
      <c r="U2260" s="10">
        <f t="shared" si="1229"/>
        <v>4703.0032000000001</v>
      </c>
      <c r="V2260" s="7"/>
      <c r="W2260" s="11">
        <v>2015</v>
      </c>
      <c r="X2260" s="12"/>
    </row>
    <row r="2261" spans="1:24" s="13" customFormat="1" ht="76.5" customHeight="1" outlineLevel="1" x14ac:dyDescent="0.2">
      <c r="A2261" s="1" t="s">
        <v>3968</v>
      </c>
      <c r="B2261" s="38" t="s">
        <v>5277</v>
      </c>
      <c r="C2261" s="2" t="s">
        <v>404</v>
      </c>
      <c r="D2261" s="2" t="s">
        <v>403</v>
      </c>
      <c r="E2261" s="2" t="s">
        <v>402</v>
      </c>
      <c r="F2261" s="39" t="s">
        <v>401</v>
      </c>
      <c r="G2261" s="50" t="s">
        <v>3190</v>
      </c>
      <c r="H2261" s="5">
        <v>0</v>
      </c>
      <c r="I2261" s="6">
        <v>710000000</v>
      </c>
      <c r="J2261" s="4" t="s">
        <v>1931</v>
      </c>
      <c r="K2261" s="4" t="s">
        <v>5297</v>
      </c>
      <c r="L2261" s="3" t="s">
        <v>1165</v>
      </c>
      <c r="M2261" s="8" t="s">
        <v>3195</v>
      </c>
      <c r="N2261" s="3" t="s">
        <v>1890</v>
      </c>
      <c r="O2261" s="8" t="s">
        <v>1935</v>
      </c>
      <c r="P2261" s="8">
        <v>796</v>
      </c>
      <c r="Q2261" s="8" t="s">
        <v>3196</v>
      </c>
      <c r="R2261" s="9">
        <v>2</v>
      </c>
      <c r="S2261" s="9">
        <v>4299.1099999999997</v>
      </c>
      <c r="T2261" s="10">
        <f t="shared" si="1236"/>
        <v>8598.2199999999993</v>
      </c>
      <c r="U2261" s="10">
        <f t="shared" si="1229"/>
        <v>9630.0064000000002</v>
      </c>
      <c r="V2261" s="7"/>
      <c r="W2261" s="11">
        <v>2015</v>
      </c>
      <c r="X2261" s="12"/>
    </row>
    <row r="2262" spans="1:24" s="13" customFormat="1" ht="76.5" customHeight="1" outlineLevel="1" x14ac:dyDescent="0.2">
      <c r="A2262" s="1" t="s">
        <v>3969</v>
      </c>
      <c r="B2262" s="2" t="s">
        <v>5277</v>
      </c>
      <c r="C2262" s="6" t="s">
        <v>400</v>
      </c>
      <c r="D2262" s="6" t="s">
        <v>399</v>
      </c>
      <c r="E2262" s="6" t="s">
        <v>398</v>
      </c>
      <c r="F2262" s="2"/>
      <c r="G2262" s="3" t="s">
        <v>3190</v>
      </c>
      <c r="H2262" s="5">
        <v>0</v>
      </c>
      <c r="I2262" s="6">
        <v>710000000</v>
      </c>
      <c r="J2262" s="4" t="s">
        <v>1931</v>
      </c>
      <c r="K2262" s="4" t="s">
        <v>5297</v>
      </c>
      <c r="L2262" s="3" t="s">
        <v>1165</v>
      </c>
      <c r="M2262" s="8" t="s">
        <v>3195</v>
      </c>
      <c r="N2262" s="3" t="s">
        <v>1890</v>
      </c>
      <c r="O2262" s="8" t="s">
        <v>1935</v>
      </c>
      <c r="P2262" s="8">
        <v>796</v>
      </c>
      <c r="Q2262" s="8" t="s">
        <v>3196</v>
      </c>
      <c r="R2262" s="69">
        <v>1</v>
      </c>
      <c r="S2262" s="69">
        <v>2479</v>
      </c>
      <c r="T2262" s="10">
        <v>0</v>
      </c>
      <c r="U2262" s="10">
        <f t="shared" si="1229"/>
        <v>0</v>
      </c>
      <c r="V2262" s="7"/>
      <c r="W2262" s="1">
        <v>2015</v>
      </c>
      <c r="X2262" s="62">
        <v>11</v>
      </c>
    </row>
    <row r="2263" spans="1:24" s="13" customFormat="1" ht="76.5" customHeight="1" outlineLevel="1" x14ac:dyDescent="0.2">
      <c r="A2263" s="1" t="s">
        <v>7745</v>
      </c>
      <c r="B2263" s="2" t="s">
        <v>5277</v>
      </c>
      <c r="C2263" s="6" t="s">
        <v>400</v>
      </c>
      <c r="D2263" s="6" t="s">
        <v>399</v>
      </c>
      <c r="E2263" s="6" t="s">
        <v>398</v>
      </c>
      <c r="F2263" s="2"/>
      <c r="G2263" s="3" t="s">
        <v>3190</v>
      </c>
      <c r="H2263" s="5">
        <v>0</v>
      </c>
      <c r="I2263" s="6">
        <v>710000000</v>
      </c>
      <c r="J2263" s="4" t="s">
        <v>1931</v>
      </c>
      <c r="K2263" s="4" t="s">
        <v>756</v>
      </c>
      <c r="L2263" s="3" t="s">
        <v>1165</v>
      </c>
      <c r="M2263" s="8" t="s">
        <v>3195</v>
      </c>
      <c r="N2263" s="3" t="s">
        <v>1890</v>
      </c>
      <c r="O2263" s="8" t="s">
        <v>1935</v>
      </c>
      <c r="P2263" s="8">
        <v>796</v>
      </c>
      <c r="Q2263" s="8" t="s">
        <v>3196</v>
      </c>
      <c r="R2263" s="69">
        <v>1</v>
      </c>
      <c r="S2263" s="69">
        <v>2479</v>
      </c>
      <c r="T2263" s="10">
        <f t="shared" ref="T2263" si="1243">S2263*R2263</f>
        <v>2479</v>
      </c>
      <c r="U2263" s="10">
        <f t="shared" ref="U2263" si="1244">T2263*1.12</f>
        <v>2776.4800000000005</v>
      </c>
      <c r="V2263" s="7"/>
      <c r="W2263" s="1">
        <v>2015</v>
      </c>
      <c r="X2263" s="62"/>
    </row>
    <row r="2264" spans="1:24" s="13" customFormat="1" ht="76.5" customHeight="1" outlineLevel="1" x14ac:dyDescent="0.2">
      <c r="A2264" s="1" t="s">
        <v>3970</v>
      </c>
      <c r="B2264" s="2" t="s">
        <v>5277</v>
      </c>
      <c r="C2264" s="2" t="s">
        <v>397</v>
      </c>
      <c r="D2264" s="2" t="s">
        <v>6071</v>
      </c>
      <c r="E2264" s="2" t="s">
        <v>5343</v>
      </c>
      <c r="F2264" s="2" t="s">
        <v>5556</v>
      </c>
      <c r="G2264" s="3" t="s">
        <v>3190</v>
      </c>
      <c r="H2264" s="5">
        <v>0</v>
      </c>
      <c r="I2264" s="6">
        <v>710000000</v>
      </c>
      <c r="J2264" s="4" t="s">
        <v>1931</v>
      </c>
      <c r="K2264" s="4" t="s">
        <v>5297</v>
      </c>
      <c r="L2264" s="3" t="s">
        <v>1165</v>
      </c>
      <c r="M2264" s="8" t="s">
        <v>3195</v>
      </c>
      <c r="N2264" s="3" t="s">
        <v>1890</v>
      </c>
      <c r="O2264" s="8" t="s">
        <v>1935</v>
      </c>
      <c r="P2264" s="62">
        <v>704</v>
      </c>
      <c r="Q2264" s="3" t="s">
        <v>5196</v>
      </c>
      <c r="R2264" s="69">
        <v>5</v>
      </c>
      <c r="S2264" s="69">
        <v>832</v>
      </c>
      <c r="T2264" s="10">
        <v>0</v>
      </c>
      <c r="U2264" s="10">
        <f t="shared" si="1229"/>
        <v>0</v>
      </c>
      <c r="V2264" s="7"/>
      <c r="W2264" s="1">
        <v>2015</v>
      </c>
      <c r="X2264" s="62">
        <v>11</v>
      </c>
    </row>
    <row r="2265" spans="1:24" s="13" customFormat="1" ht="76.5" customHeight="1" outlineLevel="1" x14ac:dyDescent="0.2">
      <c r="A2265" s="1" t="s">
        <v>7746</v>
      </c>
      <c r="B2265" s="2" t="s">
        <v>5277</v>
      </c>
      <c r="C2265" s="2" t="s">
        <v>397</v>
      </c>
      <c r="D2265" s="2" t="s">
        <v>6071</v>
      </c>
      <c r="E2265" s="2" t="s">
        <v>5343</v>
      </c>
      <c r="F2265" s="2" t="s">
        <v>5556</v>
      </c>
      <c r="G2265" s="3" t="s">
        <v>3190</v>
      </c>
      <c r="H2265" s="5">
        <v>0</v>
      </c>
      <c r="I2265" s="6">
        <v>710000000</v>
      </c>
      <c r="J2265" s="4" t="s">
        <v>1931</v>
      </c>
      <c r="K2265" s="4" t="s">
        <v>756</v>
      </c>
      <c r="L2265" s="3" t="s">
        <v>1165</v>
      </c>
      <c r="M2265" s="8" t="s">
        <v>3195</v>
      </c>
      <c r="N2265" s="3" t="s">
        <v>1890</v>
      </c>
      <c r="O2265" s="8" t="s">
        <v>1935</v>
      </c>
      <c r="P2265" s="62">
        <v>704</v>
      </c>
      <c r="Q2265" s="3" t="s">
        <v>5196</v>
      </c>
      <c r="R2265" s="69">
        <v>5</v>
      </c>
      <c r="S2265" s="69">
        <v>832</v>
      </c>
      <c r="T2265" s="10">
        <f t="shared" ref="T2265" si="1245">S2265*R2265</f>
        <v>4160</v>
      </c>
      <c r="U2265" s="10">
        <f t="shared" ref="U2265" si="1246">T2265*1.12</f>
        <v>4659.2000000000007</v>
      </c>
      <c r="V2265" s="7"/>
      <c r="W2265" s="1">
        <v>2015</v>
      </c>
      <c r="X2265" s="62"/>
    </row>
    <row r="2266" spans="1:24" s="13" customFormat="1" ht="76.5" customHeight="1" outlineLevel="1" x14ac:dyDescent="0.2">
      <c r="A2266" s="1" t="s">
        <v>3971</v>
      </c>
      <c r="B2266" s="2" t="s">
        <v>5277</v>
      </c>
      <c r="C2266" s="2" t="s">
        <v>397</v>
      </c>
      <c r="D2266" s="2" t="s">
        <v>6071</v>
      </c>
      <c r="E2266" s="2" t="s">
        <v>5343</v>
      </c>
      <c r="F2266" s="2" t="s">
        <v>5553</v>
      </c>
      <c r="G2266" s="3" t="s">
        <v>3190</v>
      </c>
      <c r="H2266" s="5">
        <v>0</v>
      </c>
      <c r="I2266" s="6">
        <v>710000000</v>
      </c>
      <c r="J2266" s="4" t="s">
        <v>1931</v>
      </c>
      <c r="K2266" s="4" t="s">
        <v>5297</v>
      </c>
      <c r="L2266" s="3" t="s">
        <v>1165</v>
      </c>
      <c r="M2266" s="8" t="s">
        <v>3195</v>
      </c>
      <c r="N2266" s="3" t="s">
        <v>1890</v>
      </c>
      <c r="O2266" s="8" t="s">
        <v>1935</v>
      </c>
      <c r="P2266" s="62">
        <v>704</v>
      </c>
      <c r="Q2266" s="3" t="s">
        <v>5196</v>
      </c>
      <c r="R2266" s="69">
        <v>5</v>
      </c>
      <c r="S2266" s="69">
        <v>832</v>
      </c>
      <c r="T2266" s="10">
        <v>0</v>
      </c>
      <c r="U2266" s="10">
        <f t="shared" si="1229"/>
        <v>0</v>
      </c>
      <c r="V2266" s="7"/>
      <c r="W2266" s="1">
        <v>2015</v>
      </c>
      <c r="X2266" s="62">
        <v>11</v>
      </c>
    </row>
    <row r="2267" spans="1:24" s="13" customFormat="1" ht="76.5" customHeight="1" outlineLevel="1" x14ac:dyDescent="0.2">
      <c r="A2267" s="1" t="s">
        <v>7747</v>
      </c>
      <c r="B2267" s="2" t="s">
        <v>5277</v>
      </c>
      <c r="C2267" s="2" t="s">
        <v>397</v>
      </c>
      <c r="D2267" s="2" t="s">
        <v>6071</v>
      </c>
      <c r="E2267" s="2" t="s">
        <v>5343</v>
      </c>
      <c r="F2267" s="2" t="s">
        <v>5553</v>
      </c>
      <c r="G2267" s="3" t="s">
        <v>3190</v>
      </c>
      <c r="H2267" s="5">
        <v>0</v>
      </c>
      <c r="I2267" s="6">
        <v>710000000</v>
      </c>
      <c r="J2267" s="4" t="s">
        <v>1931</v>
      </c>
      <c r="K2267" s="4" t="s">
        <v>756</v>
      </c>
      <c r="L2267" s="3" t="s">
        <v>1165</v>
      </c>
      <c r="M2267" s="8" t="s">
        <v>3195</v>
      </c>
      <c r="N2267" s="3" t="s">
        <v>1890</v>
      </c>
      <c r="O2267" s="8" t="s">
        <v>1935</v>
      </c>
      <c r="P2267" s="62">
        <v>704</v>
      </c>
      <c r="Q2267" s="3" t="s">
        <v>5196</v>
      </c>
      <c r="R2267" s="69">
        <v>5</v>
      </c>
      <c r="S2267" s="69">
        <v>832</v>
      </c>
      <c r="T2267" s="10">
        <f t="shared" ref="T2267" si="1247">S2267*R2267</f>
        <v>4160</v>
      </c>
      <c r="U2267" s="10">
        <f t="shared" ref="U2267" si="1248">T2267*1.12</f>
        <v>4659.2000000000007</v>
      </c>
      <c r="V2267" s="7"/>
      <c r="W2267" s="1">
        <v>2015</v>
      </c>
      <c r="X2267" s="62"/>
    </row>
    <row r="2268" spans="1:24" s="13" customFormat="1" ht="76.5" customHeight="1" outlineLevel="1" x14ac:dyDescent="0.2">
      <c r="A2268" s="1" t="s">
        <v>3972</v>
      </c>
      <c r="B2268" s="2" t="s">
        <v>5277</v>
      </c>
      <c r="C2268" s="2" t="s">
        <v>907</v>
      </c>
      <c r="D2268" s="2" t="s">
        <v>908</v>
      </c>
      <c r="E2268" s="2" t="s">
        <v>909</v>
      </c>
      <c r="F2268" s="2"/>
      <c r="G2268" s="3" t="s">
        <v>3190</v>
      </c>
      <c r="H2268" s="5">
        <v>0</v>
      </c>
      <c r="I2268" s="6">
        <v>710000000</v>
      </c>
      <c r="J2268" s="4" t="s">
        <v>1931</v>
      </c>
      <c r="K2268" s="4" t="s">
        <v>5297</v>
      </c>
      <c r="L2268" s="3" t="s">
        <v>1165</v>
      </c>
      <c r="M2268" s="8" t="s">
        <v>3195</v>
      </c>
      <c r="N2268" s="3" t="s">
        <v>1890</v>
      </c>
      <c r="O2268" s="8" t="s">
        <v>1935</v>
      </c>
      <c r="P2268" s="8">
        <v>796</v>
      </c>
      <c r="Q2268" s="8" t="s">
        <v>3196</v>
      </c>
      <c r="R2268" s="69">
        <v>3</v>
      </c>
      <c r="S2268" s="69">
        <v>748</v>
      </c>
      <c r="T2268" s="10">
        <v>0</v>
      </c>
      <c r="U2268" s="10">
        <f t="shared" si="1229"/>
        <v>0</v>
      </c>
      <c r="V2268" s="7"/>
      <c r="W2268" s="1">
        <v>2015</v>
      </c>
      <c r="X2268" s="62">
        <v>11</v>
      </c>
    </row>
    <row r="2269" spans="1:24" s="13" customFormat="1" ht="76.5" customHeight="1" outlineLevel="1" x14ac:dyDescent="0.2">
      <c r="A2269" s="1" t="s">
        <v>7749</v>
      </c>
      <c r="B2269" s="2" t="s">
        <v>5277</v>
      </c>
      <c r="C2269" s="2" t="s">
        <v>907</v>
      </c>
      <c r="D2269" s="2" t="s">
        <v>908</v>
      </c>
      <c r="E2269" s="2" t="s">
        <v>909</v>
      </c>
      <c r="F2269" s="2"/>
      <c r="G2269" s="3" t="s">
        <v>3190</v>
      </c>
      <c r="H2269" s="5">
        <v>0</v>
      </c>
      <c r="I2269" s="6">
        <v>710000000</v>
      </c>
      <c r="J2269" s="4" t="s">
        <v>1931</v>
      </c>
      <c r="K2269" s="4" t="s">
        <v>756</v>
      </c>
      <c r="L2269" s="3" t="s">
        <v>1165</v>
      </c>
      <c r="M2269" s="8" t="s">
        <v>3195</v>
      </c>
      <c r="N2269" s="3" t="s">
        <v>1890</v>
      </c>
      <c r="O2269" s="8" t="s">
        <v>1935</v>
      </c>
      <c r="P2269" s="8">
        <v>796</v>
      </c>
      <c r="Q2269" s="8" t="s">
        <v>3196</v>
      </c>
      <c r="R2269" s="69">
        <v>3</v>
      </c>
      <c r="S2269" s="69">
        <v>748</v>
      </c>
      <c r="T2269" s="10">
        <f t="shared" ref="T2269" si="1249">S2269*R2269</f>
        <v>2244</v>
      </c>
      <c r="U2269" s="10">
        <f t="shared" ref="U2269" si="1250">T2269*1.12</f>
        <v>2513.2800000000002</v>
      </c>
      <c r="V2269" s="7"/>
      <c r="W2269" s="1">
        <v>2015</v>
      </c>
      <c r="X2269" s="62"/>
    </row>
    <row r="2270" spans="1:24" s="13" customFormat="1" ht="76.5" customHeight="1" outlineLevel="1" x14ac:dyDescent="0.2">
      <c r="A2270" s="1" t="s">
        <v>3973</v>
      </c>
      <c r="B2270" s="38" t="s">
        <v>5277</v>
      </c>
      <c r="C2270" s="2" t="s">
        <v>3415</v>
      </c>
      <c r="D2270" s="2" t="s">
        <v>3414</v>
      </c>
      <c r="E2270" s="2" t="s">
        <v>6056</v>
      </c>
      <c r="F2270" s="39"/>
      <c r="G2270" s="50" t="s">
        <v>3190</v>
      </c>
      <c r="H2270" s="5">
        <v>0</v>
      </c>
      <c r="I2270" s="6">
        <v>710000000</v>
      </c>
      <c r="J2270" s="4" t="s">
        <v>1931</v>
      </c>
      <c r="K2270" s="4" t="s">
        <v>5297</v>
      </c>
      <c r="L2270" s="3" t="s">
        <v>1165</v>
      </c>
      <c r="M2270" s="8" t="s">
        <v>3195</v>
      </c>
      <c r="N2270" s="3" t="s">
        <v>1890</v>
      </c>
      <c r="O2270" s="8" t="s">
        <v>1935</v>
      </c>
      <c r="P2270" s="8">
        <v>796</v>
      </c>
      <c r="Q2270" s="8" t="s">
        <v>3196</v>
      </c>
      <c r="R2270" s="9">
        <v>24</v>
      </c>
      <c r="S2270" s="9">
        <v>717</v>
      </c>
      <c r="T2270" s="10">
        <v>0</v>
      </c>
      <c r="U2270" s="10">
        <f t="shared" si="1229"/>
        <v>0</v>
      </c>
      <c r="V2270" s="7"/>
      <c r="W2270" s="11">
        <v>2015</v>
      </c>
      <c r="X2270" s="12" t="s">
        <v>6562</v>
      </c>
    </row>
    <row r="2271" spans="1:24" s="13" customFormat="1" ht="76.5" customHeight="1" outlineLevel="1" x14ac:dyDescent="0.2">
      <c r="A2271" s="1" t="s">
        <v>6660</v>
      </c>
      <c r="B2271" s="2" t="s">
        <v>5277</v>
      </c>
      <c r="C2271" s="2" t="s">
        <v>3415</v>
      </c>
      <c r="D2271" s="2" t="s">
        <v>3414</v>
      </c>
      <c r="E2271" s="2" t="s">
        <v>6056</v>
      </c>
      <c r="F2271" s="2"/>
      <c r="G2271" s="3" t="s">
        <v>3190</v>
      </c>
      <c r="H2271" s="5">
        <v>0</v>
      </c>
      <c r="I2271" s="6">
        <v>710000000</v>
      </c>
      <c r="J2271" s="4" t="s">
        <v>1931</v>
      </c>
      <c r="K2271" s="4" t="s">
        <v>5297</v>
      </c>
      <c r="L2271" s="3" t="s">
        <v>1165</v>
      </c>
      <c r="M2271" s="8" t="s">
        <v>3195</v>
      </c>
      <c r="N2271" s="3" t="s">
        <v>1890</v>
      </c>
      <c r="O2271" s="8" t="s">
        <v>1935</v>
      </c>
      <c r="P2271" s="8">
        <v>796</v>
      </c>
      <c r="Q2271" s="8" t="s">
        <v>3196</v>
      </c>
      <c r="R2271" s="69">
        <v>20</v>
      </c>
      <c r="S2271" s="69">
        <v>717</v>
      </c>
      <c r="T2271" s="10">
        <f t="shared" ref="T2271" si="1251">S2271*R2271</f>
        <v>14340</v>
      </c>
      <c r="U2271" s="10">
        <f t="shared" si="1229"/>
        <v>16060.800000000001</v>
      </c>
      <c r="V2271" s="7"/>
      <c r="W2271" s="1">
        <v>2015</v>
      </c>
      <c r="X2271" s="62" t="s">
        <v>7518</v>
      </c>
    </row>
    <row r="2272" spans="1:24" s="13" customFormat="1" ht="76.5" customHeight="1" outlineLevel="1" x14ac:dyDescent="0.2">
      <c r="A2272" s="1" t="s">
        <v>7748</v>
      </c>
      <c r="B2272" s="2" t="s">
        <v>5277</v>
      </c>
      <c r="C2272" s="2" t="s">
        <v>3415</v>
      </c>
      <c r="D2272" s="2" t="s">
        <v>3414</v>
      </c>
      <c r="E2272" s="2" t="s">
        <v>6056</v>
      </c>
      <c r="F2272" s="2"/>
      <c r="G2272" s="3" t="s">
        <v>3190</v>
      </c>
      <c r="H2272" s="5">
        <v>0</v>
      </c>
      <c r="I2272" s="6">
        <v>710000000</v>
      </c>
      <c r="J2272" s="4" t="s">
        <v>1931</v>
      </c>
      <c r="K2272" s="4" t="s">
        <v>756</v>
      </c>
      <c r="L2272" s="3" t="s">
        <v>1165</v>
      </c>
      <c r="M2272" s="8" t="s">
        <v>3195</v>
      </c>
      <c r="N2272" s="3" t="s">
        <v>1890</v>
      </c>
      <c r="O2272" s="8" t="s">
        <v>1935</v>
      </c>
      <c r="P2272" s="8">
        <v>796</v>
      </c>
      <c r="Q2272" s="8" t="s">
        <v>3196</v>
      </c>
      <c r="R2272" s="69">
        <v>15</v>
      </c>
      <c r="S2272" s="69">
        <v>717</v>
      </c>
      <c r="T2272" s="10">
        <f t="shared" ref="T2272" si="1252">S2272*R2272</f>
        <v>10755</v>
      </c>
      <c r="U2272" s="10">
        <f t="shared" ref="U2272" si="1253">T2272*1.12</f>
        <v>12045.6</v>
      </c>
      <c r="V2272" s="7"/>
      <c r="W2272" s="1">
        <v>2015</v>
      </c>
      <c r="X2272" s="62"/>
    </row>
    <row r="2273" spans="1:24" s="13" customFormat="1" ht="76.5" customHeight="1" outlineLevel="1" x14ac:dyDescent="0.2">
      <c r="A2273" s="1" t="s">
        <v>3974</v>
      </c>
      <c r="B2273" s="2" t="s">
        <v>5277</v>
      </c>
      <c r="C2273" s="2" t="s">
        <v>3412</v>
      </c>
      <c r="D2273" s="2" t="s">
        <v>6057</v>
      </c>
      <c r="E2273" s="6" t="s">
        <v>6058</v>
      </c>
      <c r="F2273" s="2"/>
      <c r="G2273" s="3" t="s">
        <v>3190</v>
      </c>
      <c r="H2273" s="5">
        <v>0</v>
      </c>
      <c r="I2273" s="6">
        <v>710000000</v>
      </c>
      <c r="J2273" s="4" t="s">
        <v>1931</v>
      </c>
      <c r="K2273" s="4" t="s">
        <v>5297</v>
      </c>
      <c r="L2273" s="3" t="s">
        <v>1165</v>
      </c>
      <c r="M2273" s="8" t="s">
        <v>3195</v>
      </c>
      <c r="N2273" s="3" t="s">
        <v>1890</v>
      </c>
      <c r="O2273" s="8" t="s">
        <v>1935</v>
      </c>
      <c r="P2273" s="8">
        <v>796</v>
      </c>
      <c r="Q2273" s="8" t="s">
        <v>3196</v>
      </c>
      <c r="R2273" s="69">
        <v>3</v>
      </c>
      <c r="S2273" s="69">
        <v>446</v>
      </c>
      <c r="T2273" s="10">
        <v>0</v>
      </c>
      <c r="U2273" s="10">
        <f t="shared" si="1229"/>
        <v>0</v>
      </c>
      <c r="V2273" s="7"/>
      <c r="W2273" s="1">
        <v>2015</v>
      </c>
      <c r="X2273" s="62">
        <v>11</v>
      </c>
    </row>
    <row r="2274" spans="1:24" s="13" customFormat="1" ht="76.5" customHeight="1" outlineLevel="1" x14ac:dyDescent="0.2">
      <c r="A2274" s="1" t="s">
        <v>7750</v>
      </c>
      <c r="B2274" s="2" t="s">
        <v>5277</v>
      </c>
      <c r="C2274" s="2" t="s">
        <v>3412</v>
      </c>
      <c r="D2274" s="2" t="s">
        <v>6057</v>
      </c>
      <c r="E2274" s="6" t="s">
        <v>6058</v>
      </c>
      <c r="F2274" s="2"/>
      <c r="G2274" s="3" t="s">
        <v>3190</v>
      </c>
      <c r="H2274" s="5">
        <v>0</v>
      </c>
      <c r="I2274" s="6">
        <v>710000000</v>
      </c>
      <c r="J2274" s="4" t="s">
        <v>1931</v>
      </c>
      <c r="K2274" s="4" t="s">
        <v>756</v>
      </c>
      <c r="L2274" s="3" t="s">
        <v>1165</v>
      </c>
      <c r="M2274" s="8" t="s">
        <v>3195</v>
      </c>
      <c r="N2274" s="3" t="s">
        <v>1890</v>
      </c>
      <c r="O2274" s="8" t="s">
        <v>1935</v>
      </c>
      <c r="P2274" s="8">
        <v>796</v>
      </c>
      <c r="Q2274" s="8" t="s">
        <v>3196</v>
      </c>
      <c r="R2274" s="69">
        <v>3</v>
      </c>
      <c r="S2274" s="69">
        <v>446</v>
      </c>
      <c r="T2274" s="10">
        <f t="shared" ref="T2274" si="1254">S2274*R2274</f>
        <v>1338</v>
      </c>
      <c r="U2274" s="10">
        <f t="shared" ref="U2274" si="1255">T2274*1.12</f>
        <v>1498.5600000000002</v>
      </c>
      <c r="V2274" s="7"/>
      <c r="W2274" s="1">
        <v>2015</v>
      </c>
      <c r="X2274" s="62"/>
    </row>
    <row r="2275" spans="1:24" s="13" customFormat="1" ht="76.5" customHeight="1" outlineLevel="1" x14ac:dyDescent="0.2">
      <c r="A2275" s="1" t="s">
        <v>3975</v>
      </c>
      <c r="B2275" s="2" t="s">
        <v>5277</v>
      </c>
      <c r="C2275" s="2" t="s">
        <v>3410</v>
      </c>
      <c r="D2275" s="2" t="s">
        <v>6060</v>
      </c>
      <c r="E2275" s="2" t="s">
        <v>396</v>
      </c>
      <c r="F2275" s="2"/>
      <c r="G2275" s="3" t="s">
        <v>3190</v>
      </c>
      <c r="H2275" s="5">
        <v>0</v>
      </c>
      <c r="I2275" s="6">
        <v>710000000</v>
      </c>
      <c r="J2275" s="4" t="s">
        <v>1931</v>
      </c>
      <c r="K2275" s="4" t="s">
        <v>5297</v>
      </c>
      <c r="L2275" s="3" t="s">
        <v>1165</v>
      </c>
      <c r="M2275" s="8" t="s">
        <v>3195</v>
      </c>
      <c r="N2275" s="3" t="s">
        <v>1890</v>
      </c>
      <c r="O2275" s="8" t="s">
        <v>1935</v>
      </c>
      <c r="P2275" s="8">
        <v>796</v>
      </c>
      <c r="Q2275" s="8" t="s">
        <v>3196</v>
      </c>
      <c r="R2275" s="69">
        <v>12</v>
      </c>
      <c r="S2275" s="69">
        <v>2001</v>
      </c>
      <c r="T2275" s="10">
        <v>0</v>
      </c>
      <c r="U2275" s="10">
        <f t="shared" si="1229"/>
        <v>0</v>
      </c>
      <c r="V2275" s="7"/>
      <c r="W2275" s="1">
        <v>2015</v>
      </c>
      <c r="X2275" s="62" t="s">
        <v>7518</v>
      </c>
    </row>
    <row r="2276" spans="1:24" s="13" customFormat="1" ht="76.5" customHeight="1" outlineLevel="1" x14ac:dyDescent="0.2">
      <c r="A2276" s="1" t="s">
        <v>7751</v>
      </c>
      <c r="B2276" s="2" t="s">
        <v>5277</v>
      </c>
      <c r="C2276" s="2" t="s">
        <v>3410</v>
      </c>
      <c r="D2276" s="2" t="s">
        <v>6060</v>
      </c>
      <c r="E2276" s="2" t="s">
        <v>396</v>
      </c>
      <c r="F2276" s="2"/>
      <c r="G2276" s="3" t="s">
        <v>3190</v>
      </c>
      <c r="H2276" s="5">
        <v>0</v>
      </c>
      <c r="I2276" s="6">
        <v>710000000</v>
      </c>
      <c r="J2276" s="4" t="s">
        <v>1931</v>
      </c>
      <c r="K2276" s="4" t="s">
        <v>756</v>
      </c>
      <c r="L2276" s="3" t="s">
        <v>1165</v>
      </c>
      <c r="M2276" s="8" t="s">
        <v>3195</v>
      </c>
      <c r="N2276" s="3" t="s">
        <v>1890</v>
      </c>
      <c r="O2276" s="8" t="s">
        <v>1935</v>
      </c>
      <c r="P2276" s="8">
        <v>796</v>
      </c>
      <c r="Q2276" s="8" t="s">
        <v>3196</v>
      </c>
      <c r="R2276" s="69">
        <v>8</v>
      </c>
      <c r="S2276" s="69">
        <v>2001</v>
      </c>
      <c r="T2276" s="10">
        <f t="shared" ref="T2276" si="1256">S2276*R2276</f>
        <v>16008</v>
      </c>
      <c r="U2276" s="10">
        <f t="shared" ref="U2276" si="1257">T2276*1.12</f>
        <v>17928.960000000003</v>
      </c>
      <c r="V2276" s="7"/>
      <c r="W2276" s="1">
        <v>2015</v>
      </c>
      <c r="X2276" s="62"/>
    </row>
    <row r="2277" spans="1:24" s="13" customFormat="1" ht="76.5" customHeight="1" outlineLevel="1" x14ac:dyDescent="0.2">
      <c r="A2277" s="1" t="s">
        <v>3976</v>
      </c>
      <c r="B2277" s="2" t="s">
        <v>5277</v>
      </c>
      <c r="C2277" s="2" t="s">
        <v>3409</v>
      </c>
      <c r="D2277" s="2" t="s">
        <v>6061</v>
      </c>
      <c r="E2277" s="6" t="s">
        <v>6062</v>
      </c>
      <c r="F2277" s="2"/>
      <c r="G2277" s="3" t="s">
        <v>3190</v>
      </c>
      <c r="H2277" s="5">
        <v>0</v>
      </c>
      <c r="I2277" s="6">
        <v>710000000</v>
      </c>
      <c r="J2277" s="4" t="s">
        <v>1931</v>
      </c>
      <c r="K2277" s="4" t="s">
        <v>5297</v>
      </c>
      <c r="L2277" s="3" t="s">
        <v>1165</v>
      </c>
      <c r="M2277" s="8" t="s">
        <v>3195</v>
      </c>
      <c r="N2277" s="3" t="s">
        <v>1890</v>
      </c>
      <c r="O2277" s="8" t="s">
        <v>1935</v>
      </c>
      <c r="P2277" s="8">
        <v>796</v>
      </c>
      <c r="Q2277" s="8" t="s">
        <v>3196</v>
      </c>
      <c r="R2277" s="69">
        <v>6</v>
      </c>
      <c r="S2277" s="69">
        <v>2844</v>
      </c>
      <c r="T2277" s="10">
        <v>0</v>
      </c>
      <c r="U2277" s="10">
        <f t="shared" si="1229"/>
        <v>0</v>
      </c>
      <c r="V2277" s="7"/>
      <c r="W2277" s="1">
        <v>2015</v>
      </c>
      <c r="X2277" s="62">
        <v>11</v>
      </c>
    </row>
    <row r="2278" spans="1:24" s="13" customFormat="1" ht="76.5" customHeight="1" outlineLevel="1" x14ac:dyDescent="0.2">
      <c r="A2278" s="1" t="s">
        <v>7752</v>
      </c>
      <c r="B2278" s="2" t="s">
        <v>5277</v>
      </c>
      <c r="C2278" s="2" t="s">
        <v>3409</v>
      </c>
      <c r="D2278" s="2" t="s">
        <v>6061</v>
      </c>
      <c r="E2278" s="6" t="s">
        <v>6062</v>
      </c>
      <c r="F2278" s="2"/>
      <c r="G2278" s="3" t="s">
        <v>3190</v>
      </c>
      <c r="H2278" s="5">
        <v>0</v>
      </c>
      <c r="I2278" s="6">
        <v>710000000</v>
      </c>
      <c r="J2278" s="4" t="s">
        <v>1931</v>
      </c>
      <c r="K2278" s="4" t="s">
        <v>756</v>
      </c>
      <c r="L2278" s="3" t="s">
        <v>1165</v>
      </c>
      <c r="M2278" s="8" t="s">
        <v>3195</v>
      </c>
      <c r="N2278" s="3" t="s">
        <v>1890</v>
      </c>
      <c r="O2278" s="8" t="s">
        <v>1935</v>
      </c>
      <c r="P2278" s="8">
        <v>796</v>
      </c>
      <c r="Q2278" s="8" t="s">
        <v>3196</v>
      </c>
      <c r="R2278" s="69">
        <v>6</v>
      </c>
      <c r="S2278" s="69">
        <v>2844</v>
      </c>
      <c r="T2278" s="10">
        <f t="shared" ref="T2278" si="1258">S2278*R2278</f>
        <v>17064</v>
      </c>
      <c r="U2278" s="10">
        <f t="shared" ref="U2278" si="1259">T2278*1.12</f>
        <v>19111.68</v>
      </c>
      <c r="V2278" s="7"/>
      <c r="W2278" s="1">
        <v>2015</v>
      </c>
      <c r="X2278" s="62"/>
    </row>
    <row r="2279" spans="1:24" s="13" customFormat="1" ht="76.5" customHeight="1" outlineLevel="1" x14ac:dyDescent="0.2">
      <c r="A2279" s="1" t="s">
        <v>3977</v>
      </c>
      <c r="B2279" s="38" t="s">
        <v>5277</v>
      </c>
      <c r="C2279" s="2" t="s">
        <v>3406</v>
      </c>
      <c r="D2279" s="2" t="s">
        <v>6065</v>
      </c>
      <c r="E2279" s="6" t="s">
        <v>6066</v>
      </c>
      <c r="F2279" s="39"/>
      <c r="G2279" s="50" t="s">
        <v>3190</v>
      </c>
      <c r="H2279" s="5">
        <v>0</v>
      </c>
      <c r="I2279" s="6">
        <v>710000000</v>
      </c>
      <c r="J2279" s="4" t="s">
        <v>1931</v>
      </c>
      <c r="K2279" s="4" t="s">
        <v>5297</v>
      </c>
      <c r="L2279" s="3" t="s">
        <v>1165</v>
      </c>
      <c r="M2279" s="8" t="s">
        <v>3195</v>
      </c>
      <c r="N2279" s="3" t="s">
        <v>1890</v>
      </c>
      <c r="O2279" s="8" t="s">
        <v>1935</v>
      </c>
      <c r="P2279" s="60">
        <v>704</v>
      </c>
      <c r="Q2279" s="3" t="s">
        <v>5196</v>
      </c>
      <c r="R2279" s="9">
        <v>1</v>
      </c>
      <c r="S2279" s="9">
        <v>8108</v>
      </c>
      <c r="T2279" s="10">
        <f t="shared" si="1236"/>
        <v>8108</v>
      </c>
      <c r="U2279" s="10">
        <f t="shared" si="1229"/>
        <v>9080.9600000000009</v>
      </c>
      <c r="V2279" s="7"/>
      <c r="W2279" s="11">
        <v>2015</v>
      </c>
      <c r="X2279" s="12"/>
    </row>
    <row r="2280" spans="1:24" s="13" customFormat="1" ht="76.5" customHeight="1" outlineLevel="1" x14ac:dyDescent="0.2">
      <c r="A2280" s="1" t="s">
        <v>3978</v>
      </c>
      <c r="B2280" s="2" t="s">
        <v>5277</v>
      </c>
      <c r="C2280" s="2" t="s">
        <v>3405</v>
      </c>
      <c r="D2280" s="2" t="s">
        <v>5196</v>
      </c>
      <c r="E2280" s="6" t="s">
        <v>6067</v>
      </c>
      <c r="F2280" s="2"/>
      <c r="G2280" s="3" t="s">
        <v>3190</v>
      </c>
      <c r="H2280" s="5">
        <v>0</v>
      </c>
      <c r="I2280" s="6">
        <v>710000000</v>
      </c>
      <c r="J2280" s="4" t="s">
        <v>1931</v>
      </c>
      <c r="K2280" s="4" t="s">
        <v>5297</v>
      </c>
      <c r="L2280" s="3" t="s">
        <v>1165</v>
      </c>
      <c r="M2280" s="8" t="s">
        <v>3195</v>
      </c>
      <c r="N2280" s="3" t="s">
        <v>1890</v>
      </c>
      <c r="O2280" s="8" t="s">
        <v>1935</v>
      </c>
      <c r="P2280" s="60">
        <v>704</v>
      </c>
      <c r="Q2280" s="3" t="s">
        <v>5196</v>
      </c>
      <c r="R2280" s="69">
        <v>8</v>
      </c>
      <c r="S2280" s="69">
        <v>1484</v>
      </c>
      <c r="T2280" s="10">
        <v>0</v>
      </c>
      <c r="U2280" s="10">
        <f t="shared" si="1229"/>
        <v>0</v>
      </c>
      <c r="V2280" s="7"/>
      <c r="W2280" s="1">
        <v>2015</v>
      </c>
      <c r="X2280" s="62" t="s">
        <v>7518</v>
      </c>
    </row>
    <row r="2281" spans="1:24" s="13" customFormat="1" ht="76.5" customHeight="1" outlineLevel="1" x14ac:dyDescent="0.2">
      <c r="A2281" s="1" t="s">
        <v>7753</v>
      </c>
      <c r="B2281" s="2" t="s">
        <v>5277</v>
      </c>
      <c r="C2281" s="2" t="s">
        <v>3405</v>
      </c>
      <c r="D2281" s="2" t="s">
        <v>5196</v>
      </c>
      <c r="E2281" s="6" t="s">
        <v>6067</v>
      </c>
      <c r="F2281" s="2"/>
      <c r="G2281" s="3" t="s">
        <v>3190</v>
      </c>
      <c r="H2281" s="5">
        <v>0</v>
      </c>
      <c r="I2281" s="6">
        <v>710000000</v>
      </c>
      <c r="J2281" s="4" t="s">
        <v>1931</v>
      </c>
      <c r="K2281" s="4" t="s">
        <v>756</v>
      </c>
      <c r="L2281" s="3" t="s">
        <v>1165</v>
      </c>
      <c r="M2281" s="8" t="s">
        <v>3195</v>
      </c>
      <c r="N2281" s="3" t="s">
        <v>1890</v>
      </c>
      <c r="O2281" s="8" t="s">
        <v>1935</v>
      </c>
      <c r="P2281" s="60">
        <v>704</v>
      </c>
      <c r="Q2281" s="3" t="s">
        <v>5196</v>
      </c>
      <c r="R2281" s="69">
        <v>6</v>
      </c>
      <c r="S2281" s="69">
        <v>1484</v>
      </c>
      <c r="T2281" s="10">
        <f t="shared" ref="T2281" si="1260">S2281*R2281</f>
        <v>8904</v>
      </c>
      <c r="U2281" s="10">
        <f t="shared" ref="U2281" si="1261">T2281*1.12</f>
        <v>9972.4800000000014</v>
      </c>
      <c r="V2281" s="7"/>
      <c r="W2281" s="1">
        <v>2015</v>
      </c>
      <c r="X2281" s="62"/>
    </row>
    <row r="2282" spans="1:24" s="13" customFormat="1" ht="76.5" customHeight="1" outlineLevel="1" x14ac:dyDescent="0.2">
      <c r="A2282" s="1" t="s">
        <v>3979</v>
      </c>
      <c r="B2282" s="2" t="s">
        <v>5277</v>
      </c>
      <c r="C2282" s="2" t="s">
        <v>3404</v>
      </c>
      <c r="D2282" s="2" t="s">
        <v>6068</v>
      </c>
      <c r="E2282" s="6" t="s">
        <v>6069</v>
      </c>
      <c r="F2282" s="2"/>
      <c r="G2282" s="3" t="s">
        <v>3190</v>
      </c>
      <c r="H2282" s="5">
        <v>0</v>
      </c>
      <c r="I2282" s="6">
        <v>710000000</v>
      </c>
      <c r="J2282" s="4" t="s">
        <v>1931</v>
      </c>
      <c r="K2282" s="4" t="s">
        <v>5297</v>
      </c>
      <c r="L2282" s="3" t="s">
        <v>1165</v>
      </c>
      <c r="M2282" s="8" t="s">
        <v>3195</v>
      </c>
      <c r="N2282" s="3" t="s">
        <v>1890</v>
      </c>
      <c r="O2282" s="8" t="s">
        <v>1935</v>
      </c>
      <c r="P2282" s="8">
        <v>796</v>
      </c>
      <c r="Q2282" s="8" t="s">
        <v>3196</v>
      </c>
      <c r="R2282" s="69">
        <v>1</v>
      </c>
      <c r="S2282" s="69">
        <v>8515</v>
      </c>
      <c r="T2282" s="10">
        <v>0</v>
      </c>
      <c r="U2282" s="10">
        <f t="shared" si="1229"/>
        <v>0</v>
      </c>
      <c r="V2282" s="7"/>
      <c r="W2282" s="1">
        <v>2015</v>
      </c>
      <c r="X2282" s="62">
        <v>11</v>
      </c>
    </row>
    <row r="2283" spans="1:24" s="13" customFormat="1" ht="76.5" customHeight="1" outlineLevel="1" x14ac:dyDescent="0.2">
      <c r="A2283" s="1" t="s">
        <v>7754</v>
      </c>
      <c r="B2283" s="2" t="s">
        <v>5277</v>
      </c>
      <c r="C2283" s="2" t="s">
        <v>3404</v>
      </c>
      <c r="D2283" s="2" t="s">
        <v>6068</v>
      </c>
      <c r="E2283" s="6" t="s">
        <v>6069</v>
      </c>
      <c r="F2283" s="2"/>
      <c r="G2283" s="3" t="s">
        <v>3190</v>
      </c>
      <c r="H2283" s="5">
        <v>0</v>
      </c>
      <c r="I2283" s="6">
        <v>710000000</v>
      </c>
      <c r="J2283" s="4" t="s">
        <v>1931</v>
      </c>
      <c r="K2283" s="4" t="s">
        <v>756</v>
      </c>
      <c r="L2283" s="3" t="s">
        <v>1165</v>
      </c>
      <c r="M2283" s="8" t="s">
        <v>3195</v>
      </c>
      <c r="N2283" s="3" t="s">
        <v>1890</v>
      </c>
      <c r="O2283" s="8" t="s">
        <v>1935</v>
      </c>
      <c r="P2283" s="8">
        <v>796</v>
      </c>
      <c r="Q2283" s="8" t="s">
        <v>3196</v>
      </c>
      <c r="R2283" s="69">
        <v>1</v>
      </c>
      <c r="S2283" s="69">
        <v>8515</v>
      </c>
      <c r="T2283" s="10">
        <f t="shared" ref="T2283" si="1262">S2283*R2283</f>
        <v>8515</v>
      </c>
      <c r="U2283" s="10">
        <f t="shared" ref="U2283" si="1263">T2283*1.12</f>
        <v>9536.8000000000011</v>
      </c>
      <c r="V2283" s="7"/>
      <c r="W2283" s="1">
        <v>2015</v>
      </c>
      <c r="X2283" s="62"/>
    </row>
    <row r="2284" spans="1:24" s="13" customFormat="1" ht="76.5" customHeight="1" outlineLevel="1" x14ac:dyDescent="0.2">
      <c r="A2284" s="1" t="s">
        <v>3980</v>
      </c>
      <c r="B2284" s="38" t="s">
        <v>5277</v>
      </c>
      <c r="C2284" s="2" t="s">
        <v>3403</v>
      </c>
      <c r="D2284" s="2" t="s">
        <v>3402</v>
      </c>
      <c r="E2284" s="6" t="s">
        <v>6070</v>
      </c>
      <c r="F2284" s="39"/>
      <c r="G2284" s="50" t="s">
        <v>3190</v>
      </c>
      <c r="H2284" s="5">
        <v>0</v>
      </c>
      <c r="I2284" s="6">
        <v>710000000</v>
      </c>
      <c r="J2284" s="4" t="s">
        <v>1931</v>
      </c>
      <c r="K2284" s="4" t="s">
        <v>5297</v>
      </c>
      <c r="L2284" s="3" t="s">
        <v>1165</v>
      </c>
      <c r="M2284" s="8" t="s">
        <v>3195</v>
      </c>
      <c r="N2284" s="3" t="s">
        <v>1890</v>
      </c>
      <c r="O2284" s="8" t="s">
        <v>1935</v>
      </c>
      <c r="P2284" s="8">
        <v>796</v>
      </c>
      <c r="Q2284" s="8" t="s">
        <v>3196</v>
      </c>
      <c r="R2284" s="9">
        <v>1</v>
      </c>
      <c r="S2284" s="9">
        <v>570</v>
      </c>
      <c r="T2284" s="10">
        <f t="shared" si="1236"/>
        <v>570</v>
      </c>
      <c r="U2284" s="10">
        <f t="shared" si="1229"/>
        <v>638.40000000000009</v>
      </c>
      <c r="V2284" s="7"/>
      <c r="W2284" s="11">
        <v>2015</v>
      </c>
      <c r="X2284" s="12"/>
    </row>
    <row r="2285" spans="1:24" s="13" customFormat="1" ht="76.5" customHeight="1" outlineLevel="1" x14ac:dyDescent="0.2">
      <c r="A2285" s="1" t="s">
        <v>3981</v>
      </c>
      <c r="B2285" s="2" t="s">
        <v>5277</v>
      </c>
      <c r="C2285" s="2" t="s">
        <v>3401</v>
      </c>
      <c r="D2285" s="2" t="s">
        <v>5189</v>
      </c>
      <c r="E2285" s="2" t="s">
        <v>5557</v>
      </c>
      <c r="F2285" s="2" t="s">
        <v>395</v>
      </c>
      <c r="G2285" s="3" t="s">
        <v>3190</v>
      </c>
      <c r="H2285" s="5">
        <v>0</v>
      </c>
      <c r="I2285" s="6">
        <v>710000000</v>
      </c>
      <c r="J2285" s="4" t="s">
        <v>1931</v>
      </c>
      <c r="K2285" s="4" t="s">
        <v>5297</v>
      </c>
      <c r="L2285" s="3" t="s">
        <v>1165</v>
      </c>
      <c r="M2285" s="8" t="s">
        <v>3195</v>
      </c>
      <c r="N2285" s="3" t="s">
        <v>1890</v>
      </c>
      <c r="O2285" s="8" t="s">
        <v>1935</v>
      </c>
      <c r="P2285" s="8">
        <v>796</v>
      </c>
      <c r="Q2285" s="8" t="s">
        <v>3196</v>
      </c>
      <c r="R2285" s="69">
        <v>13</v>
      </c>
      <c r="S2285" s="69">
        <v>1137</v>
      </c>
      <c r="T2285" s="10">
        <v>0</v>
      </c>
      <c r="U2285" s="10">
        <f t="shared" si="1229"/>
        <v>0</v>
      </c>
      <c r="V2285" s="7"/>
      <c r="W2285" s="1">
        <v>2015</v>
      </c>
      <c r="X2285" s="62">
        <v>11</v>
      </c>
    </row>
    <row r="2286" spans="1:24" s="13" customFormat="1" ht="76.5" customHeight="1" outlineLevel="1" x14ac:dyDescent="0.2">
      <c r="A2286" s="1" t="s">
        <v>7755</v>
      </c>
      <c r="B2286" s="2" t="s">
        <v>5277</v>
      </c>
      <c r="C2286" s="2" t="s">
        <v>3401</v>
      </c>
      <c r="D2286" s="2" t="s">
        <v>5189</v>
      </c>
      <c r="E2286" s="2" t="s">
        <v>5557</v>
      </c>
      <c r="F2286" s="2" t="s">
        <v>395</v>
      </c>
      <c r="G2286" s="3" t="s">
        <v>3190</v>
      </c>
      <c r="H2286" s="5">
        <v>0</v>
      </c>
      <c r="I2286" s="6">
        <v>710000000</v>
      </c>
      <c r="J2286" s="4" t="s">
        <v>1931</v>
      </c>
      <c r="K2286" s="4" t="s">
        <v>756</v>
      </c>
      <c r="L2286" s="3" t="s">
        <v>1165</v>
      </c>
      <c r="M2286" s="8" t="s">
        <v>3195</v>
      </c>
      <c r="N2286" s="3" t="s">
        <v>1890</v>
      </c>
      <c r="O2286" s="8" t="s">
        <v>1935</v>
      </c>
      <c r="P2286" s="8">
        <v>796</v>
      </c>
      <c r="Q2286" s="8" t="s">
        <v>3196</v>
      </c>
      <c r="R2286" s="69">
        <v>13</v>
      </c>
      <c r="S2286" s="69">
        <v>1137</v>
      </c>
      <c r="T2286" s="10">
        <f t="shared" ref="T2286" si="1264">S2286*R2286</f>
        <v>14781</v>
      </c>
      <c r="U2286" s="10">
        <f t="shared" ref="U2286" si="1265">T2286*1.12</f>
        <v>16554.72</v>
      </c>
      <c r="V2286" s="7"/>
      <c r="W2286" s="1">
        <v>2015</v>
      </c>
      <c r="X2286" s="62"/>
    </row>
    <row r="2287" spans="1:24" s="13" customFormat="1" ht="76.5" customHeight="1" outlineLevel="1" x14ac:dyDescent="0.2">
      <c r="A2287" s="1" t="s">
        <v>3982</v>
      </c>
      <c r="B2287" s="2" t="s">
        <v>5277</v>
      </c>
      <c r="C2287" s="2" t="s">
        <v>3400</v>
      </c>
      <c r="D2287" s="2" t="s">
        <v>6072</v>
      </c>
      <c r="E2287" s="6" t="s">
        <v>6073</v>
      </c>
      <c r="F2287" s="2"/>
      <c r="G2287" s="3" t="s">
        <v>3190</v>
      </c>
      <c r="H2287" s="5">
        <v>0</v>
      </c>
      <c r="I2287" s="6">
        <v>710000000</v>
      </c>
      <c r="J2287" s="4" t="s">
        <v>1931</v>
      </c>
      <c r="K2287" s="4" t="s">
        <v>5297</v>
      </c>
      <c r="L2287" s="3" t="s">
        <v>1165</v>
      </c>
      <c r="M2287" s="8" t="s">
        <v>3195</v>
      </c>
      <c r="N2287" s="3" t="s">
        <v>1890</v>
      </c>
      <c r="O2287" s="8" t="s">
        <v>1935</v>
      </c>
      <c r="P2287" s="8">
        <v>796</v>
      </c>
      <c r="Q2287" s="8" t="s">
        <v>3196</v>
      </c>
      <c r="R2287" s="69">
        <v>8</v>
      </c>
      <c r="S2287" s="69">
        <v>807.14</v>
      </c>
      <c r="T2287" s="10">
        <v>0</v>
      </c>
      <c r="U2287" s="10">
        <f t="shared" si="1229"/>
        <v>0</v>
      </c>
      <c r="V2287" s="7"/>
      <c r="W2287" s="1">
        <v>2015</v>
      </c>
      <c r="X2287" s="62">
        <v>11</v>
      </c>
    </row>
    <row r="2288" spans="1:24" s="13" customFormat="1" ht="76.5" outlineLevel="1" x14ac:dyDescent="0.2">
      <c r="A2288" s="1" t="s">
        <v>7756</v>
      </c>
      <c r="B2288" s="2" t="s">
        <v>5277</v>
      </c>
      <c r="C2288" s="2" t="s">
        <v>3400</v>
      </c>
      <c r="D2288" s="2" t="s">
        <v>6072</v>
      </c>
      <c r="E2288" s="6" t="s">
        <v>6073</v>
      </c>
      <c r="F2288" s="2"/>
      <c r="G2288" s="3" t="s">
        <v>3190</v>
      </c>
      <c r="H2288" s="5">
        <v>0</v>
      </c>
      <c r="I2288" s="6">
        <v>710000000</v>
      </c>
      <c r="J2288" s="4" t="s">
        <v>1931</v>
      </c>
      <c r="K2288" s="4" t="s">
        <v>756</v>
      </c>
      <c r="L2288" s="3" t="s">
        <v>1165</v>
      </c>
      <c r="M2288" s="8" t="s">
        <v>3195</v>
      </c>
      <c r="N2288" s="3" t="s">
        <v>1890</v>
      </c>
      <c r="O2288" s="8" t="s">
        <v>1935</v>
      </c>
      <c r="P2288" s="8">
        <v>796</v>
      </c>
      <c r="Q2288" s="8" t="s">
        <v>3196</v>
      </c>
      <c r="R2288" s="69">
        <v>8</v>
      </c>
      <c r="S2288" s="69">
        <v>807.14</v>
      </c>
      <c r="T2288" s="10">
        <v>0</v>
      </c>
      <c r="U2288" s="10">
        <f t="shared" ref="U2288" si="1266">T2288*1.12</f>
        <v>0</v>
      </c>
      <c r="V2288" s="7"/>
      <c r="W2288" s="1">
        <v>2015</v>
      </c>
      <c r="X2288" s="62" t="s">
        <v>7518</v>
      </c>
    </row>
    <row r="2289" spans="1:24" s="13" customFormat="1" ht="76.5" outlineLevel="1" x14ac:dyDescent="0.2">
      <c r="A2289" s="1" t="s">
        <v>9280</v>
      </c>
      <c r="B2289" s="2" t="s">
        <v>5277</v>
      </c>
      <c r="C2289" s="2" t="s">
        <v>3400</v>
      </c>
      <c r="D2289" s="2" t="s">
        <v>6072</v>
      </c>
      <c r="E2289" s="6" t="s">
        <v>6073</v>
      </c>
      <c r="F2289" s="2"/>
      <c r="G2289" s="3" t="s">
        <v>3190</v>
      </c>
      <c r="H2289" s="5">
        <v>0</v>
      </c>
      <c r="I2289" s="6">
        <v>710000000</v>
      </c>
      <c r="J2289" s="4" t="s">
        <v>1931</v>
      </c>
      <c r="K2289" s="4" t="s">
        <v>9276</v>
      </c>
      <c r="L2289" s="3" t="s">
        <v>1165</v>
      </c>
      <c r="M2289" s="8" t="s">
        <v>3195</v>
      </c>
      <c r="N2289" s="3" t="s">
        <v>1890</v>
      </c>
      <c r="O2289" s="8" t="s">
        <v>1935</v>
      </c>
      <c r="P2289" s="8">
        <v>796</v>
      </c>
      <c r="Q2289" s="8" t="s">
        <v>3196</v>
      </c>
      <c r="R2289" s="69">
        <f>8+10</f>
        <v>18</v>
      </c>
      <c r="S2289" s="69">
        <v>807.14</v>
      </c>
      <c r="T2289" s="10">
        <f t="shared" ref="T2289" si="1267">S2289*R2289</f>
        <v>14528.52</v>
      </c>
      <c r="U2289" s="10">
        <f t="shared" ref="U2289" si="1268">T2289*1.12</f>
        <v>16271.942400000002</v>
      </c>
      <c r="V2289" s="7"/>
      <c r="W2289" s="1">
        <v>2015</v>
      </c>
      <c r="X2289" s="62"/>
    </row>
    <row r="2290" spans="1:24" s="13" customFormat="1" ht="76.5" customHeight="1" outlineLevel="1" x14ac:dyDescent="0.2">
      <c r="A2290" s="1" t="s">
        <v>3983</v>
      </c>
      <c r="B2290" s="38" t="s">
        <v>5277</v>
      </c>
      <c r="C2290" s="2" t="s">
        <v>394</v>
      </c>
      <c r="D2290" s="2" t="s">
        <v>6072</v>
      </c>
      <c r="E2290" s="2" t="s">
        <v>5559</v>
      </c>
      <c r="F2290" s="39"/>
      <c r="G2290" s="50" t="s">
        <v>3190</v>
      </c>
      <c r="H2290" s="5">
        <v>0</v>
      </c>
      <c r="I2290" s="6">
        <v>710000000</v>
      </c>
      <c r="J2290" s="4" t="s">
        <v>1931</v>
      </c>
      <c r="K2290" s="4" t="s">
        <v>5297</v>
      </c>
      <c r="L2290" s="3" t="s">
        <v>1165</v>
      </c>
      <c r="M2290" s="8" t="s">
        <v>3195</v>
      </c>
      <c r="N2290" s="3" t="s">
        <v>1890</v>
      </c>
      <c r="O2290" s="8" t="s">
        <v>1935</v>
      </c>
      <c r="P2290" s="8">
        <v>796</v>
      </c>
      <c r="Q2290" s="8" t="s">
        <v>3196</v>
      </c>
      <c r="R2290" s="9">
        <f>7+2</f>
        <v>9</v>
      </c>
      <c r="S2290" s="9">
        <v>444.64</v>
      </c>
      <c r="T2290" s="10">
        <v>0</v>
      </c>
      <c r="U2290" s="10">
        <f t="shared" si="1229"/>
        <v>0</v>
      </c>
      <c r="V2290" s="7"/>
      <c r="W2290" s="11">
        <v>2015</v>
      </c>
      <c r="X2290" s="12" t="s">
        <v>6562</v>
      </c>
    </row>
    <row r="2291" spans="1:24" s="13" customFormat="1" ht="76.5" customHeight="1" outlineLevel="1" x14ac:dyDescent="0.2">
      <c r="A2291" s="1" t="s">
        <v>6661</v>
      </c>
      <c r="B2291" s="2" t="s">
        <v>5277</v>
      </c>
      <c r="C2291" s="2" t="s">
        <v>394</v>
      </c>
      <c r="D2291" s="2" t="s">
        <v>6072</v>
      </c>
      <c r="E2291" s="2" t="s">
        <v>5559</v>
      </c>
      <c r="F2291" s="2"/>
      <c r="G2291" s="3" t="s">
        <v>3190</v>
      </c>
      <c r="H2291" s="5">
        <v>0</v>
      </c>
      <c r="I2291" s="6">
        <v>710000000</v>
      </c>
      <c r="J2291" s="4" t="s">
        <v>1931</v>
      </c>
      <c r="K2291" s="4" t="s">
        <v>5297</v>
      </c>
      <c r="L2291" s="3" t="s">
        <v>1165</v>
      </c>
      <c r="M2291" s="8" t="s">
        <v>3195</v>
      </c>
      <c r="N2291" s="3" t="s">
        <v>1890</v>
      </c>
      <c r="O2291" s="8" t="s">
        <v>1935</v>
      </c>
      <c r="P2291" s="8">
        <v>796</v>
      </c>
      <c r="Q2291" s="8" t="s">
        <v>3196</v>
      </c>
      <c r="R2291" s="69">
        <f>5+2</f>
        <v>7</v>
      </c>
      <c r="S2291" s="69">
        <v>444.64</v>
      </c>
      <c r="T2291" s="10">
        <v>0</v>
      </c>
      <c r="U2291" s="10">
        <f t="shared" si="1229"/>
        <v>0</v>
      </c>
      <c r="V2291" s="7"/>
      <c r="W2291" s="1">
        <v>2015</v>
      </c>
      <c r="X2291" s="62">
        <v>11</v>
      </c>
    </row>
    <row r="2292" spans="1:24" s="13" customFormat="1" ht="76.5" customHeight="1" outlineLevel="1" x14ac:dyDescent="0.2">
      <c r="A2292" s="1" t="s">
        <v>7757</v>
      </c>
      <c r="B2292" s="2" t="s">
        <v>5277</v>
      </c>
      <c r="C2292" s="2" t="s">
        <v>394</v>
      </c>
      <c r="D2292" s="2" t="s">
        <v>6072</v>
      </c>
      <c r="E2292" s="2" t="s">
        <v>5559</v>
      </c>
      <c r="F2292" s="2"/>
      <c r="G2292" s="3" t="s">
        <v>3190</v>
      </c>
      <c r="H2292" s="5">
        <v>0</v>
      </c>
      <c r="I2292" s="6">
        <v>710000000</v>
      </c>
      <c r="J2292" s="4" t="s">
        <v>1931</v>
      </c>
      <c r="K2292" s="4" t="s">
        <v>756</v>
      </c>
      <c r="L2292" s="3" t="s">
        <v>1165</v>
      </c>
      <c r="M2292" s="8" t="s">
        <v>3195</v>
      </c>
      <c r="N2292" s="3" t="s">
        <v>1890</v>
      </c>
      <c r="O2292" s="8" t="s">
        <v>1935</v>
      </c>
      <c r="P2292" s="8">
        <v>796</v>
      </c>
      <c r="Q2292" s="8" t="s">
        <v>3196</v>
      </c>
      <c r="R2292" s="69">
        <f>5+2</f>
        <v>7</v>
      </c>
      <c r="S2292" s="69">
        <v>444.64</v>
      </c>
      <c r="T2292" s="10">
        <f t="shared" ref="T2292" si="1269">S2292*R2292</f>
        <v>3112.48</v>
      </c>
      <c r="U2292" s="10">
        <f t="shared" ref="U2292" si="1270">T2292*1.12</f>
        <v>3485.9776000000002</v>
      </c>
      <c r="V2292" s="7"/>
      <c r="W2292" s="1">
        <v>2015</v>
      </c>
      <c r="X2292" s="62"/>
    </row>
    <row r="2293" spans="1:24" s="13" customFormat="1" ht="76.5" customHeight="1" outlineLevel="1" x14ac:dyDescent="0.2">
      <c r="A2293" s="1" t="s">
        <v>3984</v>
      </c>
      <c r="B2293" s="2" t="s">
        <v>5277</v>
      </c>
      <c r="C2293" s="2" t="s">
        <v>394</v>
      </c>
      <c r="D2293" s="2" t="s">
        <v>6072</v>
      </c>
      <c r="E2293" s="2" t="s">
        <v>5559</v>
      </c>
      <c r="F2293" s="2" t="s">
        <v>393</v>
      </c>
      <c r="G2293" s="3" t="s">
        <v>3190</v>
      </c>
      <c r="H2293" s="5">
        <v>0</v>
      </c>
      <c r="I2293" s="6">
        <v>710000000</v>
      </c>
      <c r="J2293" s="4" t="s">
        <v>1931</v>
      </c>
      <c r="K2293" s="4" t="s">
        <v>5297</v>
      </c>
      <c r="L2293" s="3" t="s">
        <v>1165</v>
      </c>
      <c r="M2293" s="8" t="s">
        <v>3195</v>
      </c>
      <c r="N2293" s="3" t="s">
        <v>1890</v>
      </c>
      <c r="O2293" s="8" t="s">
        <v>1935</v>
      </c>
      <c r="P2293" s="8">
        <v>796</v>
      </c>
      <c r="Q2293" s="8" t="s">
        <v>3196</v>
      </c>
      <c r="R2293" s="69">
        <v>2</v>
      </c>
      <c r="S2293" s="69">
        <v>908.04</v>
      </c>
      <c r="T2293" s="10">
        <v>0</v>
      </c>
      <c r="U2293" s="10">
        <f t="shared" si="1229"/>
        <v>0</v>
      </c>
      <c r="V2293" s="7"/>
      <c r="W2293" s="1">
        <v>2015</v>
      </c>
      <c r="X2293" s="62">
        <v>11</v>
      </c>
    </row>
    <row r="2294" spans="1:24" s="13" customFormat="1" ht="76.5" customHeight="1" outlineLevel="1" x14ac:dyDescent="0.2">
      <c r="A2294" s="1" t="s">
        <v>7758</v>
      </c>
      <c r="B2294" s="2" t="s">
        <v>5277</v>
      </c>
      <c r="C2294" s="2" t="s">
        <v>394</v>
      </c>
      <c r="D2294" s="2" t="s">
        <v>6072</v>
      </c>
      <c r="E2294" s="2" t="s">
        <v>5559</v>
      </c>
      <c r="F2294" s="2" t="s">
        <v>393</v>
      </c>
      <c r="G2294" s="3" t="s">
        <v>3190</v>
      </c>
      <c r="H2294" s="5">
        <v>0</v>
      </c>
      <c r="I2294" s="6">
        <v>710000000</v>
      </c>
      <c r="J2294" s="4" t="s">
        <v>1931</v>
      </c>
      <c r="K2294" s="4" t="s">
        <v>756</v>
      </c>
      <c r="L2294" s="3" t="s">
        <v>1165</v>
      </c>
      <c r="M2294" s="8" t="s">
        <v>3195</v>
      </c>
      <c r="N2294" s="3" t="s">
        <v>1890</v>
      </c>
      <c r="O2294" s="8" t="s">
        <v>1935</v>
      </c>
      <c r="P2294" s="8">
        <v>796</v>
      </c>
      <c r="Q2294" s="8" t="s">
        <v>3196</v>
      </c>
      <c r="R2294" s="69">
        <v>2</v>
      </c>
      <c r="S2294" s="69">
        <v>908.04</v>
      </c>
      <c r="T2294" s="10">
        <f t="shared" ref="T2294" si="1271">S2294*R2294</f>
        <v>1816.08</v>
      </c>
      <c r="U2294" s="10">
        <f t="shared" ref="U2294" si="1272">T2294*1.12</f>
        <v>2034.0096000000001</v>
      </c>
      <c r="V2294" s="7"/>
      <c r="W2294" s="1">
        <v>2015</v>
      </c>
      <c r="X2294" s="62"/>
    </row>
    <row r="2295" spans="1:24" s="13" customFormat="1" ht="76.5" customHeight="1" outlineLevel="1" x14ac:dyDescent="0.2">
      <c r="A2295" s="1" t="s">
        <v>3985</v>
      </c>
      <c r="B2295" s="2" t="s">
        <v>5277</v>
      </c>
      <c r="C2295" s="2" t="s">
        <v>3421</v>
      </c>
      <c r="D2295" s="2" t="s">
        <v>6048</v>
      </c>
      <c r="E2295" s="6" t="s">
        <v>6049</v>
      </c>
      <c r="F2295" s="2"/>
      <c r="G2295" s="3" t="s">
        <v>3190</v>
      </c>
      <c r="H2295" s="5">
        <v>0</v>
      </c>
      <c r="I2295" s="6">
        <v>710000000</v>
      </c>
      <c r="J2295" s="4" t="s">
        <v>1931</v>
      </c>
      <c r="K2295" s="4" t="s">
        <v>5297</v>
      </c>
      <c r="L2295" s="3" t="s">
        <v>1165</v>
      </c>
      <c r="M2295" s="8" t="s">
        <v>3195</v>
      </c>
      <c r="N2295" s="3" t="s">
        <v>1890</v>
      </c>
      <c r="O2295" s="8" t="s">
        <v>1935</v>
      </c>
      <c r="P2295" s="8">
        <v>796</v>
      </c>
      <c r="Q2295" s="8" t="s">
        <v>3196</v>
      </c>
      <c r="R2295" s="69">
        <v>10</v>
      </c>
      <c r="S2295" s="69">
        <v>400.09</v>
      </c>
      <c r="T2295" s="10">
        <v>0</v>
      </c>
      <c r="U2295" s="10">
        <f t="shared" si="1229"/>
        <v>0</v>
      </c>
      <c r="V2295" s="7"/>
      <c r="W2295" s="1">
        <v>2015</v>
      </c>
      <c r="X2295" s="62">
        <v>11</v>
      </c>
    </row>
    <row r="2296" spans="1:24" s="13" customFormat="1" ht="76.5" customHeight="1" outlineLevel="1" x14ac:dyDescent="0.2">
      <c r="A2296" s="1" t="s">
        <v>7759</v>
      </c>
      <c r="B2296" s="2" t="s">
        <v>5277</v>
      </c>
      <c r="C2296" s="2" t="s">
        <v>3421</v>
      </c>
      <c r="D2296" s="2" t="s">
        <v>6048</v>
      </c>
      <c r="E2296" s="6" t="s">
        <v>6049</v>
      </c>
      <c r="F2296" s="2"/>
      <c r="G2296" s="3" t="s">
        <v>3190</v>
      </c>
      <c r="H2296" s="5">
        <v>0</v>
      </c>
      <c r="I2296" s="6">
        <v>710000000</v>
      </c>
      <c r="J2296" s="4" t="s">
        <v>1931</v>
      </c>
      <c r="K2296" s="4" t="s">
        <v>756</v>
      </c>
      <c r="L2296" s="3" t="s">
        <v>1165</v>
      </c>
      <c r="M2296" s="8" t="s">
        <v>3195</v>
      </c>
      <c r="N2296" s="3" t="s">
        <v>1890</v>
      </c>
      <c r="O2296" s="8" t="s">
        <v>1935</v>
      </c>
      <c r="P2296" s="8">
        <v>796</v>
      </c>
      <c r="Q2296" s="8" t="s">
        <v>3196</v>
      </c>
      <c r="R2296" s="69">
        <v>10</v>
      </c>
      <c r="S2296" s="69">
        <v>400.09</v>
      </c>
      <c r="T2296" s="10">
        <f t="shared" ref="T2296" si="1273">S2296*R2296</f>
        <v>4000.8999999999996</v>
      </c>
      <c r="U2296" s="10">
        <f t="shared" ref="U2296" si="1274">T2296*1.12</f>
        <v>4481.0079999999998</v>
      </c>
      <c r="V2296" s="7"/>
      <c r="W2296" s="1">
        <v>2015</v>
      </c>
      <c r="X2296" s="62"/>
    </row>
    <row r="2297" spans="1:24" s="13" customFormat="1" ht="76.5" customHeight="1" outlineLevel="1" x14ac:dyDescent="0.2">
      <c r="A2297" s="1" t="s">
        <v>3986</v>
      </c>
      <c r="B2297" s="2" t="s">
        <v>5277</v>
      </c>
      <c r="C2297" s="2" t="s">
        <v>3397</v>
      </c>
      <c r="D2297" s="2" t="s">
        <v>5529</v>
      </c>
      <c r="E2297" s="6" t="s">
        <v>6079</v>
      </c>
      <c r="F2297" s="2"/>
      <c r="G2297" s="3" t="s">
        <v>3190</v>
      </c>
      <c r="H2297" s="5">
        <v>0</v>
      </c>
      <c r="I2297" s="6">
        <v>710000000</v>
      </c>
      <c r="J2297" s="4" t="s">
        <v>1931</v>
      </c>
      <c r="K2297" s="4" t="s">
        <v>5297</v>
      </c>
      <c r="L2297" s="3" t="s">
        <v>1165</v>
      </c>
      <c r="M2297" s="8" t="s">
        <v>3195</v>
      </c>
      <c r="N2297" s="3" t="s">
        <v>1890</v>
      </c>
      <c r="O2297" s="8" t="s">
        <v>1935</v>
      </c>
      <c r="P2297" s="8">
        <v>796</v>
      </c>
      <c r="Q2297" s="8" t="s">
        <v>3196</v>
      </c>
      <c r="R2297" s="69">
        <v>30</v>
      </c>
      <c r="S2297" s="69">
        <v>240</v>
      </c>
      <c r="T2297" s="10">
        <v>0</v>
      </c>
      <c r="U2297" s="10">
        <f t="shared" si="1229"/>
        <v>0</v>
      </c>
      <c r="V2297" s="7"/>
      <c r="W2297" s="1">
        <v>2015</v>
      </c>
      <c r="X2297" s="62">
        <v>11</v>
      </c>
    </row>
    <row r="2298" spans="1:24" s="13" customFormat="1" ht="76.5" customHeight="1" outlineLevel="1" x14ac:dyDescent="0.2">
      <c r="A2298" s="1" t="s">
        <v>7760</v>
      </c>
      <c r="B2298" s="2" t="s">
        <v>5277</v>
      </c>
      <c r="C2298" s="2" t="s">
        <v>3397</v>
      </c>
      <c r="D2298" s="2" t="s">
        <v>5529</v>
      </c>
      <c r="E2298" s="6" t="s">
        <v>6079</v>
      </c>
      <c r="F2298" s="2"/>
      <c r="G2298" s="3" t="s">
        <v>3190</v>
      </c>
      <c r="H2298" s="5">
        <v>0</v>
      </c>
      <c r="I2298" s="6">
        <v>710000000</v>
      </c>
      <c r="J2298" s="4" t="s">
        <v>1931</v>
      </c>
      <c r="K2298" s="4" t="s">
        <v>756</v>
      </c>
      <c r="L2298" s="3" t="s">
        <v>1165</v>
      </c>
      <c r="M2298" s="8" t="s">
        <v>3195</v>
      </c>
      <c r="N2298" s="3" t="s">
        <v>1890</v>
      </c>
      <c r="O2298" s="8" t="s">
        <v>1935</v>
      </c>
      <c r="P2298" s="8">
        <v>796</v>
      </c>
      <c r="Q2298" s="8" t="s">
        <v>3196</v>
      </c>
      <c r="R2298" s="69">
        <v>30</v>
      </c>
      <c r="S2298" s="69">
        <v>240</v>
      </c>
      <c r="T2298" s="10">
        <f t="shared" ref="T2298" si="1275">S2298*R2298</f>
        <v>7200</v>
      </c>
      <c r="U2298" s="10">
        <f t="shared" ref="U2298" si="1276">T2298*1.12</f>
        <v>8064.0000000000009</v>
      </c>
      <c r="V2298" s="7"/>
      <c r="W2298" s="1">
        <v>2015</v>
      </c>
      <c r="X2298" s="62"/>
    </row>
    <row r="2299" spans="1:24" s="13" customFormat="1" ht="76.5" customHeight="1" outlineLevel="1" x14ac:dyDescent="0.2">
      <c r="A2299" s="1" t="s">
        <v>3987</v>
      </c>
      <c r="B2299" s="2" t="s">
        <v>5277</v>
      </c>
      <c r="C2299" s="2" t="s">
        <v>365</v>
      </c>
      <c r="D2299" s="2" t="s">
        <v>364</v>
      </c>
      <c r="E2299" s="2" t="s">
        <v>363</v>
      </c>
      <c r="F2299" s="2"/>
      <c r="G2299" s="3" t="s">
        <v>3190</v>
      </c>
      <c r="H2299" s="5">
        <v>0</v>
      </c>
      <c r="I2299" s="6">
        <v>710000000</v>
      </c>
      <c r="J2299" s="4" t="s">
        <v>1931</v>
      </c>
      <c r="K2299" s="4" t="s">
        <v>5297</v>
      </c>
      <c r="L2299" s="3" t="s">
        <v>1165</v>
      </c>
      <c r="M2299" s="8" t="s">
        <v>3195</v>
      </c>
      <c r="N2299" s="3" t="s">
        <v>1890</v>
      </c>
      <c r="O2299" s="8" t="s">
        <v>1935</v>
      </c>
      <c r="P2299" s="8">
        <v>796</v>
      </c>
      <c r="Q2299" s="8" t="s">
        <v>3196</v>
      </c>
      <c r="R2299" s="69">
        <f>1+2</f>
        <v>3</v>
      </c>
      <c r="S2299" s="69">
        <v>2403</v>
      </c>
      <c r="T2299" s="10">
        <v>0</v>
      </c>
      <c r="U2299" s="10">
        <f t="shared" si="1229"/>
        <v>0</v>
      </c>
      <c r="V2299" s="7"/>
      <c r="W2299" s="1">
        <v>2015</v>
      </c>
      <c r="X2299" s="62">
        <v>11</v>
      </c>
    </row>
    <row r="2300" spans="1:24" s="13" customFormat="1" ht="76.5" customHeight="1" outlineLevel="1" x14ac:dyDescent="0.2">
      <c r="A2300" s="1" t="s">
        <v>7761</v>
      </c>
      <c r="B2300" s="2" t="s">
        <v>5277</v>
      </c>
      <c r="C2300" s="2" t="s">
        <v>365</v>
      </c>
      <c r="D2300" s="2" t="s">
        <v>364</v>
      </c>
      <c r="E2300" s="2" t="s">
        <v>363</v>
      </c>
      <c r="F2300" s="2"/>
      <c r="G2300" s="3" t="s">
        <v>3190</v>
      </c>
      <c r="H2300" s="5">
        <v>0</v>
      </c>
      <c r="I2300" s="6">
        <v>710000000</v>
      </c>
      <c r="J2300" s="4" t="s">
        <v>1931</v>
      </c>
      <c r="K2300" s="4" t="s">
        <v>756</v>
      </c>
      <c r="L2300" s="3" t="s">
        <v>1165</v>
      </c>
      <c r="M2300" s="8" t="s">
        <v>3195</v>
      </c>
      <c r="N2300" s="3" t="s">
        <v>1890</v>
      </c>
      <c r="O2300" s="8" t="s">
        <v>1935</v>
      </c>
      <c r="P2300" s="8">
        <v>796</v>
      </c>
      <c r="Q2300" s="8" t="s">
        <v>3196</v>
      </c>
      <c r="R2300" s="69">
        <f>1+2</f>
        <v>3</v>
      </c>
      <c r="S2300" s="69">
        <v>2403</v>
      </c>
      <c r="T2300" s="10">
        <f t="shared" ref="T2300" si="1277">S2300*R2300</f>
        <v>7209</v>
      </c>
      <c r="U2300" s="10">
        <f t="shared" ref="U2300" si="1278">T2300*1.12</f>
        <v>8074.0800000000008</v>
      </c>
      <c r="V2300" s="7"/>
      <c r="W2300" s="1">
        <v>2015</v>
      </c>
      <c r="X2300" s="62"/>
    </row>
    <row r="2301" spans="1:24" s="13" customFormat="1" ht="76.5" customHeight="1" outlineLevel="1" x14ac:dyDescent="0.2">
      <c r="A2301" s="1" t="s">
        <v>3988</v>
      </c>
      <c r="B2301" s="38" t="s">
        <v>5277</v>
      </c>
      <c r="C2301" s="2" t="s">
        <v>5701</v>
      </c>
      <c r="D2301" s="2" t="s">
        <v>1832</v>
      </c>
      <c r="E2301" s="2" t="s">
        <v>5702</v>
      </c>
      <c r="F2301" s="39"/>
      <c r="G2301" s="50" t="s">
        <v>3190</v>
      </c>
      <c r="H2301" s="5">
        <v>0</v>
      </c>
      <c r="I2301" s="6">
        <v>710000000</v>
      </c>
      <c r="J2301" s="4" t="s">
        <v>1931</v>
      </c>
      <c r="K2301" s="4" t="s">
        <v>5297</v>
      </c>
      <c r="L2301" s="3" t="s">
        <v>1165</v>
      </c>
      <c r="M2301" s="8" t="s">
        <v>3195</v>
      </c>
      <c r="N2301" s="3" t="s">
        <v>1890</v>
      </c>
      <c r="O2301" s="8" t="s">
        <v>1935</v>
      </c>
      <c r="P2301" s="8">
        <v>796</v>
      </c>
      <c r="Q2301" s="8" t="s">
        <v>3196</v>
      </c>
      <c r="R2301" s="9">
        <f>24+20</f>
        <v>44</v>
      </c>
      <c r="S2301" s="9">
        <v>310.70999999999998</v>
      </c>
      <c r="T2301" s="10">
        <f t="shared" si="1236"/>
        <v>13671.24</v>
      </c>
      <c r="U2301" s="10">
        <f t="shared" si="1229"/>
        <v>15311.788800000002</v>
      </c>
      <c r="V2301" s="7"/>
      <c r="W2301" s="11">
        <v>2015</v>
      </c>
      <c r="X2301" s="12"/>
    </row>
    <row r="2302" spans="1:24" s="13" customFormat="1" ht="76.5" customHeight="1" outlineLevel="1" x14ac:dyDescent="0.2">
      <c r="A2302" s="1" t="s">
        <v>3989</v>
      </c>
      <c r="B2302" s="2" t="s">
        <v>5277</v>
      </c>
      <c r="C2302" s="2" t="s">
        <v>3893</v>
      </c>
      <c r="D2302" s="2" t="s">
        <v>5697</v>
      </c>
      <c r="E2302" s="2" t="s">
        <v>1351</v>
      </c>
      <c r="F2302" s="2"/>
      <c r="G2302" s="3" t="s">
        <v>3190</v>
      </c>
      <c r="H2302" s="5">
        <v>0</v>
      </c>
      <c r="I2302" s="6">
        <v>710000000</v>
      </c>
      <c r="J2302" s="4" t="s">
        <v>1931</v>
      </c>
      <c r="K2302" s="4" t="s">
        <v>5297</v>
      </c>
      <c r="L2302" s="3" t="s">
        <v>1165</v>
      </c>
      <c r="M2302" s="8" t="s">
        <v>3195</v>
      </c>
      <c r="N2302" s="3" t="s">
        <v>1890</v>
      </c>
      <c r="O2302" s="8" t="s">
        <v>1935</v>
      </c>
      <c r="P2302" s="8">
        <v>796</v>
      </c>
      <c r="Q2302" s="8" t="s">
        <v>3196</v>
      </c>
      <c r="R2302" s="69">
        <f>5+5+33+10</f>
        <v>53</v>
      </c>
      <c r="S2302" s="69">
        <v>239.29</v>
      </c>
      <c r="T2302" s="10">
        <v>0</v>
      </c>
      <c r="U2302" s="10">
        <f t="shared" si="1229"/>
        <v>0</v>
      </c>
      <c r="V2302" s="7"/>
      <c r="W2302" s="1">
        <v>2015</v>
      </c>
      <c r="X2302" s="62" t="s">
        <v>7518</v>
      </c>
    </row>
    <row r="2303" spans="1:24" s="13" customFormat="1" ht="76.5" outlineLevel="1" x14ac:dyDescent="0.2">
      <c r="A2303" s="1" t="s">
        <v>7762</v>
      </c>
      <c r="B2303" s="2" t="s">
        <v>5277</v>
      </c>
      <c r="C2303" s="2" t="s">
        <v>3893</v>
      </c>
      <c r="D2303" s="2" t="s">
        <v>5697</v>
      </c>
      <c r="E2303" s="2" t="s">
        <v>1351</v>
      </c>
      <c r="F2303" s="2"/>
      <c r="G2303" s="3" t="s">
        <v>3190</v>
      </c>
      <c r="H2303" s="5">
        <v>0</v>
      </c>
      <c r="I2303" s="6">
        <v>710000000</v>
      </c>
      <c r="J2303" s="4" t="s">
        <v>1931</v>
      </c>
      <c r="K2303" s="4" t="s">
        <v>756</v>
      </c>
      <c r="L2303" s="3" t="s">
        <v>1165</v>
      </c>
      <c r="M2303" s="8" t="s">
        <v>3195</v>
      </c>
      <c r="N2303" s="3" t="s">
        <v>1890</v>
      </c>
      <c r="O2303" s="8" t="s">
        <v>1935</v>
      </c>
      <c r="P2303" s="8">
        <v>796</v>
      </c>
      <c r="Q2303" s="8" t="s">
        <v>3196</v>
      </c>
      <c r="R2303" s="69">
        <f>5+20+5</f>
        <v>30</v>
      </c>
      <c r="S2303" s="69">
        <v>239.29</v>
      </c>
      <c r="T2303" s="10">
        <v>0</v>
      </c>
      <c r="U2303" s="10">
        <f t="shared" ref="U2303" si="1279">T2303*1.12</f>
        <v>0</v>
      </c>
      <c r="V2303" s="7"/>
      <c r="W2303" s="1">
        <v>2015</v>
      </c>
      <c r="X2303" s="62" t="s">
        <v>7518</v>
      </c>
    </row>
    <row r="2304" spans="1:24" s="13" customFormat="1" ht="76.5" outlineLevel="1" x14ac:dyDescent="0.2">
      <c r="A2304" s="1" t="s">
        <v>9292</v>
      </c>
      <c r="B2304" s="2" t="s">
        <v>5277</v>
      </c>
      <c r="C2304" s="2" t="s">
        <v>3893</v>
      </c>
      <c r="D2304" s="2" t="s">
        <v>5697</v>
      </c>
      <c r="E2304" s="2" t="s">
        <v>1351</v>
      </c>
      <c r="F2304" s="2"/>
      <c r="G2304" s="3" t="s">
        <v>3190</v>
      </c>
      <c r="H2304" s="5">
        <v>0</v>
      </c>
      <c r="I2304" s="6">
        <v>710000000</v>
      </c>
      <c r="J2304" s="4" t="s">
        <v>1931</v>
      </c>
      <c r="K2304" s="4" t="s">
        <v>9276</v>
      </c>
      <c r="L2304" s="3" t="s">
        <v>1165</v>
      </c>
      <c r="M2304" s="8" t="s">
        <v>3195</v>
      </c>
      <c r="N2304" s="3" t="s">
        <v>1890</v>
      </c>
      <c r="O2304" s="8" t="s">
        <v>1935</v>
      </c>
      <c r="P2304" s="8">
        <v>796</v>
      </c>
      <c r="Q2304" s="8" t="s">
        <v>3196</v>
      </c>
      <c r="R2304" s="69">
        <f>5+20+5+10+12+18</f>
        <v>70</v>
      </c>
      <c r="S2304" s="69">
        <v>239.29</v>
      </c>
      <c r="T2304" s="10">
        <f t="shared" ref="T2304" si="1280">S2304*R2304</f>
        <v>16750.3</v>
      </c>
      <c r="U2304" s="10">
        <f t="shared" ref="U2304" si="1281">T2304*1.12</f>
        <v>18760.335999999999</v>
      </c>
      <c r="V2304" s="7"/>
      <c r="W2304" s="1">
        <v>2015</v>
      </c>
      <c r="X2304" s="62"/>
    </row>
    <row r="2305" spans="1:24" s="13" customFormat="1" ht="76.5" customHeight="1" outlineLevel="1" x14ac:dyDescent="0.2">
      <c r="A2305" s="1" t="s">
        <v>3990</v>
      </c>
      <c r="B2305" s="2" t="s">
        <v>5277</v>
      </c>
      <c r="C2305" s="2" t="s">
        <v>3266</v>
      </c>
      <c r="D2305" s="2" t="s">
        <v>3267</v>
      </c>
      <c r="E2305" s="2" t="s">
        <v>5153</v>
      </c>
      <c r="F2305" s="2" t="s">
        <v>392</v>
      </c>
      <c r="G2305" s="3" t="s">
        <v>3190</v>
      </c>
      <c r="H2305" s="5">
        <v>0</v>
      </c>
      <c r="I2305" s="6">
        <v>710000000</v>
      </c>
      <c r="J2305" s="4" t="s">
        <v>1931</v>
      </c>
      <c r="K2305" s="4" t="s">
        <v>5297</v>
      </c>
      <c r="L2305" s="3" t="s">
        <v>1165</v>
      </c>
      <c r="M2305" s="8" t="s">
        <v>3195</v>
      </c>
      <c r="N2305" s="3" t="s">
        <v>1890</v>
      </c>
      <c r="O2305" s="8" t="s">
        <v>1935</v>
      </c>
      <c r="P2305" s="8">
        <v>796</v>
      </c>
      <c r="Q2305" s="8" t="s">
        <v>3196</v>
      </c>
      <c r="R2305" s="69">
        <v>1</v>
      </c>
      <c r="S2305" s="69">
        <v>0</v>
      </c>
      <c r="T2305" s="10">
        <f t="shared" si="1236"/>
        <v>0</v>
      </c>
      <c r="U2305" s="10">
        <f t="shared" si="1229"/>
        <v>0</v>
      </c>
      <c r="V2305" s="7"/>
      <c r="W2305" s="1">
        <v>2015</v>
      </c>
      <c r="X2305" s="62">
        <v>11</v>
      </c>
    </row>
    <row r="2306" spans="1:24" s="13" customFormat="1" ht="76.5" customHeight="1" outlineLevel="1" x14ac:dyDescent="0.2">
      <c r="A2306" s="1" t="s">
        <v>7763</v>
      </c>
      <c r="B2306" s="2" t="s">
        <v>5277</v>
      </c>
      <c r="C2306" s="2" t="s">
        <v>3266</v>
      </c>
      <c r="D2306" s="2" t="s">
        <v>3267</v>
      </c>
      <c r="E2306" s="2" t="s">
        <v>5153</v>
      </c>
      <c r="F2306" s="2" t="s">
        <v>392</v>
      </c>
      <c r="G2306" s="3" t="s">
        <v>3190</v>
      </c>
      <c r="H2306" s="5">
        <v>0</v>
      </c>
      <c r="I2306" s="6">
        <v>710000000</v>
      </c>
      <c r="J2306" s="4" t="s">
        <v>1931</v>
      </c>
      <c r="K2306" s="4" t="s">
        <v>756</v>
      </c>
      <c r="L2306" s="3" t="s">
        <v>1165</v>
      </c>
      <c r="M2306" s="8" t="s">
        <v>3195</v>
      </c>
      <c r="N2306" s="3" t="s">
        <v>1890</v>
      </c>
      <c r="O2306" s="8" t="s">
        <v>1935</v>
      </c>
      <c r="P2306" s="8">
        <v>796</v>
      </c>
      <c r="Q2306" s="8" t="s">
        <v>3196</v>
      </c>
      <c r="R2306" s="69">
        <v>1</v>
      </c>
      <c r="S2306" s="69">
        <v>2857.14</v>
      </c>
      <c r="T2306" s="10">
        <f t="shared" ref="T2306" si="1282">S2306*R2306</f>
        <v>2857.14</v>
      </c>
      <c r="U2306" s="10">
        <f t="shared" ref="U2306" si="1283">T2306*1.12</f>
        <v>3199.9968000000003</v>
      </c>
      <c r="V2306" s="7"/>
      <c r="W2306" s="1">
        <v>2015</v>
      </c>
      <c r="X2306" s="62"/>
    </row>
    <row r="2307" spans="1:24" s="13" customFormat="1" ht="76.5" customHeight="1" outlineLevel="1" x14ac:dyDescent="0.2">
      <c r="A2307" s="1" t="s">
        <v>3991</v>
      </c>
      <c r="B2307" s="2" t="s">
        <v>5277</v>
      </c>
      <c r="C2307" s="2" t="s">
        <v>391</v>
      </c>
      <c r="D2307" s="2" t="s">
        <v>5168</v>
      </c>
      <c r="E2307" s="2" t="s">
        <v>390</v>
      </c>
      <c r="F2307" s="2" t="s">
        <v>389</v>
      </c>
      <c r="G2307" s="3" t="s">
        <v>3190</v>
      </c>
      <c r="H2307" s="5">
        <v>0</v>
      </c>
      <c r="I2307" s="6">
        <v>710000000</v>
      </c>
      <c r="J2307" s="4" t="s">
        <v>1931</v>
      </c>
      <c r="K2307" s="4" t="s">
        <v>5297</v>
      </c>
      <c r="L2307" s="3" t="s">
        <v>1165</v>
      </c>
      <c r="M2307" s="8" t="s">
        <v>3195</v>
      </c>
      <c r="N2307" s="3" t="s">
        <v>1890</v>
      </c>
      <c r="O2307" s="8" t="s">
        <v>1935</v>
      </c>
      <c r="P2307" s="62">
        <v>839</v>
      </c>
      <c r="Q2307" s="3" t="s">
        <v>5413</v>
      </c>
      <c r="R2307" s="69">
        <v>1</v>
      </c>
      <c r="S2307" s="69">
        <v>2678.57</v>
      </c>
      <c r="T2307" s="10">
        <v>0</v>
      </c>
      <c r="U2307" s="10">
        <f t="shared" si="1229"/>
        <v>0</v>
      </c>
      <c r="V2307" s="7"/>
      <c r="W2307" s="1">
        <v>2015</v>
      </c>
      <c r="X2307" s="62">
        <v>11</v>
      </c>
    </row>
    <row r="2308" spans="1:24" s="13" customFormat="1" ht="76.5" customHeight="1" outlineLevel="1" x14ac:dyDescent="0.2">
      <c r="A2308" s="1" t="s">
        <v>7764</v>
      </c>
      <c r="B2308" s="2" t="s">
        <v>5277</v>
      </c>
      <c r="C2308" s="2" t="s">
        <v>391</v>
      </c>
      <c r="D2308" s="2" t="s">
        <v>5168</v>
      </c>
      <c r="E2308" s="2" t="s">
        <v>390</v>
      </c>
      <c r="F2308" s="2" t="s">
        <v>389</v>
      </c>
      <c r="G2308" s="3" t="s">
        <v>3190</v>
      </c>
      <c r="H2308" s="5">
        <v>0</v>
      </c>
      <c r="I2308" s="6">
        <v>710000000</v>
      </c>
      <c r="J2308" s="4" t="s">
        <v>1931</v>
      </c>
      <c r="K2308" s="4" t="s">
        <v>756</v>
      </c>
      <c r="L2308" s="3" t="s">
        <v>1165</v>
      </c>
      <c r="M2308" s="8" t="s">
        <v>3195</v>
      </c>
      <c r="N2308" s="3" t="s">
        <v>1890</v>
      </c>
      <c r="O2308" s="8" t="s">
        <v>1935</v>
      </c>
      <c r="P2308" s="62">
        <v>839</v>
      </c>
      <c r="Q2308" s="3" t="s">
        <v>5413</v>
      </c>
      <c r="R2308" s="69">
        <v>1</v>
      </c>
      <c r="S2308" s="69">
        <v>2678.57</v>
      </c>
      <c r="T2308" s="10">
        <f t="shared" ref="T2308" si="1284">S2308*R2308</f>
        <v>2678.57</v>
      </c>
      <c r="U2308" s="10">
        <f t="shared" ref="U2308" si="1285">T2308*1.12</f>
        <v>2999.9984000000004</v>
      </c>
      <c r="V2308" s="7"/>
      <c r="W2308" s="1">
        <v>2015</v>
      </c>
      <c r="X2308" s="62"/>
    </row>
    <row r="2309" spans="1:24" s="13" customFormat="1" ht="76.5" customHeight="1" outlineLevel="1" x14ac:dyDescent="0.2">
      <c r="A2309" s="1" t="s">
        <v>3992</v>
      </c>
      <c r="B2309" s="2" t="s">
        <v>5277</v>
      </c>
      <c r="C2309" s="2" t="s">
        <v>388</v>
      </c>
      <c r="D2309" s="2" t="s">
        <v>387</v>
      </c>
      <c r="E2309" s="2" t="s">
        <v>386</v>
      </c>
      <c r="F2309" s="2"/>
      <c r="G2309" s="3" t="s">
        <v>3190</v>
      </c>
      <c r="H2309" s="5">
        <v>0</v>
      </c>
      <c r="I2309" s="6">
        <v>710000000</v>
      </c>
      <c r="J2309" s="4" t="s">
        <v>1931</v>
      </c>
      <c r="K2309" s="4" t="s">
        <v>5297</v>
      </c>
      <c r="L2309" s="3" t="s">
        <v>1165</v>
      </c>
      <c r="M2309" s="8" t="s">
        <v>3195</v>
      </c>
      <c r="N2309" s="3" t="s">
        <v>1890</v>
      </c>
      <c r="O2309" s="8" t="s">
        <v>1935</v>
      </c>
      <c r="P2309" s="8">
        <v>796</v>
      </c>
      <c r="Q2309" s="8" t="s">
        <v>3196</v>
      </c>
      <c r="R2309" s="69">
        <v>1</v>
      </c>
      <c r="S2309" s="69">
        <v>2232.04</v>
      </c>
      <c r="T2309" s="10">
        <v>0</v>
      </c>
      <c r="U2309" s="10">
        <f t="shared" si="1229"/>
        <v>0</v>
      </c>
      <c r="V2309" s="7"/>
      <c r="W2309" s="1">
        <v>2015</v>
      </c>
      <c r="X2309" s="62">
        <v>11</v>
      </c>
    </row>
    <row r="2310" spans="1:24" s="13" customFormat="1" ht="76.5" customHeight="1" outlineLevel="1" x14ac:dyDescent="0.2">
      <c r="A2310" s="1" t="s">
        <v>7765</v>
      </c>
      <c r="B2310" s="2" t="s">
        <v>5277</v>
      </c>
      <c r="C2310" s="2" t="s">
        <v>388</v>
      </c>
      <c r="D2310" s="2" t="s">
        <v>387</v>
      </c>
      <c r="E2310" s="2" t="s">
        <v>386</v>
      </c>
      <c r="F2310" s="2"/>
      <c r="G2310" s="3" t="s">
        <v>3190</v>
      </c>
      <c r="H2310" s="5">
        <v>0</v>
      </c>
      <c r="I2310" s="6">
        <v>710000000</v>
      </c>
      <c r="J2310" s="4" t="s">
        <v>1931</v>
      </c>
      <c r="K2310" s="4" t="s">
        <v>756</v>
      </c>
      <c r="L2310" s="3" t="s">
        <v>1165</v>
      </c>
      <c r="M2310" s="8" t="s">
        <v>3195</v>
      </c>
      <c r="N2310" s="3" t="s">
        <v>1890</v>
      </c>
      <c r="O2310" s="8" t="s">
        <v>1935</v>
      </c>
      <c r="P2310" s="8">
        <v>796</v>
      </c>
      <c r="Q2310" s="8" t="s">
        <v>3196</v>
      </c>
      <c r="R2310" s="69">
        <v>1</v>
      </c>
      <c r="S2310" s="69">
        <v>2232.04</v>
      </c>
      <c r="T2310" s="10">
        <f t="shared" ref="T2310" si="1286">S2310*R2310</f>
        <v>2232.04</v>
      </c>
      <c r="U2310" s="10">
        <f t="shared" ref="U2310" si="1287">T2310*1.12</f>
        <v>2499.8848000000003</v>
      </c>
      <c r="V2310" s="7"/>
      <c r="W2310" s="1">
        <v>2015</v>
      </c>
      <c r="X2310" s="62"/>
    </row>
    <row r="2311" spans="1:24" s="13" customFormat="1" ht="76.5" customHeight="1" outlineLevel="1" x14ac:dyDescent="0.2">
      <c r="A2311" s="1" t="s">
        <v>3993</v>
      </c>
      <c r="B2311" s="2" t="s">
        <v>5277</v>
      </c>
      <c r="C2311" s="6" t="s">
        <v>385</v>
      </c>
      <c r="D2311" s="6" t="s">
        <v>5243</v>
      </c>
      <c r="E2311" s="6" t="s">
        <v>384</v>
      </c>
      <c r="F2311" s="2" t="s">
        <v>383</v>
      </c>
      <c r="G2311" s="3" t="s">
        <v>3190</v>
      </c>
      <c r="H2311" s="5">
        <v>0</v>
      </c>
      <c r="I2311" s="6">
        <v>710000000</v>
      </c>
      <c r="J2311" s="4" t="s">
        <v>1931</v>
      </c>
      <c r="K2311" s="4" t="s">
        <v>5297</v>
      </c>
      <c r="L2311" s="3" t="s">
        <v>1889</v>
      </c>
      <c r="M2311" s="8" t="s">
        <v>3195</v>
      </c>
      <c r="N2311" s="3" t="s">
        <v>1890</v>
      </c>
      <c r="O2311" s="8" t="s">
        <v>1935</v>
      </c>
      <c r="P2311" s="8">
        <v>796</v>
      </c>
      <c r="Q2311" s="8" t="s">
        <v>3196</v>
      </c>
      <c r="R2311" s="69">
        <v>5</v>
      </c>
      <c r="S2311" s="69">
        <v>1000.8</v>
      </c>
      <c r="T2311" s="10">
        <v>0</v>
      </c>
      <c r="U2311" s="10">
        <f t="shared" si="1229"/>
        <v>0</v>
      </c>
      <c r="V2311" s="7"/>
      <c r="W2311" s="1">
        <v>2015</v>
      </c>
      <c r="X2311" s="62">
        <v>11</v>
      </c>
    </row>
    <row r="2312" spans="1:24" s="13" customFormat="1" ht="76.5" customHeight="1" outlineLevel="1" x14ac:dyDescent="0.2">
      <c r="A2312" s="1" t="s">
        <v>7766</v>
      </c>
      <c r="B2312" s="2" t="s">
        <v>5277</v>
      </c>
      <c r="C2312" s="6" t="s">
        <v>385</v>
      </c>
      <c r="D2312" s="6" t="s">
        <v>5243</v>
      </c>
      <c r="E2312" s="6" t="s">
        <v>384</v>
      </c>
      <c r="F2312" s="2" t="s">
        <v>383</v>
      </c>
      <c r="G2312" s="3" t="s">
        <v>3190</v>
      </c>
      <c r="H2312" s="5">
        <v>0</v>
      </c>
      <c r="I2312" s="6">
        <v>710000000</v>
      </c>
      <c r="J2312" s="4" t="s">
        <v>1931</v>
      </c>
      <c r="K2312" s="4" t="s">
        <v>756</v>
      </c>
      <c r="L2312" s="3" t="s">
        <v>1889</v>
      </c>
      <c r="M2312" s="8" t="s">
        <v>3195</v>
      </c>
      <c r="N2312" s="3" t="s">
        <v>1890</v>
      </c>
      <c r="O2312" s="8" t="s">
        <v>1935</v>
      </c>
      <c r="P2312" s="8">
        <v>796</v>
      </c>
      <c r="Q2312" s="8" t="s">
        <v>3196</v>
      </c>
      <c r="R2312" s="69">
        <v>5</v>
      </c>
      <c r="S2312" s="69">
        <v>1000.8</v>
      </c>
      <c r="T2312" s="10">
        <f t="shared" ref="T2312" si="1288">S2312*R2312</f>
        <v>5004</v>
      </c>
      <c r="U2312" s="10">
        <f t="shared" ref="U2312" si="1289">T2312*1.12</f>
        <v>5604.4800000000005</v>
      </c>
      <c r="V2312" s="7"/>
      <c r="W2312" s="1">
        <v>2015</v>
      </c>
      <c r="X2312" s="62"/>
    </row>
    <row r="2313" spans="1:24" s="13" customFormat="1" ht="76.5" customHeight="1" outlineLevel="1" x14ac:dyDescent="0.2">
      <c r="A2313" s="1" t="s">
        <v>3994</v>
      </c>
      <c r="B2313" s="2" t="s">
        <v>5277</v>
      </c>
      <c r="C2313" s="2" t="s">
        <v>3806</v>
      </c>
      <c r="D2313" s="2" t="s">
        <v>5552</v>
      </c>
      <c r="E2313" s="6" t="s">
        <v>5553</v>
      </c>
      <c r="F2313" s="2"/>
      <c r="G2313" s="3" t="s">
        <v>3190</v>
      </c>
      <c r="H2313" s="5">
        <v>0</v>
      </c>
      <c r="I2313" s="6">
        <v>710000000</v>
      </c>
      <c r="J2313" s="4" t="s">
        <v>1931</v>
      </c>
      <c r="K2313" s="4" t="s">
        <v>5297</v>
      </c>
      <c r="L2313" s="3" t="s">
        <v>1889</v>
      </c>
      <c r="M2313" s="8" t="s">
        <v>3195</v>
      </c>
      <c r="N2313" s="3" t="s">
        <v>1890</v>
      </c>
      <c r="O2313" s="8" t="s">
        <v>1935</v>
      </c>
      <c r="P2313" s="8">
        <v>796</v>
      </c>
      <c r="Q2313" s="8" t="s">
        <v>3196</v>
      </c>
      <c r="R2313" s="69">
        <v>10</v>
      </c>
      <c r="S2313" s="69">
        <v>982.1</v>
      </c>
      <c r="T2313" s="10">
        <v>0</v>
      </c>
      <c r="U2313" s="10">
        <f t="shared" si="1229"/>
        <v>0</v>
      </c>
      <c r="V2313" s="7"/>
      <c r="W2313" s="1">
        <v>2015</v>
      </c>
      <c r="X2313" s="62">
        <v>11</v>
      </c>
    </row>
    <row r="2314" spans="1:24" s="13" customFormat="1" ht="76.5" customHeight="1" outlineLevel="1" x14ac:dyDescent="0.2">
      <c r="A2314" s="1" t="s">
        <v>7767</v>
      </c>
      <c r="B2314" s="2" t="s">
        <v>5277</v>
      </c>
      <c r="C2314" s="2" t="s">
        <v>3806</v>
      </c>
      <c r="D2314" s="2" t="s">
        <v>5552</v>
      </c>
      <c r="E2314" s="6" t="s">
        <v>5553</v>
      </c>
      <c r="F2314" s="2"/>
      <c r="G2314" s="3" t="s">
        <v>3190</v>
      </c>
      <c r="H2314" s="5">
        <v>0</v>
      </c>
      <c r="I2314" s="6">
        <v>710000000</v>
      </c>
      <c r="J2314" s="4" t="s">
        <v>1931</v>
      </c>
      <c r="K2314" s="4" t="s">
        <v>756</v>
      </c>
      <c r="L2314" s="3" t="s">
        <v>1889</v>
      </c>
      <c r="M2314" s="8" t="s">
        <v>3195</v>
      </c>
      <c r="N2314" s="3" t="s">
        <v>1890</v>
      </c>
      <c r="O2314" s="8" t="s">
        <v>1935</v>
      </c>
      <c r="P2314" s="8">
        <v>796</v>
      </c>
      <c r="Q2314" s="8" t="s">
        <v>3196</v>
      </c>
      <c r="R2314" s="69">
        <v>10</v>
      </c>
      <c r="S2314" s="69">
        <v>982.1</v>
      </c>
      <c r="T2314" s="10">
        <f t="shared" ref="T2314" si="1290">S2314*R2314</f>
        <v>9821</v>
      </c>
      <c r="U2314" s="10">
        <f t="shared" ref="U2314" si="1291">T2314*1.12</f>
        <v>10999.52</v>
      </c>
      <c r="V2314" s="7"/>
      <c r="W2314" s="1">
        <v>2015</v>
      </c>
      <c r="X2314" s="62"/>
    </row>
    <row r="2315" spans="1:24" s="13" customFormat="1" ht="76.5" customHeight="1" outlineLevel="1" x14ac:dyDescent="0.2">
      <c r="A2315" s="1" t="s">
        <v>3995</v>
      </c>
      <c r="B2315" s="2" t="s">
        <v>5277</v>
      </c>
      <c r="C2315" s="2" t="s">
        <v>382</v>
      </c>
      <c r="D2315" s="2" t="s">
        <v>381</v>
      </c>
      <c r="E2315" s="2" t="s">
        <v>380</v>
      </c>
      <c r="F2315" s="2"/>
      <c r="G2315" s="3" t="s">
        <v>3190</v>
      </c>
      <c r="H2315" s="5">
        <v>0</v>
      </c>
      <c r="I2315" s="6">
        <v>710000000</v>
      </c>
      <c r="J2315" s="4" t="s">
        <v>1931</v>
      </c>
      <c r="K2315" s="4" t="s">
        <v>5297</v>
      </c>
      <c r="L2315" s="3" t="s">
        <v>1889</v>
      </c>
      <c r="M2315" s="8" t="s">
        <v>3195</v>
      </c>
      <c r="N2315" s="3" t="s">
        <v>1890</v>
      </c>
      <c r="O2315" s="8" t="s">
        <v>1935</v>
      </c>
      <c r="P2315" s="62">
        <v>839</v>
      </c>
      <c r="Q2315" s="3" t="s">
        <v>5413</v>
      </c>
      <c r="R2315" s="69">
        <v>1</v>
      </c>
      <c r="S2315" s="69">
        <v>1241.96</v>
      </c>
      <c r="T2315" s="10">
        <v>0</v>
      </c>
      <c r="U2315" s="10">
        <f t="shared" si="1229"/>
        <v>0</v>
      </c>
      <c r="V2315" s="7"/>
      <c r="W2315" s="1">
        <v>2015</v>
      </c>
      <c r="X2315" s="62">
        <v>11</v>
      </c>
    </row>
    <row r="2316" spans="1:24" s="13" customFormat="1" ht="76.5" customHeight="1" outlineLevel="1" x14ac:dyDescent="0.2">
      <c r="A2316" s="1" t="s">
        <v>7768</v>
      </c>
      <c r="B2316" s="2" t="s">
        <v>5277</v>
      </c>
      <c r="C2316" s="2" t="s">
        <v>382</v>
      </c>
      <c r="D2316" s="2" t="s">
        <v>381</v>
      </c>
      <c r="E2316" s="2" t="s">
        <v>380</v>
      </c>
      <c r="F2316" s="2"/>
      <c r="G2316" s="3" t="s">
        <v>3190</v>
      </c>
      <c r="H2316" s="5">
        <v>0</v>
      </c>
      <c r="I2316" s="6">
        <v>710000000</v>
      </c>
      <c r="J2316" s="4" t="s">
        <v>1931</v>
      </c>
      <c r="K2316" s="4" t="s">
        <v>756</v>
      </c>
      <c r="L2316" s="3" t="s">
        <v>1889</v>
      </c>
      <c r="M2316" s="8" t="s">
        <v>3195</v>
      </c>
      <c r="N2316" s="3" t="s">
        <v>1890</v>
      </c>
      <c r="O2316" s="8" t="s">
        <v>1935</v>
      </c>
      <c r="P2316" s="62">
        <v>839</v>
      </c>
      <c r="Q2316" s="3" t="s">
        <v>5413</v>
      </c>
      <c r="R2316" s="69">
        <v>1</v>
      </c>
      <c r="S2316" s="69">
        <v>1241.96</v>
      </c>
      <c r="T2316" s="10">
        <f t="shared" ref="T2316" si="1292">S2316*R2316</f>
        <v>1241.96</v>
      </c>
      <c r="U2316" s="10">
        <f t="shared" ref="U2316" si="1293">T2316*1.12</f>
        <v>1390.9952000000001</v>
      </c>
      <c r="V2316" s="7"/>
      <c r="W2316" s="1">
        <v>2015</v>
      </c>
      <c r="X2316" s="62"/>
    </row>
    <row r="2317" spans="1:24" s="13" customFormat="1" ht="76.5" customHeight="1" outlineLevel="1" x14ac:dyDescent="0.2">
      <c r="A2317" s="1" t="s">
        <v>3996</v>
      </c>
      <c r="B2317" s="2" t="s">
        <v>5277</v>
      </c>
      <c r="C2317" s="2" t="s">
        <v>379</v>
      </c>
      <c r="D2317" s="2" t="s">
        <v>378</v>
      </c>
      <c r="E2317" s="2" t="s">
        <v>377</v>
      </c>
      <c r="F2317" s="2" t="s">
        <v>376</v>
      </c>
      <c r="G2317" s="3" t="s">
        <v>3190</v>
      </c>
      <c r="H2317" s="5">
        <v>0</v>
      </c>
      <c r="I2317" s="6">
        <v>710000000</v>
      </c>
      <c r="J2317" s="4" t="s">
        <v>1931</v>
      </c>
      <c r="K2317" s="4" t="s">
        <v>5297</v>
      </c>
      <c r="L2317" s="3" t="s">
        <v>1889</v>
      </c>
      <c r="M2317" s="8" t="s">
        <v>3195</v>
      </c>
      <c r="N2317" s="3" t="s">
        <v>1890</v>
      </c>
      <c r="O2317" s="8" t="s">
        <v>1935</v>
      </c>
      <c r="P2317" s="62">
        <v>704</v>
      </c>
      <c r="Q2317" s="3" t="s">
        <v>5196</v>
      </c>
      <c r="R2317" s="69">
        <v>2</v>
      </c>
      <c r="S2317" s="69">
        <v>308</v>
      </c>
      <c r="T2317" s="10">
        <v>0</v>
      </c>
      <c r="U2317" s="10">
        <f t="shared" si="1229"/>
        <v>0</v>
      </c>
      <c r="V2317" s="7"/>
      <c r="W2317" s="1">
        <v>2015</v>
      </c>
      <c r="X2317" s="62">
        <v>11</v>
      </c>
    </row>
    <row r="2318" spans="1:24" s="13" customFormat="1" ht="76.5" customHeight="1" outlineLevel="1" x14ac:dyDescent="0.2">
      <c r="A2318" s="1" t="s">
        <v>7769</v>
      </c>
      <c r="B2318" s="2" t="s">
        <v>5277</v>
      </c>
      <c r="C2318" s="2" t="s">
        <v>379</v>
      </c>
      <c r="D2318" s="2" t="s">
        <v>378</v>
      </c>
      <c r="E2318" s="2" t="s">
        <v>377</v>
      </c>
      <c r="F2318" s="2" t="s">
        <v>376</v>
      </c>
      <c r="G2318" s="3" t="s">
        <v>3190</v>
      </c>
      <c r="H2318" s="5">
        <v>0</v>
      </c>
      <c r="I2318" s="6">
        <v>710000000</v>
      </c>
      <c r="J2318" s="4" t="s">
        <v>1931</v>
      </c>
      <c r="K2318" s="4" t="s">
        <v>756</v>
      </c>
      <c r="L2318" s="3" t="s">
        <v>1889</v>
      </c>
      <c r="M2318" s="8" t="s">
        <v>3195</v>
      </c>
      <c r="N2318" s="3" t="s">
        <v>1890</v>
      </c>
      <c r="O2318" s="8" t="s">
        <v>1935</v>
      </c>
      <c r="P2318" s="62">
        <v>704</v>
      </c>
      <c r="Q2318" s="3" t="s">
        <v>5196</v>
      </c>
      <c r="R2318" s="69">
        <v>2</v>
      </c>
      <c r="S2318" s="69">
        <v>308</v>
      </c>
      <c r="T2318" s="10">
        <f t="shared" ref="T2318" si="1294">S2318*R2318</f>
        <v>616</v>
      </c>
      <c r="U2318" s="10">
        <f t="shared" ref="U2318" si="1295">T2318*1.12</f>
        <v>689.92000000000007</v>
      </c>
      <c r="V2318" s="7"/>
      <c r="W2318" s="1">
        <v>2015</v>
      </c>
      <c r="X2318" s="62"/>
    </row>
    <row r="2319" spans="1:24" s="13" customFormat="1" ht="76.5" customHeight="1" outlineLevel="1" x14ac:dyDescent="0.2">
      <c r="A2319" s="1" t="s">
        <v>3997</v>
      </c>
      <c r="B2319" s="2" t="s">
        <v>5277</v>
      </c>
      <c r="C2319" s="2" t="s">
        <v>3804</v>
      </c>
      <c r="D2319" s="2" t="s">
        <v>3805</v>
      </c>
      <c r="E2319" s="6" t="s">
        <v>9890</v>
      </c>
      <c r="F2319" s="2"/>
      <c r="G2319" s="3" t="s">
        <v>3190</v>
      </c>
      <c r="H2319" s="5">
        <v>0</v>
      </c>
      <c r="I2319" s="6">
        <v>710000000</v>
      </c>
      <c r="J2319" s="4" t="s">
        <v>1931</v>
      </c>
      <c r="K2319" s="4" t="s">
        <v>5297</v>
      </c>
      <c r="L2319" s="3" t="s">
        <v>1889</v>
      </c>
      <c r="M2319" s="8" t="s">
        <v>3195</v>
      </c>
      <c r="N2319" s="3" t="s">
        <v>1890</v>
      </c>
      <c r="O2319" s="8" t="s">
        <v>1935</v>
      </c>
      <c r="P2319" s="8">
        <v>796</v>
      </c>
      <c r="Q2319" s="8" t="s">
        <v>3196</v>
      </c>
      <c r="R2319" s="69">
        <v>1</v>
      </c>
      <c r="S2319" s="69">
        <v>2675</v>
      </c>
      <c r="T2319" s="10">
        <v>0</v>
      </c>
      <c r="U2319" s="10">
        <f t="shared" si="1229"/>
        <v>0</v>
      </c>
      <c r="V2319" s="7"/>
      <c r="W2319" s="1">
        <v>2015</v>
      </c>
      <c r="X2319" s="62">
        <v>11</v>
      </c>
    </row>
    <row r="2320" spans="1:24" s="13" customFormat="1" ht="76.5" customHeight="1" outlineLevel="1" x14ac:dyDescent="0.2">
      <c r="A2320" s="1" t="s">
        <v>7770</v>
      </c>
      <c r="B2320" s="2" t="s">
        <v>5277</v>
      </c>
      <c r="C2320" s="2" t="s">
        <v>3804</v>
      </c>
      <c r="D2320" s="2" t="s">
        <v>3805</v>
      </c>
      <c r="E2320" s="6" t="s">
        <v>9890</v>
      </c>
      <c r="F2320" s="2"/>
      <c r="G2320" s="3" t="s">
        <v>3190</v>
      </c>
      <c r="H2320" s="5">
        <v>0</v>
      </c>
      <c r="I2320" s="6">
        <v>710000000</v>
      </c>
      <c r="J2320" s="4" t="s">
        <v>1931</v>
      </c>
      <c r="K2320" s="4" t="s">
        <v>756</v>
      </c>
      <c r="L2320" s="3" t="s">
        <v>1889</v>
      </c>
      <c r="M2320" s="8" t="s">
        <v>3195</v>
      </c>
      <c r="N2320" s="3" t="s">
        <v>1890</v>
      </c>
      <c r="O2320" s="8" t="s">
        <v>1935</v>
      </c>
      <c r="P2320" s="8">
        <v>796</v>
      </c>
      <c r="Q2320" s="8" t="s">
        <v>3196</v>
      </c>
      <c r="R2320" s="69">
        <v>1</v>
      </c>
      <c r="S2320" s="69">
        <v>2675</v>
      </c>
      <c r="T2320" s="10">
        <f t="shared" ref="T2320" si="1296">S2320*R2320</f>
        <v>2675</v>
      </c>
      <c r="U2320" s="10">
        <f t="shared" ref="U2320" si="1297">T2320*1.12</f>
        <v>2996.0000000000005</v>
      </c>
      <c r="V2320" s="7"/>
      <c r="W2320" s="1">
        <v>2015</v>
      </c>
      <c r="X2320" s="62"/>
    </row>
    <row r="2321" spans="1:24" s="13" customFormat="1" ht="76.5" customHeight="1" outlineLevel="1" x14ac:dyDescent="0.2">
      <c r="A2321" s="1" t="s">
        <v>3998</v>
      </c>
      <c r="B2321" s="2" t="s">
        <v>5277</v>
      </c>
      <c r="C2321" s="2" t="s">
        <v>3792</v>
      </c>
      <c r="D2321" s="2" t="s">
        <v>5536</v>
      </c>
      <c r="E2321" s="6" t="s">
        <v>5537</v>
      </c>
      <c r="F2321" s="2"/>
      <c r="G2321" s="3" t="s">
        <v>3190</v>
      </c>
      <c r="H2321" s="5">
        <v>0</v>
      </c>
      <c r="I2321" s="6">
        <v>710000000</v>
      </c>
      <c r="J2321" s="4" t="s">
        <v>1931</v>
      </c>
      <c r="K2321" s="4" t="s">
        <v>5297</v>
      </c>
      <c r="L2321" s="3" t="s">
        <v>1889</v>
      </c>
      <c r="M2321" s="8" t="s">
        <v>3195</v>
      </c>
      <c r="N2321" s="3" t="s">
        <v>1890</v>
      </c>
      <c r="O2321" s="8" t="s">
        <v>1935</v>
      </c>
      <c r="P2321" s="8">
        <v>796</v>
      </c>
      <c r="Q2321" s="8" t="s">
        <v>3196</v>
      </c>
      <c r="R2321" s="69">
        <v>1</v>
      </c>
      <c r="S2321" s="69">
        <v>1001</v>
      </c>
      <c r="T2321" s="10">
        <v>0</v>
      </c>
      <c r="U2321" s="10">
        <f t="shared" si="1229"/>
        <v>0</v>
      </c>
      <c r="V2321" s="7"/>
      <c r="W2321" s="1">
        <v>2015</v>
      </c>
      <c r="X2321" s="62">
        <v>11</v>
      </c>
    </row>
    <row r="2322" spans="1:24" s="13" customFormat="1" ht="76.5" customHeight="1" outlineLevel="1" x14ac:dyDescent="0.2">
      <c r="A2322" s="1" t="s">
        <v>7771</v>
      </c>
      <c r="B2322" s="2" t="s">
        <v>5277</v>
      </c>
      <c r="C2322" s="2" t="s">
        <v>3792</v>
      </c>
      <c r="D2322" s="2" t="s">
        <v>5536</v>
      </c>
      <c r="E2322" s="6" t="s">
        <v>5537</v>
      </c>
      <c r="F2322" s="2"/>
      <c r="G2322" s="3" t="s">
        <v>3190</v>
      </c>
      <c r="H2322" s="5">
        <v>0</v>
      </c>
      <c r="I2322" s="6">
        <v>710000000</v>
      </c>
      <c r="J2322" s="4" t="s">
        <v>1931</v>
      </c>
      <c r="K2322" s="4" t="s">
        <v>756</v>
      </c>
      <c r="L2322" s="3" t="s">
        <v>1889</v>
      </c>
      <c r="M2322" s="8" t="s">
        <v>3195</v>
      </c>
      <c r="N2322" s="3" t="s">
        <v>1890</v>
      </c>
      <c r="O2322" s="8" t="s">
        <v>1935</v>
      </c>
      <c r="P2322" s="8">
        <v>796</v>
      </c>
      <c r="Q2322" s="8" t="s">
        <v>3196</v>
      </c>
      <c r="R2322" s="69">
        <v>1</v>
      </c>
      <c r="S2322" s="69">
        <v>1001</v>
      </c>
      <c r="T2322" s="10">
        <f t="shared" ref="T2322" si="1298">S2322*R2322</f>
        <v>1001</v>
      </c>
      <c r="U2322" s="10">
        <f t="shared" ref="U2322" si="1299">T2322*1.12</f>
        <v>1121.1200000000001</v>
      </c>
      <c r="V2322" s="7"/>
      <c r="W2322" s="1">
        <v>2015</v>
      </c>
      <c r="X2322" s="62"/>
    </row>
    <row r="2323" spans="1:24" s="13" customFormat="1" ht="76.5" customHeight="1" outlineLevel="1" x14ac:dyDescent="0.2">
      <c r="A2323" s="1" t="s">
        <v>3999</v>
      </c>
      <c r="B2323" s="2" t="s">
        <v>5277</v>
      </c>
      <c r="C2323" s="2" t="s">
        <v>375</v>
      </c>
      <c r="D2323" s="2" t="s">
        <v>374</v>
      </c>
      <c r="E2323" s="2" t="s">
        <v>373</v>
      </c>
      <c r="F2323" s="2" t="s">
        <v>372</v>
      </c>
      <c r="G2323" s="3" t="s">
        <v>3190</v>
      </c>
      <c r="H2323" s="5">
        <v>0</v>
      </c>
      <c r="I2323" s="6">
        <v>710000000</v>
      </c>
      <c r="J2323" s="4" t="s">
        <v>1931</v>
      </c>
      <c r="K2323" s="4" t="s">
        <v>5297</v>
      </c>
      <c r="L2323" s="3" t="s">
        <v>1889</v>
      </c>
      <c r="M2323" s="8" t="s">
        <v>3195</v>
      </c>
      <c r="N2323" s="3" t="s">
        <v>1890</v>
      </c>
      <c r="O2323" s="8" t="s">
        <v>1935</v>
      </c>
      <c r="P2323" s="8">
        <v>796</v>
      </c>
      <c r="Q2323" s="8" t="s">
        <v>3196</v>
      </c>
      <c r="R2323" s="69">
        <v>10</v>
      </c>
      <c r="S2323" s="69">
        <v>250</v>
      </c>
      <c r="T2323" s="10">
        <v>0</v>
      </c>
      <c r="U2323" s="10">
        <f t="shared" si="1229"/>
        <v>0</v>
      </c>
      <c r="V2323" s="7"/>
      <c r="W2323" s="1">
        <v>2015</v>
      </c>
      <c r="X2323" s="62">
        <v>11</v>
      </c>
    </row>
    <row r="2324" spans="1:24" s="13" customFormat="1" ht="76.5" customHeight="1" outlineLevel="1" x14ac:dyDescent="0.2">
      <c r="A2324" s="1" t="s">
        <v>7772</v>
      </c>
      <c r="B2324" s="2" t="s">
        <v>5277</v>
      </c>
      <c r="C2324" s="2" t="s">
        <v>375</v>
      </c>
      <c r="D2324" s="2" t="s">
        <v>374</v>
      </c>
      <c r="E2324" s="2" t="s">
        <v>373</v>
      </c>
      <c r="F2324" s="2" t="s">
        <v>372</v>
      </c>
      <c r="G2324" s="3" t="s">
        <v>3190</v>
      </c>
      <c r="H2324" s="5">
        <v>0</v>
      </c>
      <c r="I2324" s="6">
        <v>710000000</v>
      </c>
      <c r="J2324" s="4" t="s">
        <v>1931</v>
      </c>
      <c r="K2324" s="4" t="s">
        <v>756</v>
      </c>
      <c r="L2324" s="3" t="s">
        <v>1889</v>
      </c>
      <c r="M2324" s="8" t="s">
        <v>3195</v>
      </c>
      <c r="N2324" s="3" t="s">
        <v>1890</v>
      </c>
      <c r="O2324" s="8" t="s">
        <v>1935</v>
      </c>
      <c r="P2324" s="8">
        <v>796</v>
      </c>
      <c r="Q2324" s="8" t="s">
        <v>3196</v>
      </c>
      <c r="R2324" s="69">
        <v>10</v>
      </c>
      <c r="S2324" s="69">
        <v>250</v>
      </c>
      <c r="T2324" s="10">
        <f t="shared" ref="T2324" si="1300">S2324*R2324</f>
        <v>2500</v>
      </c>
      <c r="U2324" s="10">
        <f t="shared" ref="U2324" si="1301">T2324*1.12</f>
        <v>2800.0000000000005</v>
      </c>
      <c r="V2324" s="7"/>
      <c r="W2324" s="1">
        <v>2015</v>
      </c>
      <c r="X2324" s="62"/>
    </row>
    <row r="2325" spans="1:24" s="13" customFormat="1" ht="76.5" customHeight="1" outlineLevel="1" x14ac:dyDescent="0.2">
      <c r="A2325" s="1" t="s">
        <v>4000</v>
      </c>
      <c r="B2325" s="2" t="s">
        <v>5277</v>
      </c>
      <c r="C2325" s="2" t="s">
        <v>371</v>
      </c>
      <c r="D2325" s="2" t="s">
        <v>370</v>
      </c>
      <c r="E2325" s="2" t="s">
        <v>369</v>
      </c>
      <c r="F2325" s="2"/>
      <c r="G2325" s="3" t="s">
        <v>3190</v>
      </c>
      <c r="H2325" s="5">
        <v>0</v>
      </c>
      <c r="I2325" s="6">
        <v>710000000</v>
      </c>
      <c r="J2325" s="4" t="s">
        <v>1931</v>
      </c>
      <c r="K2325" s="4" t="s">
        <v>5297</v>
      </c>
      <c r="L2325" s="3" t="s">
        <v>1889</v>
      </c>
      <c r="M2325" s="8" t="s">
        <v>3195</v>
      </c>
      <c r="N2325" s="3" t="s">
        <v>1890</v>
      </c>
      <c r="O2325" s="8" t="s">
        <v>1935</v>
      </c>
      <c r="P2325" s="8">
        <v>796</v>
      </c>
      <c r="Q2325" s="8" t="s">
        <v>3196</v>
      </c>
      <c r="R2325" s="69">
        <v>5</v>
      </c>
      <c r="S2325" s="69">
        <v>267.8</v>
      </c>
      <c r="T2325" s="10">
        <v>0</v>
      </c>
      <c r="U2325" s="10">
        <f t="shared" si="1229"/>
        <v>0</v>
      </c>
      <c r="V2325" s="7"/>
      <c r="W2325" s="1">
        <v>2015</v>
      </c>
      <c r="X2325" s="62">
        <v>11</v>
      </c>
    </row>
    <row r="2326" spans="1:24" s="13" customFormat="1" ht="76.5" customHeight="1" outlineLevel="1" x14ac:dyDescent="0.2">
      <c r="A2326" s="1" t="s">
        <v>7773</v>
      </c>
      <c r="B2326" s="2" t="s">
        <v>5277</v>
      </c>
      <c r="C2326" s="2" t="s">
        <v>371</v>
      </c>
      <c r="D2326" s="2" t="s">
        <v>370</v>
      </c>
      <c r="E2326" s="2" t="s">
        <v>369</v>
      </c>
      <c r="F2326" s="2"/>
      <c r="G2326" s="3" t="s">
        <v>3190</v>
      </c>
      <c r="H2326" s="5">
        <v>0</v>
      </c>
      <c r="I2326" s="6">
        <v>710000000</v>
      </c>
      <c r="J2326" s="4" t="s">
        <v>1931</v>
      </c>
      <c r="K2326" s="4" t="s">
        <v>756</v>
      </c>
      <c r="L2326" s="3" t="s">
        <v>1889</v>
      </c>
      <c r="M2326" s="8" t="s">
        <v>3195</v>
      </c>
      <c r="N2326" s="3" t="s">
        <v>1890</v>
      </c>
      <c r="O2326" s="8" t="s">
        <v>1935</v>
      </c>
      <c r="P2326" s="8">
        <v>796</v>
      </c>
      <c r="Q2326" s="8" t="s">
        <v>3196</v>
      </c>
      <c r="R2326" s="69">
        <v>5</v>
      </c>
      <c r="S2326" s="69">
        <v>267.8</v>
      </c>
      <c r="T2326" s="10">
        <f t="shared" ref="T2326" si="1302">S2326*R2326</f>
        <v>1339</v>
      </c>
      <c r="U2326" s="10">
        <f t="shared" ref="U2326" si="1303">T2326*1.12</f>
        <v>1499.68</v>
      </c>
      <c r="V2326" s="7"/>
      <c r="W2326" s="1">
        <v>2015</v>
      </c>
      <c r="X2326" s="62"/>
    </row>
    <row r="2327" spans="1:24" s="13" customFormat="1" ht="76.5" customHeight="1" outlineLevel="1" x14ac:dyDescent="0.2">
      <c r="A2327" s="1" t="s">
        <v>4001</v>
      </c>
      <c r="B2327" s="2" t="s">
        <v>5277</v>
      </c>
      <c r="C2327" s="2" t="s">
        <v>3801</v>
      </c>
      <c r="D2327" s="2" t="s">
        <v>5547</v>
      </c>
      <c r="E2327" s="2" t="s">
        <v>5548</v>
      </c>
      <c r="F2327" s="2"/>
      <c r="G2327" s="3" t="s">
        <v>3190</v>
      </c>
      <c r="H2327" s="5">
        <v>0</v>
      </c>
      <c r="I2327" s="6">
        <v>710000000</v>
      </c>
      <c r="J2327" s="4" t="s">
        <v>1931</v>
      </c>
      <c r="K2327" s="4" t="s">
        <v>5297</v>
      </c>
      <c r="L2327" s="3" t="s">
        <v>1889</v>
      </c>
      <c r="M2327" s="8" t="s">
        <v>3195</v>
      </c>
      <c r="N2327" s="3" t="s">
        <v>1890</v>
      </c>
      <c r="O2327" s="8" t="s">
        <v>1935</v>
      </c>
      <c r="P2327" s="8">
        <v>796</v>
      </c>
      <c r="Q2327" s="8" t="s">
        <v>3196</v>
      </c>
      <c r="R2327" s="69">
        <v>1</v>
      </c>
      <c r="S2327" s="69">
        <v>1284</v>
      </c>
      <c r="T2327" s="10">
        <v>0</v>
      </c>
      <c r="U2327" s="10">
        <f t="shared" si="1229"/>
        <v>0</v>
      </c>
      <c r="V2327" s="7"/>
      <c r="W2327" s="1">
        <v>2015</v>
      </c>
      <c r="X2327" s="62">
        <v>11</v>
      </c>
    </row>
    <row r="2328" spans="1:24" s="13" customFormat="1" ht="76.5" customHeight="1" outlineLevel="1" x14ac:dyDescent="0.2">
      <c r="A2328" s="1" t="s">
        <v>7774</v>
      </c>
      <c r="B2328" s="2" t="s">
        <v>5277</v>
      </c>
      <c r="C2328" s="2" t="s">
        <v>3801</v>
      </c>
      <c r="D2328" s="2" t="s">
        <v>5547</v>
      </c>
      <c r="E2328" s="2" t="s">
        <v>5548</v>
      </c>
      <c r="F2328" s="2"/>
      <c r="G2328" s="3" t="s">
        <v>3190</v>
      </c>
      <c r="H2328" s="5">
        <v>0</v>
      </c>
      <c r="I2328" s="6">
        <v>710000000</v>
      </c>
      <c r="J2328" s="4" t="s">
        <v>1931</v>
      </c>
      <c r="K2328" s="4" t="s">
        <v>756</v>
      </c>
      <c r="L2328" s="3" t="s">
        <v>1889</v>
      </c>
      <c r="M2328" s="8" t="s">
        <v>3195</v>
      </c>
      <c r="N2328" s="3" t="s">
        <v>1890</v>
      </c>
      <c r="O2328" s="8" t="s">
        <v>1935</v>
      </c>
      <c r="P2328" s="8">
        <v>796</v>
      </c>
      <c r="Q2328" s="8" t="s">
        <v>3196</v>
      </c>
      <c r="R2328" s="69">
        <v>1</v>
      </c>
      <c r="S2328" s="69">
        <v>1284</v>
      </c>
      <c r="T2328" s="10">
        <f t="shared" ref="T2328" si="1304">S2328*R2328</f>
        <v>1284</v>
      </c>
      <c r="U2328" s="10">
        <f t="shared" ref="U2328" si="1305">T2328*1.12</f>
        <v>1438.0800000000002</v>
      </c>
      <c r="V2328" s="7"/>
      <c r="W2328" s="1">
        <v>2015</v>
      </c>
      <c r="X2328" s="62"/>
    </row>
    <row r="2329" spans="1:24" s="13" customFormat="1" ht="76.5" customHeight="1" outlineLevel="1" x14ac:dyDescent="0.2">
      <c r="A2329" s="1" t="s">
        <v>4002</v>
      </c>
      <c r="B2329" s="2" t="s">
        <v>5277</v>
      </c>
      <c r="C2329" s="2" t="s">
        <v>368</v>
      </c>
      <c r="D2329" s="2" t="s">
        <v>367</v>
      </c>
      <c r="E2329" s="2" t="s">
        <v>6478</v>
      </c>
      <c r="F2329" s="2" t="s">
        <v>366</v>
      </c>
      <c r="G2329" s="3" t="s">
        <v>3190</v>
      </c>
      <c r="H2329" s="5">
        <v>0</v>
      </c>
      <c r="I2329" s="6">
        <v>710000000</v>
      </c>
      <c r="J2329" s="4" t="s">
        <v>1931</v>
      </c>
      <c r="K2329" s="4" t="s">
        <v>5297</v>
      </c>
      <c r="L2329" s="3" t="s">
        <v>1889</v>
      </c>
      <c r="M2329" s="8" t="s">
        <v>3195</v>
      </c>
      <c r="N2329" s="3" t="s">
        <v>1890</v>
      </c>
      <c r="O2329" s="8" t="s">
        <v>1935</v>
      </c>
      <c r="P2329" s="8">
        <v>796</v>
      </c>
      <c r="Q2329" s="8" t="s">
        <v>3196</v>
      </c>
      <c r="R2329" s="69">
        <v>1</v>
      </c>
      <c r="S2329" s="69">
        <v>23808</v>
      </c>
      <c r="T2329" s="10">
        <v>0</v>
      </c>
      <c r="U2329" s="10">
        <f t="shared" si="1229"/>
        <v>0</v>
      </c>
      <c r="V2329" s="7"/>
      <c r="W2329" s="1">
        <v>2015</v>
      </c>
      <c r="X2329" s="62">
        <v>11</v>
      </c>
    </row>
    <row r="2330" spans="1:24" s="13" customFormat="1" ht="76.5" customHeight="1" outlineLevel="1" x14ac:dyDescent="0.2">
      <c r="A2330" s="1" t="s">
        <v>7775</v>
      </c>
      <c r="B2330" s="2" t="s">
        <v>5277</v>
      </c>
      <c r="C2330" s="2" t="s">
        <v>368</v>
      </c>
      <c r="D2330" s="2" t="s">
        <v>367</v>
      </c>
      <c r="E2330" s="2" t="s">
        <v>6478</v>
      </c>
      <c r="F2330" s="2" t="s">
        <v>366</v>
      </c>
      <c r="G2330" s="3" t="s">
        <v>3190</v>
      </c>
      <c r="H2330" s="5">
        <v>0</v>
      </c>
      <c r="I2330" s="6">
        <v>710000000</v>
      </c>
      <c r="J2330" s="4" t="s">
        <v>1931</v>
      </c>
      <c r="K2330" s="4" t="s">
        <v>756</v>
      </c>
      <c r="L2330" s="3" t="s">
        <v>1889</v>
      </c>
      <c r="M2330" s="8" t="s">
        <v>3195</v>
      </c>
      <c r="N2330" s="3" t="s">
        <v>1890</v>
      </c>
      <c r="O2330" s="8" t="s">
        <v>1935</v>
      </c>
      <c r="P2330" s="8">
        <v>796</v>
      </c>
      <c r="Q2330" s="8" t="s">
        <v>3196</v>
      </c>
      <c r="R2330" s="69">
        <v>1</v>
      </c>
      <c r="S2330" s="69">
        <v>23808</v>
      </c>
      <c r="T2330" s="10">
        <f>S2330*R2330</f>
        <v>23808</v>
      </c>
      <c r="U2330" s="10">
        <f>T2330*1.12</f>
        <v>26664.960000000003</v>
      </c>
      <c r="V2330" s="7"/>
      <c r="W2330" s="1">
        <v>2015</v>
      </c>
      <c r="X2330" s="62"/>
    </row>
    <row r="2331" spans="1:24" ht="76.5" customHeight="1" outlineLevel="1" x14ac:dyDescent="0.2">
      <c r="A2331" s="1" t="s">
        <v>4003</v>
      </c>
      <c r="B2331" s="220" t="s">
        <v>5277</v>
      </c>
      <c r="C2331" s="2" t="s">
        <v>365</v>
      </c>
      <c r="D2331" s="2" t="s">
        <v>364</v>
      </c>
      <c r="E2331" s="2" t="s">
        <v>363</v>
      </c>
      <c r="F2331" s="197"/>
      <c r="G2331" s="50" t="s">
        <v>3190</v>
      </c>
      <c r="H2331" s="5">
        <v>0</v>
      </c>
      <c r="I2331" s="6">
        <v>710000000</v>
      </c>
      <c r="J2331" s="4" t="s">
        <v>1931</v>
      </c>
      <c r="K2331" s="4" t="s">
        <v>5297</v>
      </c>
      <c r="L2331" s="7" t="s">
        <v>5668</v>
      </c>
      <c r="M2331" s="8" t="s">
        <v>3195</v>
      </c>
      <c r="N2331" s="3" t="s">
        <v>1890</v>
      </c>
      <c r="O2331" s="8" t="s">
        <v>1935</v>
      </c>
      <c r="P2331" s="8">
        <v>796</v>
      </c>
      <c r="Q2331" s="8" t="s">
        <v>3196</v>
      </c>
      <c r="R2331" s="221">
        <v>4</v>
      </c>
      <c r="S2331" s="221">
        <v>3248</v>
      </c>
      <c r="T2331" s="10">
        <v>0</v>
      </c>
      <c r="U2331" s="10">
        <f t="shared" si="1229"/>
        <v>0</v>
      </c>
      <c r="V2331" s="7"/>
      <c r="W2331" s="11">
        <v>2015</v>
      </c>
      <c r="X2331" s="198">
        <v>6</v>
      </c>
    </row>
    <row r="2332" spans="1:24" ht="133.5" customHeight="1" outlineLevel="1" x14ac:dyDescent="0.2">
      <c r="A2332" s="1" t="s">
        <v>6752</v>
      </c>
      <c r="B2332" s="220" t="s">
        <v>5277</v>
      </c>
      <c r="C2332" s="2" t="s">
        <v>365</v>
      </c>
      <c r="D2332" s="2" t="s">
        <v>364</v>
      </c>
      <c r="E2332" s="2" t="s">
        <v>363</v>
      </c>
      <c r="F2332" s="197" t="s">
        <v>6753</v>
      </c>
      <c r="G2332" s="50" t="s">
        <v>3190</v>
      </c>
      <c r="H2332" s="5">
        <v>0</v>
      </c>
      <c r="I2332" s="6">
        <v>710000000</v>
      </c>
      <c r="J2332" s="4" t="s">
        <v>1931</v>
      </c>
      <c r="K2332" s="4" t="s">
        <v>5297</v>
      </c>
      <c r="L2332" s="7" t="s">
        <v>5668</v>
      </c>
      <c r="M2332" s="8" t="s">
        <v>3195</v>
      </c>
      <c r="N2332" s="3" t="s">
        <v>1890</v>
      </c>
      <c r="O2332" s="8" t="s">
        <v>1935</v>
      </c>
      <c r="P2332" s="8">
        <v>796</v>
      </c>
      <c r="Q2332" s="8" t="s">
        <v>3196</v>
      </c>
      <c r="R2332" s="221">
        <v>4</v>
      </c>
      <c r="S2332" s="221">
        <v>3248</v>
      </c>
      <c r="T2332" s="10">
        <v>0</v>
      </c>
      <c r="U2332" s="10">
        <f t="shared" ref="U2332" si="1306">T2332*1.12</f>
        <v>0</v>
      </c>
      <c r="V2332" s="7"/>
      <c r="W2332" s="11">
        <v>2015</v>
      </c>
      <c r="X2332" s="198">
        <v>11</v>
      </c>
    </row>
    <row r="2333" spans="1:24" ht="133.5" customHeight="1" outlineLevel="1" x14ac:dyDescent="0.2">
      <c r="A2333" s="1" t="s">
        <v>10176</v>
      </c>
      <c r="B2333" s="220" t="s">
        <v>5277</v>
      </c>
      <c r="C2333" s="2" t="s">
        <v>365</v>
      </c>
      <c r="D2333" s="2" t="s">
        <v>364</v>
      </c>
      <c r="E2333" s="2" t="s">
        <v>363</v>
      </c>
      <c r="F2333" s="197" t="s">
        <v>6753</v>
      </c>
      <c r="G2333" s="50" t="s">
        <v>3190</v>
      </c>
      <c r="H2333" s="5">
        <v>0</v>
      </c>
      <c r="I2333" s="6">
        <v>710000000</v>
      </c>
      <c r="J2333" s="4" t="s">
        <v>1931</v>
      </c>
      <c r="K2333" s="4" t="s">
        <v>10047</v>
      </c>
      <c r="L2333" s="7" t="s">
        <v>5668</v>
      </c>
      <c r="M2333" s="8" t="s">
        <v>3195</v>
      </c>
      <c r="N2333" s="3" t="s">
        <v>1890</v>
      </c>
      <c r="O2333" s="8" t="s">
        <v>1935</v>
      </c>
      <c r="P2333" s="8">
        <v>796</v>
      </c>
      <c r="Q2333" s="8" t="s">
        <v>3196</v>
      </c>
      <c r="R2333" s="221">
        <v>4</v>
      </c>
      <c r="S2333" s="221">
        <v>3248</v>
      </c>
      <c r="T2333" s="10">
        <f t="shared" ref="T2333" si="1307">S2333*R2333</f>
        <v>12992</v>
      </c>
      <c r="U2333" s="10">
        <f t="shared" ref="U2333" si="1308">T2333*1.12</f>
        <v>14551.04</v>
      </c>
      <c r="V2333" s="7"/>
      <c r="W2333" s="11">
        <v>2015</v>
      </c>
      <c r="X2333" s="198"/>
    </row>
    <row r="2334" spans="1:24" s="13" customFormat="1" ht="76.5" customHeight="1" outlineLevel="1" x14ac:dyDescent="0.2">
      <c r="A2334" s="1" t="s">
        <v>4004</v>
      </c>
      <c r="B2334" s="2" t="s">
        <v>5277</v>
      </c>
      <c r="C2334" s="2" t="s">
        <v>361</v>
      </c>
      <c r="D2334" s="2" t="s">
        <v>360</v>
      </c>
      <c r="E2334" s="2" t="s">
        <v>359</v>
      </c>
      <c r="F2334" s="2" t="s">
        <v>362</v>
      </c>
      <c r="G2334" s="3" t="s">
        <v>3190</v>
      </c>
      <c r="H2334" s="5">
        <v>0</v>
      </c>
      <c r="I2334" s="6">
        <v>710000000</v>
      </c>
      <c r="J2334" s="4" t="s">
        <v>1931</v>
      </c>
      <c r="K2334" s="4" t="s">
        <v>5297</v>
      </c>
      <c r="L2334" s="3" t="s">
        <v>1165</v>
      </c>
      <c r="M2334" s="8" t="s">
        <v>3195</v>
      </c>
      <c r="N2334" s="3" t="s">
        <v>1890</v>
      </c>
      <c r="O2334" s="8" t="s">
        <v>1935</v>
      </c>
      <c r="P2334" s="8">
        <v>796</v>
      </c>
      <c r="Q2334" s="8" t="s">
        <v>3196</v>
      </c>
      <c r="R2334" s="69">
        <f>5000+2000+10000</f>
        <v>17000</v>
      </c>
      <c r="S2334" s="69">
        <v>2.68</v>
      </c>
      <c r="T2334" s="10">
        <v>0</v>
      </c>
      <c r="U2334" s="10">
        <f t="shared" si="1229"/>
        <v>0</v>
      </c>
      <c r="V2334" s="7"/>
      <c r="W2334" s="1">
        <v>2015</v>
      </c>
      <c r="X2334" s="62" t="s">
        <v>7518</v>
      </c>
    </row>
    <row r="2335" spans="1:24" s="13" customFormat="1" ht="76.5" customHeight="1" outlineLevel="1" x14ac:dyDescent="0.2">
      <c r="A2335" s="1" t="s">
        <v>7776</v>
      </c>
      <c r="B2335" s="2" t="s">
        <v>5277</v>
      </c>
      <c r="C2335" s="2" t="s">
        <v>361</v>
      </c>
      <c r="D2335" s="2" t="s">
        <v>360</v>
      </c>
      <c r="E2335" s="2" t="s">
        <v>359</v>
      </c>
      <c r="F2335" s="2" t="s">
        <v>362</v>
      </c>
      <c r="G2335" s="3" t="s">
        <v>3190</v>
      </c>
      <c r="H2335" s="5">
        <v>0</v>
      </c>
      <c r="I2335" s="6">
        <v>710000000</v>
      </c>
      <c r="J2335" s="4" t="s">
        <v>1931</v>
      </c>
      <c r="K2335" s="4" t="s">
        <v>756</v>
      </c>
      <c r="L2335" s="3" t="s">
        <v>1165</v>
      </c>
      <c r="M2335" s="8" t="s">
        <v>3195</v>
      </c>
      <c r="N2335" s="3" t="s">
        <v>1890</v>
      </c>
      <c r="O2335" s="8" t="s">
        <v>1935</v>
      </c>
      <c r="P2335" s="8">
        <v>796</v>
      </c>
      <c r="Q2335" s="8" t="s">
        <v>3196</v>
      </c>
      <c r="R2335" s="69">
        <f>2000+1000+7000</f>
        <v>10000</v>
      </c>
      <c r="S2335" s="69">
        <v>2.68</v>
      </c>
      <c r="T2335" s="10">
        <v>0</v>
      </c>
      <c r="U2335" s="10">
        <f t="shared" ref="U2335" si="1309">T2335*1.12</f>
        <v>0</v>
      </c>
      <c r="V2335" s="7"/>
      <c r="W2335" s="1">
        <v>2015</v>
      </c>
      <c r="X2335" s="62" t="s">
        <v>7518</v>
      </c>
    </row>
    <row r="2336" spans="1:24" s="13" customFormat="1" ht="76.5" customHeight="1" outlineLevel="1" x14ac:dyDescent="0.2">
      <c r="A2336" s="1" t="s">
        <v>9525</v>
      </c>
      <c r="B2336" s="2" t="s">
        <v>5277</v>
      </c>
      <c r="C2336" s="2" t="s">
        <v>361</v>
      </c>
      <c r="D2336" s="2" t="s">
        <v>360</v>
      </c>
      <c r="E2336" s="2" t="s">
        <v>359</v>
      </c>
      <c r="F2336" s="2" t="s">
        <v>362</v>
      </c>
      <c r="G2336" s="3" t="s">
        <v>3190</v>
      </c>
      <c r="H2336" s="5">
        <v>0</v>
      </c>
      <c r="I2336" s="6">
        <v>710000000</v>
      </c>
      <c r="J2336" s="4" t="s">
        <v>1931</v>
      </c>
      <c r="K2336" s="4" t="s">
        <v>9276</v>
      </c>
      <c r="L2336" s="3" t="s">
        <v>1165</v>
      </c>
      <c r="M2336" s="8" t="s">
        <v>3195</v>
      </c>
      <c r="N2336" s="3" t="s">
        <v>1890</v>
      </c>
      <c r="O2336" s="8" t="s">
        <v>1935</v>
      </c>
      <c r="P2336" s="8">
        <v>796</v>
      </c>
      <c r="Q2336" s="8" t="s">
        <v>3196</v>
      </c>
      <c r="R2336" s="69">
        <f>2000+1000+7000+5000</f>
        <v>15000</v>
      </c>
      <c r="S2336" s="69">
        <v>2.68</v>
      </c>
      <c r="T2336" s="10">
        <f t="shared" ref="T2336" si="1310">S2336*R2336</f>
        <v>40200</v>
      </c>
      <c r="U2336" s="10">
        <f t="shared" ref="U2336" si="1311">T2336*1.12</f>
        <v>45024.000000000007</v>
      </c>
      <c r="V2336" s="7"/>
      <c r="W2336" s="1">
        <v>2015</v>
      </c>
      <c r="X2336" s="62"/>
    </row>
    <row r="2337" spans="1:24" s="13" customFormat="1" ht="76.5" customHeight="1" outlineLevel="1" x14ac:dyDescent="0.2">
      <c r="A2337" s="1" t="s">
        <v>4005</v>
      </c>
      <c r="B2337" s="2" t="s">
        <v>5277</v>
      </c>
      <c r="C2337" s="2" t="s">
        <v>361</v>
      </c>
      <c r="D2337" s="2" t="s">
        <v>360</v>
      </c>
      <c r="E2337" s="2" t="s">
        <v>359</v>
      </c>
      <c r="F2337" s="2" t="s">
        <v>358</v>
      </c>
      <c r="G2337" s="3" t="s">
        <v>3190</v>
      </c>
      <c r="H2337" s="5">
        <v>0</v>
      </c>
      <c r="I2337" s="6">
        <v>710000000</v>
      </c>
      <c r="J2337" s="4" t="s">
        <v>1931</v>
      </c>
      <c r="K2337" s="4" t="s">
        <v>5297</v>
      </c>
      <c r="L2337" s="3" t="s">
        <v>1165</v>
      </c>
      <c r="M2337" s="8" t="s">
        <v>3195</v>
      </c>
      <c r="N2337" s="3" t="s">
        <v>1890</v>
      </c>
      <c r="O2337" s="8" t="s">
        <v>1935</v>
      </c>
      <c r="P2337" s="8">
        <v>796</v>
      </c>
      <c r="Q2337" s="8" t="s">
        <v>3196</v>
      </c>
      <c r="R2337" s="69">
        <f>1000+428</f>
        <v>1428</v>
      </c>
      <c r="S2337" s="69">
        <v>6.25</v>
      </c>
      <c r="T2337" s="10">
        <v>0</v>
      </c>
      <c r="U2337" s="10">
        <f t="shared" si="1229"/>
        <v>0</v>
      </c>
      <c r="V2337" s="7"/>
      <c r="W2337" s="1">
        <v>2015</v>
      </c>
      <c r="X2337" s="62">
        <v>11</v>
      </c>
    </row>
    <row r="2338" spans="1:24" s="13" customFormat="1" ht="76.5" customHeight="1" outlineLevel="1" x14ac:dyDescent="0.2">
      <c r="A2338" s="1" t="s">
        <v>7777</v>
      </c>
      <c r="B2338" s="2" t="s">
        <v>5277</v>
      </c>
      <c r="C2338" s="2" t="s">
        <v>361</v>
      </c>
      <c r="D2338" s="2" t="s">
        <v>360</v>
      </c>
      <c r="E2338" s="2" t="s">
        <v>359</v>
      </c>
      <c r="F2338" s="2" t="s">
        <v>358</v>
      </c>
      <c r="G2338" s="3" t="s">
        <v>3190</v>
      </c>
      <c r="H2338" s="5">
        <v>0</v>
      </c>
      <c r="I2338" s="6">
        <v>710000000</v>
      </c>
      <c r="J2338" s="4" t="s">
        <v>1931</v>
      </c>
      <c r="K2338" s="4" t="s">
        <v>756</v>
      </c>
      <c r="L2338" s="3" t="s">
        <v>1165</v>
      </c>
      <c r="M2338" s="8" t="s">
        <v>3195</v>
      </c>
      <c r="N2338" s="3" t="s">
        <v>1890</v>
      </c>
      <c r="O2338" s="8" t="s">
        <v>1935</v>
      </c>
      <c r="P2338" s="8">
        <v>796</v>
      </c>
      <c r="Q2338" s="8" t="s">
        <v>3196</v>
      </c>
      <c r="R2338" s="69">
        <f>1000+428</f>
        <v>1428</v>
      </c>
      <c r="S2338" s="69">
        <v>6.25</v>
      </c>
      <c r="T2338" s="10">
        <f t="shared" ref="T2338" si="1312">S2338*R2338</f>
        <v>8925</v>
      </c>
      <c r="U2338" s="10">
        <f t="shared" ref="U2338" si="1313">T2338*1.12</f>
        <v>9996.0000000000018</v>
      </c>
      <c r="V2338" s="7"/>
      <c r="W2338" s="1">
        <v>2015</v>
      </c>
      <c r="X2338" s="62"/>
    </row>
    <row r="2339" spans="1:24" s="13" customFormat="1" ht="76.5" customHeight="1" outlineLevel="1" x14ac:dyDescent="0.2">
      <c r="A2339" s="1" t="s">
        <v>4006</v>
      </c>
      <c r="B2339" s="2" t="s">
        <v>5277</v>
      </c>
      <c r="C2339" s="2" t="s">
        <v>5137</v>
      </c>
      <c r="D2339" s="2" t="s">
        <v>3328</v>
      </c>
      <c r="E2339" s="2" t="s">
        <v>5473</v>
      </c>
      <c r="F2339" s="2" t="s">
        <v>357</v>
      </c>
      <c r="G2339" s="3" t="s">
        <v>3190</v>
      </c>
      <c r="H2339" s="5">
        <v>0</v>
      </c>
      <c r="I2339" s="6">
        <v>710000000</v>
      </c>
      <c r="J2339" s="4" t="s">
        <v>1931</v>
      </c>
      <c r="K2339" s="4" t="s">
        <v>5297</v>
      </c>
      <c r="L2339" s="3" t="s">
        <v>1165</v>
      </c>
      <c r="M2339" s="8" t="s">
        <v>3195</v>
      </c>
      <c r="N2339" s="3" t="s">
        <v>1890</v>
      </c>
      <c r="O2339" s="8" t="s">
        <v>1935</v>
      </c>
      <c r="P2339" s="8">
        <v>796</v>
      </c>
      <c r="Q2339" s="8" t="s">
        <v>3196</v>
      </c>
      <c r="R2339" s="69">
        <v>1000</v>
      </c>
      <c r="S2339" s="69">
        <v>5</v>
      </c>
      <c r="T2339" s="10">
        <v>0</v>
      </c>
      <c r="U2339" s="10">
        <f t="shared" si="1229"/>
        <v>0</v>
      </c>
      <c r="V2339" s="7"/>
      <c r="W2339" s="1">
        <v>2015</v>
      </c>
      <c r="X2339" s="62" t="s">
        <v>7518</v>
      </c>
    </row>
    <row r="2340" spans="1:24" s="13" customFormat="1" ht="76.5" customHeight="1" outlineLevel="1" x14ac:dyDescent="0.2">
      <c r="A2340" s="1" t="s">
        <v>7778</v>
      </c>
      <c r="B2340" s="2" t="s">
        <v>5277</v>
      </c>
      <c r="C2340" s="2" t="s">
        <v>5137</v>
      </c>
      <c r="D2340" s="2" t="s">
        <v>3328</v>
      </c>
      <c r="E2340" s="2" t="s">
        <v>5473</v>
      </c>
      <c r="F2340" s="2" t="s">
        <v>357</v>
      </c>
      <c r="G2340" s="3" t="s">
        <v>3190</v>
      </c>
      <c r="H2340" s="5">
        <v>0</v>
      </c>
      <c r="I2340" s="6">
        <v>710000000</v>
      </c>
      <c r="J2340" s="4" t="s">
        <v>1931</v>
      </c>
      <c r="K2340" s="4" t="s">
        <v>756</v>
      </c>
      <c r="L2340" s="3" t="s">
        <v>1165</v>
      </c>
      <c r="M2340" s="8" t="s">
        <v>3195</v>
      </c>
      <c r="N2340" s="3" t="s">
        <v>1890</v>
      </c>
      <c r="O2340" s="8" t="s">
        <v>1935</v>
      </c>
      <c r="P2340" s="8">
        <v>796</v>
      </c>
      <c r="Q2340" s="8" t="s">
        <v>3196</v>
      </c>
      <c r="R2340" s="69">
        <v>500</v>
      </c>
      <c r="S2340" s="69">
        <v>5</v>
      </c>
      <c r="T2340" s="10">
        <f t="shared" ref="T2340" si="1314">S2340*R2340</f>
        <v>2500</v>
      </c>
      <c r="U2340" s="10">
        <f t="shared" ref="U2340" si="1315">T2340*1.12</f>
        <v>2800.0000000000005</v>
      </c>
      <c r="V2340" s="7"/>
      <c r="W2340" s="1">
        <v>2015</v>
      </c>
      <c r="X2340" s="62"/>
    </row>
    <row r="2341" spans="1:24" s="13" customFormat="1" ht="76.5" customHeight="1" outlineLevel="1" x14ac:dyDescent="0.2">
      <c r="A2341" s="1" t="s">
        <v>4007</v>
      </c>
      <c r="B2341" s="2" t="s">
        <v>5277</v>
      </c>
      <c r="C2341" s="2" t="s">
        <v>5137</v>
      </c>
      <c r="D2341" s="2" t="s">
        <v>3328</v>
      </c>
      <c r="E2341" s="2" t="s">
        <v>5473</v>
      </c>
      <c r="F2341" s="2" t="s">
        <v>356</v>
      </c>
      <c r="G2341" s="3" t="s">
        <v>3190</v>
      </c>
      <c r="H2341" s="5">
        <v>0</v>
      </c>
      <c r="I2341" s="6">
        <v>710000000</v>
      </c>
      <c r="J2341" s="4" t="s">
        <v>1931</v>
      </c>
      <c r="K2341" s="4" t="s">
        <v>5297</v>
      </c>
      <c r="L2341" s="3" t="s">
        <v>1165</v>
      </c>
      <c r="M2341" s="8" t="s">
        <v>3195</v>
      </c>
      <c r="N2341" s="3" t="s">
        <v>1890</v>
      </c>
      <c r="O2341" s="8" t="s">
        <v>1935</v>
      </c>
      <c r="P2341" s="8">
        <v>796</v>
      </c>
      <c r="Q2341" s="8" t="s">
        <v>3196</v>
      </c>
      <c r="R2341" s="69">
        <v>415</v>
      </c>
      <c r="S2341" s="69">
        <v>8.6</v>
      </c>
      <c r="T2341" s="10">
        <v>0</v>
      </c>
      <c r="U2341" s="10">
        <f t="shared" si="1229"/>
        <v>0</v>
      </c>
      <c r="V2341" s="7"/>
      <c r="W2341" s="1">
        <v>2015</v>
      </c>
      <c r="X2341" s="62" t="s">
        <v>7518</v>
      </c>
    </row>
    <row r="2342" spans="1:24" s="13" customFormat="1" ht="76.5" outlineLevel="1" x14ac:dyDescent="0.2">
      <c r="A2342" s="1" t="s">
        <v>7779</v>
      </c>
      <c r="B2342" s="2" t="s">
        <v>5277</v>
      </c>
      <c r="C2342" s="2" t="s">
        <v>5137</v>
      </c>
      <c r="D2342" s="2" t="s">
        <v>3328</v>
      </c>
      <c r="E2342" s="2" t="s">
        <v>5473</v>
      </c>
      <c r="F2342" s="2" t="s">
        <v>356</v>
      </c>
      <c r="G2342" s="3" t="s">
        <v>3190</v>
      </c>
      <c r="H2342" s="5">
        <v>0</v>
      </c>
      <c r="I2342" s="6">
        <v>710000000</v>
      </c>
      <c r="J2342" s="4" t="s">
        <v>1931</v>
      </c>
      <c r="K2342" s="4" t="s">
        <v>756</v>
      </c>
      <c r="L2342" s="3" t="s">
        <v>1165</v>
      </c>
      <c r="M2342" s="8" t="s">
        <v>3195</v>
      </c>
      <c r="N2342" s="3" t="s">
        <v>1890</v>
      </c>
      <c r="O2342" s="8" t="s">
        <v>1935</v>
      </c>
      <c r="P2342" s="8">
        <v>796</v>
      </c>
      <c r="Q2342" s="8" t="s">
        <v>3196</v>
      </c>
      <c r="R2342" s="69">
        <v>200</v>
      </c>
      <c r="S2342" s="69">
        <v>8.6</v>
      </c>
      <c r="T2342" s="10">
        <v>0</v>
      </c>
      <c r="U2342" s="10">
        <f t="shared" ref="U2342" si="1316">T2342*1.12</f>
        <v>0</v>
      </c>
      <c r="V2342" s="7"/>
      <c r="W2342" s="1">
        <v>2015</v>
      </c>
      <c r="X2342" s="4" t="s">
        <v>7518</v>
      </c>
    </row>
    <row r="2343" spans="1:24" s="13" customFormat="1" ht="76.5" outlineLevel="1" x14ac:dyDescent="0.2">
      <c r="A2343" s="1" t="s">
        <v>9279</v>
      </c>
      <c r="B2343" s="2" t="s">
        <v>5277</v>
      </c>
      <c r="C2343" s="2" t="s">
        <v>5137</v>
      </c>
      <c r="D2343" s="2" t="s">
        <v>3328</v>
      </c>
      <c r="E2343" s="2" t="s">
        <v>5473</v>
      </c>
      <c r="F2343" s="2" t="s">
        <v>356</v>
      </c>
      <c r="G2343" s="3" t="s">
        <v>3190</v>
      </c>
      <c r="H2343" s="5">
        <v>0</v>
      </c>
      <c r="I2343" s="6">
        <v>710000000</v>
      </c>
      <c r="J2343" s="4" t="s">
        <v>1931</v>
      </c>
      <c r="K2343" s="4" t="s">
        <v>9276</v>
      </c>
      <c r="L2343" s="3" t="s">
        <v>1165</v>
      </c>
      <c r="M2343" s="8" t="s">
        <v>3195</v>
      </c>
      <c r="N2343" s="3" t="s">
        <v>1890</v>
      </c>
      <c r="O2343" s="8" t="s">
        <v>1935</v>
      </c>
      <c r="P2343" s="8">
        <v>796</v>
      </c>
      <c r="Q2343" s="8" t="s">
        <v>3196</v>
      </c>
      <c r="R2343" s="69">
        <f>200+3000+3000+6000</f>
        <v>12200</v>
      </c>
      <c r="S2343" s="69">
        <v>8.6</v>
      </c>
      <c r="T2343" s="10">
        <v>0</v>
      </c>
      <c r="U2343" s="10">
        <f t="shared" ref="U2343" si="1317">T2343*1.12</f>
        <v>0</v>
      </c>
      <c r="V2343" s="7"/>
      <c r="W2343" s="1">
        <v>2015</v>
      </c>
      <c r="X2343" s="62" t="s">
        <v>6562</v>
      </c>
    </row>
    <row r="2344" spans="1:24" s="13" customFormat="1" ht="76.5" outlineLevel="1" x14ac:dyDescent="0.2">
      <c r="A2344" s="1" t="s">
        <v>9536</v>
      </c>
      <c r="B2344" s="2" t="s">
        <v>5277</v>
      </c>
      <c r="C2344" s="2" t="s">
        <v>5137</v>
      </c>
      <c r="D2344" s="2" t="s">
        <v>3328</v>
      </c>
      <c r="E2344" s="2" t="s">
        <v>5473</v>
      </c>
      <c r="F2344" s="2" t="s">
        <v>356</v>
      </c>
      <c r="G2344" s="3" t="s">
        <v>3190</v>
      </c>
      <c r="H2344" s="5">
        <v>0</v>
      </c>
      <c r="I2344" s="6">
        <v>710000000</v>
      </c>
      <c r="J2344" s="4" t="s">
        <v>1931</v>
      </c>
      <c r="K2344" s="4" t="s">
        <v>9276</v>
      </c>
      <c r="L2344" s="3" t="s">
        <v>1165</v>
      </c>
      <c r="M2344" s="8" t="s">
        <v>3195</v>
      </c>
      <c r="N2344" s="3" t="s">
        <v>1890</v>
      </c>
      <c r="O2344" s="8" t="s">
        <v>1935</v>
      </c>
      <c r="P2344" s="8">
        <v>796</v>
      </c>
      <c r="Q2344" s="8" t="s">
        <v>3196</v>
      </c>
      <c r="R2344" s="69">
        <f>200+3000+3000+6000+3000</f>
        <v>15200</v>
      </c>
      <c r="S2344" s="69">
        <v>8.6</v>
      </c>
      <c r="T2344" s="10">
        <f t="shared" ref="T2344" si="1318">S2344*R2344</f>
        <v>130720</v>
      </c>
      <c r="U2344" s="10">
        <f t="shared" ref="U2344" si="1319">T2344*1.12</f>
        <v>146406.40000000002</v>
      </c>
      <c r="V2344" s="7"/>
      <c r="W2344" s="1">
        <v>2015</v>
      </c>
      <c r="X2344" s="62"/>
    </row>
    <row r="2345" spans="1:24" s="13" customFormat="1" ht="76.5" customHeight="1" outlineLevel="1" x14ac:dyDescent="0.2">
      <c r="A2345" s="1" t="s">
        <v>4008</v>
      </c>
      <c r="B2345" s="2" t="s">
        <v>5277</v>
      </c>
      <c r="C2345" s="2" t="s">
        <v>355</v>
      </c>
      <c r="D2345" s="2" t="s">
        <v>3328</v>
      </c>
      <c r="E2345" s="2" t="s">
        <v>354</v>
      </c>
      <c r="F2345" s="2" t="s">
        <v>353</v>
      </c>
      <c r="G2345" s="3" t="s">
        <v>3190</v>
      </c>
      <c r="H2345" s="5">
        <v>0</v>
      </c>
      <c r="I2345" s="6">
        <v>710000000</v>
      </c>
      <c r="J2345" s="4" t="s">
        <v>1931</v>
      </c>
      <c r="K2345" s="4" t="s">
        <v>5297</v>
      </c>
      <c r="L2345" s="3" t="s">
        <v>1165</v>
      </c>
      <c r="M2345" s="8" t="s">
        <v>3195</v>
      </c>
      <c r="N2345" s="3" t="s">
        <v>1890</v>
      </c>
      <c r="O2345" s="8" t="s">
        <v>1935</v>
      </c>
      <c r="P2345" s="8">
        <v>796</v>
      </c>
      <c r="Q2345" s="8" t="s">
        <v>3196</v>
      </c>
      <c r="R2345" s="69">
        <v>664</v>
      </c>
      <c r="S2345" s="69">
        <v>2.68</v>
      </c>
      <c r="T2345" s="10">
        <v>0</v>
      </c>
      <c r="U2345" s="10">
        <f t="shared" si="1229"/>
        <v>0</v>
      </c>
      <c r="V2345" s="7"/>
      <c r="W2345" s="1">
        <v>2015</v>
      </c>
      <c r="X2345" s="62" t="s">
        <v>7518</v>
      </c>
    </row>
    <row r="2346" spans="1:24" s="13" customFormat="1" ht="76.5" customHeight="1" outlineLevel="1" x14ac:dyDescent="0.2">
      <c r="A2346" s="1" t="s">
        <v>7780</v>
      </c>
      <c r="B2346" s="2" t="s">
        <v>5277</v>
      </c>
      <c r="C2346" s="2" t="s">
        <v>355</v>
      </c>
      <c r="D2346" s="2" t="s">
        <v>3328</v>
      </c>
      <c r="E2346" s="2" t="s">
        <v>354</v>
      </c>
      <c r="F2346" s="2" t="s">
        <v>353</v>
      </c>
      <c r="G2346" s="3" t="s">
        <v>3190</v>
      </c>
      <c r="H2346" s="5">
        <v>0</v>
      </c>
      <c r="I2346" s="6">
        <v>710000000</v>
      </c>
      <c r="J2346" s="4" t="s">
        <v>1931</v>
      </c>
      <c r="K2346" s="4" t="s">
        <v>756</v>
      </c>
      <c r="L2346" s="3" t="s">
        <v>1165</v>
      </c>
      <c r="M2346" s="8" t="s">
        <v>3195</v>
      </c>
      <c r="N2346" s="3" t="s">
        <v>1890</v>
      </c>
      <c r="O2346" s="8" t="s">
        <v>1935</v>
      </c>
      <c r="P2346" s="8">
        <v>796</v>
      </c>
      <c r="Q2346" s="8" t="s">
        <v>3196</v>
      </c>
      <c r="R2346" s="69">
        <v>300</v>
      </c>
      <c r="S2346" s="69">
        <v>2.68</v>
      </c>
      <c r="T2346" s="10">
        <f t="shared" ref="T2346" si="1320">S2346*R2346</f>
        <v>804</v>
      </c>
      <c r="U2346" s="10">
        <f t="shared" ref="U2346" si="1321">T2346*1.12</f>
        <v>900.48000000000013</v>
      </c>
      <c r="V2346" s="7"/>
      <c r="W2346" s="1">
        <v>2015</v>
      </c>
      <c r="X2346" s="62"/>
    </row>
    <row r="2347" spans="1:24" s="13" customFormat="1" ht="76.5" customHeight="1" outlineLevel="1" x14ac:dyDescent="0.2">
      <c r="A2347" s="1" t="s">
        <v>4009</v>
      </c>
      <c r="B2347" s="2" t="s">
        <v>5277</v>
      </c>
      <c r="C2347" s="2" t="s">
        <v>352</v>
      </c>
      <c r="D2347" s="2" t="s">
        <v>3328</v>
      </c>
      <c r="E2347" s="2" t="s">
        <v>351</v>
      </c>
      <c r="F2347" s="2" t="s">
        <v>350</v>
      </c>
      <c r="G2347" s="3" t="s">
        <v>3190</v>
      </c>
      <c r="H2347" s="5">
        <v>0</v>
      </c>
      <c r="I2347" s="6">
        <v>710000000</v>
      </c>
      <c r="J2347" s="4" t="s">
        <v>1931</v>
      </c>
      <c r="K2347" s="4" t="s">
        <v>5297</v>
      </c>
      <c r="L2347" s="3" t="s">
        <v>1165</v>
      </c>
      <c r="M2347" s="8" t="s">
        <v>3195</v>
      </c>
      <c r="N2347" s="3" t="s">
        <v>1890</v>
      </c>
      <c r="O2347" s="8" t="s">
        <v>1935</v>
      </c>
      <c r="P2347" s="8">
        <v>796</v>
      </c>
      <c r="Q2347" s="8" t="s">
        <v>3196</v>
      </c>
      <c r="R2347" s="69">
        <v>498</v>
      </c>
      <c r="S2347" s="69">
        <v>3.57</v>
      </c>
      <c r="T2347" s="10">
        <v>0</v>
      </c>
      <c r="U2347" s="10">
        <f t="shared" si="1229"/>
        <v>0</v>
      </c>
      <c r="V2347" s="7"/>
      <c r="W2347" s="1">
        <v>2015</v>
      </c>
      <c r="X2347" s="62" t="s">
        <v>7518</v>
      </c>
    </row>
    <row r="2348" spans="1:24" s="13" customFormat="1" ht="76.5" outlineLevel="1" x14ac:dyDescent="0.2">
      <c r="A2348" s="1" t="s">
        <v>7781</v>
      </c>
      <c r="B2348" s="2" t="s">
        <v>5277</v>
      </c>
      <c r="C2348" s="2" t="s">
        <v>352</v>
      </c>
      <c r="D2348" s="2" t="s">
        <v>3328</v>
      </c>
      <c r="E2348" s="2" t="s">
        <v>351</v>
      </c>
      <c r="F2348" s="2" t="s">
        <v>350</v>
      </c>
      <c r="G2348" s="3" t="s">
        <v>3190</v>
      </c>
      <c r="H2348" s="5">
        <v>0</v>
      </c>
      <c r="I2348" s="6">
        <v>710000000</v>
      </c>
      <c r="J2348" s="4" t="s">
        <v>1931</v>
      </c>
      <c r="K2348" s="4" t="s">
        <v>756</v>
      </c>
      <c r="L2348" s="3" t="s">
        <v>1165</v>
      </c>
      <c r="M2348" s="8" t="s">
        <v>3195</v>
      </c>
      <c r="N2348" s="3" t="s">
        <v>1890</v>
      </c>
      <c r="O2348" s="8" t="s">
        <v>1935</v>
      </c>
      <c r="P2348" s="8">
        <v>796</v>
      </c>
      <c r="Q2348" s="8" t="s">
        <v>3196</v>
      </c>
      <c r="R2348" s="69">
        <v>300</v>
      </c>
      <c r="S2348" s="69">
        <v>3.57</v>
      </c>
      <c r="T2348" s="10">
        <v>0</v>
      </c>
      <c r="U2348" s="10">
        <f t="shared" ref="U2348" si="1322">T2348*1.12</f>
        <v>0</v>
      </c>
      <c r="V2348" s="7"/>
      <c r="W2348" s="1">
        <v>2015</v>
      </c>
      <c r="X2348" s="62" t="s">
        <v>7518</v>
      </c>
    </row>
    <row r="2349" spans="1:24" s="13" customFormat="1" ht="76.5" outlineLevel="1" x14ac:dyDescent="0.2">
      <c r="A2349" s="1" t="s">
        <v>9285</v>
      </c>
      <c r="B2349" s="2" t="s">
        <v>5277</v>
      </c>
      <c r="C2349" s="2" t="s">
        <v>352</v>
      </c>
      <c r="D2349" s="2" t="s">
        <v>3328</v>
      </c>
      <c r="E2349" s="2" t="s">
        <v>351</v>
      </c>
      <c r="F2349" s="2" t="s">
        <v>350</v>
      </c>
      <c r="G2349" s="3" t="s">
        <v>3190</v>
      </c>
      <c r="H2349" s="5">
        <v>0</v>
      </c>
      <c r="I2349" s="6">
        <v>710000000</v>
      </c>
      <c r="J2349" s="4" t="s">
        <v>1931</v>
      </c>
      <c r="K2349" s="4" t="s">
        <v>9276</v>
      </c>
      <c r="L2349" s="3" t="s">
        <v>1165</v>
      </c>
      <c r="M2349" s="8" t="s">
        <v>3195</v>
      </c>
      <c r="N2349" s="3" t="s">
        <v>1890</v>
      </c>
      <c r="O2349" s="8" t="s">
        <v>1935</v>
      </c>
      <c r="P2349" s="8">
        <v>796</v>
      </c>
      <c r="Q2349" s="8" t="s">
        <v>3196</v>
      </c>
      <c r="R2349" s="69">
        <f>300+6000</f>
        <v>6300</v>
      </c>
      <c r="S2349" s="69">
        <v>3.57</v>
      </c>
      <c r="T2349" s="10">
        <f t="shared" ref="T2349" si="1323">S2349*R2349</f>
        <v>22491</v>
      </c>
      <c r="U2349" s="10">
        <f t="shared" ref="U2349" si="1324">T2349*1.12</f>
        <v>25189.920000000002</v>
      </c>
      <c r="V2349" s="7"/>
      <c r="W2349" s="1">
        <v>2015</v>
      </c>
      <c r="X2349" s="62"/>
    </row>
    <row r="2350" spans="1:24" s="13" customFormat="1" ht="76.5" customHeight="1" outlineLevel="1" x14ac:dyDescent="0.2">
      <c r="A2350" s="1" t="s">
        <v>4010</v>
      </c>
      <c r="B2350" s="2" t="s">
        <v>5277</v>
      </c>
      <c r="C2350" s="2" t="s">
        <v>349</v>
      </c>
      <c r="D2350" s="2" t="s">
        <v>3328</v>
      </c>
      <c r="E2350" s="2" t="s">
        <v>348</v>
      </c>
      <c r="F2350" s="2" t="s">
        <v>347</v>
      </c>
      <c r="G2350" s="3" t="s">
        <v>3190</v>
      </c>
      <c r="H2350" s="5">
        <v>0</v>
      </c>
      <c r="I2350" s="6">
        <v>710000000</v>
      </c>
      <c r="J2350" s="4" t="s">
        <v>1931</v>
      </c>
      <c r="K2350" s="4" t="s">
        <v>5297</v>
      </c>
      <c r="L2350" s="3" t="s">
        <v>1165</v>
      </c>
      <c r="M2350" s="8" t="s">
        <v>3195</v>
      </c>
      <c r="N2350" s="3" t="s">
        <v>1890</v>
      </c>
      <c r="O2350" s="8" t="s">
        <v>1935</v>
      </c>
      <c r="P2350" s="8">
        <v>796</v>
      </c>
      <c r="Q2350" s="8" t="s">
        <v>3196</v>
      </c>
      <c r="R2350" s="69">
        <v>3739</v>
      </c>
      <c r="S2350" s="69">
        <v>3.57</v>
      </c>
      <c r="T2350" s="10">
        <v>0</v>
      </c>
      <c r="U2350" s="10">
        <f t="shared" si="1229"/>
        <v>0</v>
      </c>
      <c r="V2350" s="7"/>
      <c r="W2350" s="1">
        <v>2015</v>
      </c>
      <c r="X2350" s="62" t="s">
        <v>7518</v>
      </c>
    </row>
    <row r="2351" spans="1:24" s="13" customFormat="1" ht="76.5" customHeight="1" outlineLevel="1" x14ac:dyDescent="0.2">
      <c r="A2351" s="1" t="s">
        <v>7782</v>
      </c>
      <c r="B2351" s="2" t="s">
        <v>5277</v>
      </c>
      <c r="C2351" s="2" t="s">
        <v>349</v>
      </c>
      <c r="D2351" s="2" t="s">
        <v>3328</v>
      </c>
      <c r="E2351" s="2" t="s">
        <v>348</v>
      </c>
      <c r="F2351" s="2" t="s">
        <v>347</v>
      </c>
      <c r="G2351" s="3" t="s">
        <v>3190</v>
      </c>
      <c r="H2351" s="5">
        <v>0</v>
      </c>
      <c r="I2351" s="6">
        <v>710000000</v>
      </c>
      <c r="J2351" s="4" t="s">
        <v>1931</v>
      </c>
      <c r="K2351" s="4" t="s">
        <v>756</v>
      </c>
      <c r="L2351" s="3" t="s">
        <v>1165</v>
      </c>
      <c r="M2351" s="8" t="s">
        <v>3195</v>
      </c>
      <c r="N2351" s="3" t="s">
        <v>1890</v>
      </c>
      <c r="O2351" s="8" t="s">
        <v>1935</v>
      </c>
      <c r="P2351" s="8">
        <v>796</v>
      </c>
      <c r="Q2351" s="8" t="s">
        <v>3196</v>
      </c>
      <c r="R2351" s="69">
        <v>2000</v>
      </c>
      <c r="S2351" s="69">
        <v>3.57</v>
      </c>
      <c r="T2351" s="10">
        <f t="shared" ref="T2351" si="1325">S2351*R2351</f>
        <v>7140</v>
      </c>
      <c r="U2351" s="10">
        <f t="shared" ref="U2351" si="1326">T2351*1.12</f>
        <v>7996.8000000000011</v>
      </c>
      <c r="V2351" s="7"/>
      <c r="W2351" s="1">
        <v>2015</v>
      </c>
      <c r="X2351" s="62"/>
    </row>
    <row r="2352" spans="1:24" s="13" customFormat="1" ht="76.5" customHeight="1" outlineLevel="1" x14ac:dyDescent="0.2">
      <c r="A2352" s="1" t="s">
        <v>4011</v>
      </c>
      <c r="B2352" s="2" t="s">
        <v>5277</v>
      </c>
      <c r="C2352" s="2" t="s">
        <v>5137</v>
      </c>
      <c r="D2352" s="2" t="s">
        <v>3328</v>
      </c>
      <c r="E2352" s="2" t="s">
        <v>5473</v>
      </c>
      <c r="F2352" s="2" t="s">
        <v>346</v>
      </c>
      <c r="G2352" s="3" t="s">
        <v>3190</v>
      </c>
      <c r="H2352" s="5">
        <v>0</v>
      </c>
      <c r="I2352" s="6">
        <v>710000000</v>
      </c>
      <c r="J2352" s="4" t="s">
        <v>1931</v>
      </c>
      <c r="K2352" s="4" t="s">
        <v>5297</v>
      </c>
      <c r="L2352" s="3" t="s">
        <v>1165</v>
      </c>
      <c r="M2352" s="8" t="s">
        <v>3195</v>
      </c>
      <c r="N2352" s="3" t="s">
        <v>1890</v>
      </c>
      <c r="O2352" s="8" t="s">
        <v>1935</v>
      </c>
      <c r="P2352" s="8">
        <v>796</v>
      </c>
      <c r="Q2352" s="8" t="s">
        <v>3196</v>
      </c>
      <c r="R2352" s="69">
        <v>373</v>
      </c>
      <c r="S2352" s="69">
        <v>3.57</v>
      </c>
      <c r="T2352" s="10">
        <v>0</v>
      </c>
      <c r="U2352" s="10">
        <f t="shared" si="1229"/>
        <v>0</v>
      </c>
      <c r="V2352" s="7"/>
      <c r="W2352" s="1">
        <v>2015</v>
      </c>
      <c r="X2352" s="62" t="s">
        <v>7518</v>
      </c>
    </row>
    <row r="2353" spans="1:24" s="13" customFormat="1" ht="76.5" outlineLevel="1" x14ac:dyDescent="0.2">
      <c r="A2353" s="1" t="s">
        <v>7783</v>
      </c>
      <c r="B2353" s="2" t="s">
        <v>5277</v>
      </c>
      <c r="C2353" s="2" t="s">
        <v>5137</v>
      </c>
      <c r="D2353" s="2" t="s">
        <v>3328</v>
      </c>
      <c r="E2353" s="2" t="s">
        <v>5473</v>
      </c>
      <c r="F2353" s="2" t="s">
        <v>346</v>
      </c>
      <c r="G2353" s="3" t="s">
        <v>3190</v>
      </c>
      <c r="H2353" s="5">
        <v>0</v>
      </c>
      <c r="I2353" s="6">
        <v>710000000</v>
      </c>
      <c r="J2353" s="4" t="s">
        <v>1931</v>
      </c>
      <c r="K2353" s="4" t="s">
        <v>756</v>
      </c>
      <c r="L2353" s="3" t="s">
        <v>1165</v>
      </c>
      <c r="M2353" s="8" t="s">
        <v>3195</v>
      </c>
      <c r="N2353" s="3" t="s">
        <v>1890</v>
      </c>
      <c r="O2353" s="8" t="s">
        <v>1935</v>
      </c>
      <c r="P2353" s="8">
        <v>796</v>
      </c>
      <c r="Q2353" s="8" t="s">
        <v>3196</v>
      </c>
      <c r="R2353" s="69">
        <v>200</v>
      </c>
      <c r="S2353" s="69">
        <v>3.57</v>
      </c>
      <c r="T2353" s="10">
        <v>0</v>
      </c>
      <c r="U2353" s="10">
        <f t="shared" ref="U2353" si="1327">T2353*1.12</f>
        <v>0</v>
      </c>
      <c r="V2353" s="7"/>
      <c r="W2353" s="1">
        <v>2015</v>
      </c>
      <c r="X2353" s="62" t="s">
        <v>7518</v>
      </c>
    </row>
    <row r="2354" spans="1:24" s="13" customFormat="1" ht="76.5" outlineLevel="1" x14ac:dyDescent="0.2">
      <c r="A2354" s="1" t="s">
        <v>9284</v>
      </c>
      <c r="B2354" s="2" t="s">
        <v>5277</v>
      </c>
      <c r="C2354" s="2" t="s">
        <v>5137</v>
      </c>
      <c r="D2354" s="2" t="s">
        <v>3328</v>
      </c>
      <c r="E2354" s="2" t="s">
        <v>5473</v>
      </c>
      <c r="F2354" s="2" t="s">
        <v>346</v>
      </c>
      <c r="G2354" s="3" t="s">
        <v>3190</v>
      </c>
      <c r="H2354" s="5">
        <v>0</v>
      </c>
      <c r="I2354" s="6">
        <v>710000000</v>
      </c>
      <c r="J2354" s="4" t="s">
        <v>1931</v>
      </c>
      <c r="K2354" s="4" t="s">
        <v>9276</v>
      </c>
      <c r="L2354" s="3" t="s">
        <v>1165</v>
      </c>
      <c r="M2354" s="8" t="s">
        <v>3195</v>
      </c>
      <c r="N2354" s="3" t="s">
        <v>1890</v>
      </c>
      <c r="O2354" s="8" t="s">
        <v>1935</v>
      </c>
      <c r="P2354" s="8">
        <v>796</v>
      </c>
      <c r="Q2354" s="8" t="s">
        <v>3196</v>
      </c>
      <c r="R2354" s="69">
        <f>200+3000</f>
        <v>3200</v>
      </c>
      <c r="S2354" s="69">
        <v>3.57</v>
      </c>
      <c r="T2354" s="10">
        <f t="shared" ref="T2354" si="1328">S2354*R2354</f>
        <v>11424</v>
      </c>
      <c r="U2354" s="10">
        <f t="shared" ref="U2354" si="1329">T2354*1.12</f>
        <v>12794.880000000001</v>
      </c>
      <c r="V2354" s="7"/>
      <c r="W2354" s="1">
        <v>2015</v>
      </c>
      <c r="X2354" s="62"/>
    </row>
    <row r="2355" spans="1:24" s="13" customFormat="1" ht="76.5" customHeight="1" outlineLevel="1" x14ac:dyDescent="0.2">
      <c r="A2355" s="1" t="s">
        <v>4012</v>
      </c>
      <c r="B2355" s="2" t="s">
        <v>5277</v>
      </c>
      <c r="C2355" s="2" t="s">
        <v>5137</v>
      </c>
      <c r="D2355" s="2" t="s">
        <v>3328</v>
      </c>
      <c r="E2355" s="2" t="s">
        <v>5473</v>
      </c>
      <c r="F2355" s="2" t="s">
        <v>345</v>
      </c>
      <c r="G2355" s="3" t="s">
        <v>3190</v>
      </c>
      <c r="H2355" s="5">
        <v>0</v>
      </c>
      <c r="I2355" s="6">
        <v>710000000</v>
      </c>
      <c r="J2355" s="4" t="s">
        <v>1931</v>
      </c>
      <c r="K2355" s="4" t="s">
        <v>5297</v>
      </c>
      <c r="L2355" s="3" t="s">
        <v>1165</v>
      </c>
      <c r="M2355" s="8" t="s">
        <v>3195</v>
      </c>
      <c r="N2355" s="3" t="s">
        <v>1890</v>
      </c>
      <c r="O2355" s="8" t="s">
        <v>1935</v>
      </c>
      <c r="P2355" s="8">
        <v>796</v>
      </c>
      <c r="Q2355" s="8" t="s">
        <v>3196</v>
      </c>
      <c r="R2355" s="69">
        <v>10000</v>
      </c>
      <c r="S2355" s="69">
        <v>2.5</v>
      </c>
      <c r="T2355" s="10">
        <v>0</v>
      </c>
      <c r="U2355" s="10">
        <f t="shared" si="1229"/>
        <v>0</v>
      </c>
      <c r="V2355" s="7"/>
      <c r="W2355" s="1">
        <v>2015</v>
      </c>
      <c r="X2355" s="62" t="s">
        <v>7518</v>
      </c>
    </row>
    <row r="2356" spans="1:24" s="13" customFormat="1" ht="76.5" customHeight="1" outlineLevel="1" x14ac:dyDescent="0.2">
      <c r="A2356" s="1" t="s">
        <v>7784</v>
      </c>
      <c r="B2356" s="2" t="s">
        <v>5277</v>
      </c>
      <c r="C2356" s="2" t="s">
        <v>5137</v>
      </c>
      <c r="D2356" s="2" t="s">
        <v>3328</v>
      </c>
      <c r="E2356" s="2" t="s">
        <v>5473</v>
      </c>
      <c r="F2356" s="2" t="s">
        <v>345</v>
      </c>
      <c r="G2356" s="3" t="s">
        <v>3190</v>
      </c>
      <c r="H2356" s="5">
        <v>0</v>
      </c>
      <c r="I2356" s="6">
        <v>710000000</v>
      </c>
      <c r="J2356" s="4" t="s">
        <v>1931</v>
      </c>
      <c r="K2356" s="4" t="s">
        <v>756</v>
      </c>
      <c r="L2356" s="3" t="s">
        <v>1165</v>
      </c>
      <c r="M2356" s="8" t="s">
        <v>3195</v>
      </c>
      <c r="N2356" s="3" t="s">
        <v>1890</v>
      </c>
      <c r="O2356" s="8" t="s">
        <v>1935</v>
      </c>
      <c r="P2356" s="8">
        <v>796</v>
      </c>
      <c r="Q2356" s="8" t="s">
        <v>3196</v>
      </c>
      <c r="R2356" s="69">
        <v>5000</v>
      </c>
      <c r="S2356" s="69">
        <v>2.5</v>
      </c>
      <c r="T2356" s="10">
        <f t="shared" ref="T2356" si="1330">S2356*R2356</f>
        <v>12500</v>
      </c>
      <c r="U2356" s="10">
        <f t="shared" ref="U2356" si="1331">T2356*1.12</f>
        <v>14000.000000000002</v>
      </c>
      <c r="V2356" s="7"/>
      <c r="W2356" s="1">
        <v>2015</v>
      </c>
      <c r="X2356" s="62"/>
    </row>
    <row r="2357" spans="1:24" s="13" customFormat="1" ht="76.5" customHeight="1" outlineLevel="1" x14ac:dyDescent="0.2">
      <c r="A2357" s="1" t="s">
        <v>4013</v>
      </c>
      <c r="B2357" s="2" t="s">
        <v>5277</v>
      </c>
      <c r="C2357" s="2" t="s">
        <v>344</v>
      </c>
      <c r="D2357" s="2" t="s">
        <v>3446</v>
      </c>
      <c r="E2357" s="2" t="s">
        <v>343</v>
      </c>
      <c r="F2357" s="2"/>
      <c r="G2357" s="3" t="s">
        <v>3190</v>
      </c>
      <c r="H2357" s="5">
        <v>0</v>
      </c>
      <c r="I2357" s="6">
        <v>710000000</v>
      </c>
      <c r="J2357" s="4" t="s">
        <v>1931</v>
      </c>
      <c r="K2357" s="4" t="s">
        <v>5297</v>
      </c>
      <c r="L2357" s="3" t="s">
        <v>1165</v>
      </c>
      <c r="M2357" s="8" t="s">
        <v>3195</v>
      </c>
      <c r="N2357" s="3" t="s">
        <v>1890</v>
      </c>
      <c r="O2357" s="8" t="s">
        <v>1935</v>
      </c>
      <c r="P2357" s="8">
        <v>796</v>
      </c>
      <c r="Q2357" s="8" t="s">
        <v>3196</v>
      </c>
      <c r="R2357" s="69">
        <v>60</v>
      </c>
      <c r="S2357" s="69">
        <v>1.79</v>
      </c>
      <c r="T2357" s="10">
        <v>0</v>
      </c>
      <c r="U2357" s="10">
        <f t="shared" si="1229"/>
        <v>0</v>
      </c>
      <c r="V2357" s="7"/>
      <c r="W2357" s="1">
        <v>2015</v>
      </c>
      <c r="X2357" s="62">
        <v>11</v>
      </c>
    </row>
    <row r="2358" spans="1:24" s="13" customFormat="1" ht="76.5" customHeight="1" outlineLevel="1" x14ac:dyDescent="0.2">
      <c r="A2358" s="1" t="s">
        <v>7785</v>
      </c>
      <c r="B2358" s="2" t="s">
        <v>5277</v>
      </c>
      <c r="C2358" s="2" t="s">
        <v>344</v>
      </c>
      <c r="D2358" s="2" t="s">
        <v>3446</v>
      </c>
      <c r="E2358" s="2" t="s">
        <v>343</v>
      </c>
      <c r="F2358" s="2"/>
      <c r="G2358" s="3" t="s">
        <v>3190</v>
      </c>
      <c r="H2358" s="5">
        <v>0</v>
      </c>
      <c r="I2358" s="6">
        <v>710000000</v>
      </c>
      <c r="J2358" s="4" t="s">
        <v>1931</v>
      </c>
      <c r="K2358" s="4" t="s">
        <v>756</v>
      </c>
      <c r="L2358" s="3" t="s">
        <v>1165</v>
      </c>
      <c r="M2358" s="8" t="s">
        <v>3195</v>
      </c>
      <c r="N2358" s="3" t="s">
        <v>1890</v>
      </c>
      <c r="O2358" s="8" t="s">
        <v>1935</v>
      </c>
      <c r="P2358" s="8">
        <v>796</v>
      </c>
      <c r="Q2358" s="8" t="s">
        <v>3196</v>
      </c>
      <c r="R2358" s="69">
        <v>60</v>
      </c>
      <c r="S2358" s="69">
        <v>1.79</v>
      </c>
      <c r="T2358" s="10">
        <f t="shared" ref="T2358" si="1332">S2358*R2358</f>
        <v>107.4</v>
      </c>
      <c r="U2358" s="10">
        <f t="shared" ref="U2358" si="1333">T2358*1.12</f>
        <v>120.28800000000001</v>
      </c>
      <c r="V2358" s="7"/>
      <c r="W2358" s="1">
        <v>2015</v>
      </c>
      <c r="X2358" s="62"/>
    </row>
    <row r="2359" spans="1:24" s="13" customFormat="1" ht="76.5" customHeight="1" outlineLevel="1" x14ac:dyDescent="0.2">
      <c r="A2359" s="1" t="s">
        <v>3454</v>
      </c>
      <c r="B2359" s="38" t="s">
        <v>5277</v>
      </c>
      <c r="C2359" s="2" t="s">
        <v>342</v>
      </c>
      <c r="D2359" s="2" t="s">
        <v>3446</v>
      </c>
      <c r="E2359" s="2" t="s">
        <v>341</v>
      </c>
      <c r="F2359" s="39"/>
      <c r="G2359" s="50" t="s">
        <v>3190</v>
      </c>
      <c r="H2359" s="5">
        <v>0</v>
      </c>
      <c r="I2359" s="6">
        <v>710000000</v>
      </c>
      <c r="J2359" s="4" t="s">
        <v>1931</v>
      </c>
      <c r="K2359" s="4" t="s">
        <v>5297</v>
      </c>
      <c r="L2359" s="3" t="s">
        <v>1165</v>
      </c>
      <c r="M2359" s="8" t="s">
        <v>3195</v>
      </c>
      <c r="N2359" s="3" t="s">
        <v>1890</v>
      </c>
      <c r="O2359" s="8" t="s">
        <v>1935</v>
      </c>
      <c r="P2359" s="62">
        <v>778</v>
      </c>
      <c r="Q2359" s="3" t="s">
        <v>3327</v>
      </c>
      <c r="R2359" s="9">
        <f>1+2</f>
        <v>3</v>
      </c>
      <c r="S2359" s="9">
        <v>714</v>
      </c>
      <c r="T2359" s="10">
        <v>0</v>
      </c>
      <c r="U2359" s="10">
        <f t="shared" si="1229"/>
        <v>0</v>
      </c>
      <c r="V2359" s="7"/>
      <c r="W2359" s="11">
        <v>2015</v>
      </c>
      <c r="X2359" s="12" t="s">
        <v>6562</v>
      </c>
    </row>
    <row r="2360" spans="1:24" s="13" customFormat="1" ht="76.5" customHeight="1" outlineLevel="1" x14ac:dyDescent="0.2">
      <c r="A2360" s="1" t="s">
        <v>6662</v>
      </c>
      <c r="B2360" s="2" t="s">
        <v>5277</v>
      </c>
      <c r="C2360" s="2" t="s">
        <v>342</v>
      </c>
      <c r="D2360" s="2" t="s">
        <v>3446</v>
      </c>
      <c r="E2360" s="2" t="s">
        <v>341</v>
      </c>
      <c r="F2360" s="2"/>
      <c r="G2360" s="3" t="s">
        <v>3190</v>
      </c>
      <c r="H2360" s="5">
        <v>0</v>
      </c>
      <c r="I2360" s="6">
        <v>710000000</v>
      </c>
      <c r="J2360" s="4" t="s">
        <v>1931</v>
      </c>
      <c r="K2360" s="4" t="s">
        <v>5297</v>
      </c>
      <c r="L2360" s="3" t="s">
        <v>1165</v>
      </c>
      <c r="M2360" s="8" t="s">
        <v>3195</v>
      </c>
      <c r="N2360" s="3" t="s">
        <v>1890</v>
      </c>
      <c r="O2360" s="8" t="s">
        <v>1935</v>
      </c>
      <c r="P2360" s="62">
        <v>778</v>
      </c>
      <c r="Q2360" s="3" t="s">
        <v>3327</v>
      </c>
      <c r="R2360" s="69">
        <v>2</v>
      </c>
      <c r="S2360" s="69">
        <v>714</v>
      </c>
      <c r="T2360" s="10">
        <v>0</v>
      </c>
      <c r="U2360" s="10">
        <f t="shared" si="1229"/>
        <v>0</v>
      </c>
      <c r="V2360" s="7"/>
      <c r="W2360" s="1">
        <v>2015</v>
      </c>
      <c r="X2360" s="62">
        <v>11</v>
      </c>
    </row>
    <row r="2361" spans="1:24" s="13" customFormat="1" ht="76.5" customHeight="1" outlineLevel="1" x14ac:dyDescent="0.2">
      <c r="A2361" s="1" t="s">
        <v>7786</v>
      </c>
      <c r="B2361" s="2" t="s">
        <v>5277</v>
      </c>
      <c r="C2361" s="2" t="s">
        <v>342</v>
      </c>
      <c r="D2361" s="2" t="s">
        <v>3446</v>
      </c>
      <c r="E2361" s="2" t="s">
        <v>341</v>
      </c>
      <c r="F2361" s="2"/>
      <c r="G2361" s="3" t="s">
        <v>3190</v>
      </c>
      <c r="H2361" s="5">
        <v>0</v>
      </c>
      <c r="I2361" s="6">
        <v>710000000</v>
      </c>
      <c r="J2361" s="4" t="s">
        <v>1931</v>
      </c>
      <c r="K2361" s="4" t="s">
        <v>756</v>
      </c>
      <c r="L2361" s="3" t="s">
        <v>1165</v>
      </c>
      <c r="M2361" s="8" t="s">
        <v>3195</v>
      </c>
      <c r="N2361" s="3" t="s">
        <v>1890</v>
      </c>
      <c r="O2361" s="8" t="s">
        <v>1935</v>
      </c>
      <c r="P2361" s="62">
        <v>778</v>
      </c>
      <c r="Q2361" s="3" t="s">
        <v>3327</v>
      </c>
      <c r="R2361" s="69">
        <v>2</v>
      </c>
      <c r="S2361" s="69">
        <v>714</v>
      </c>
      <c r="T2361" s="10">
        <f t="shared" ref="T2361" si="1334">S2361*R2361</f>
        <v>1428</v>
      </c>
      <c r="U2361" s="10">
        <f t="shared" ref="U2361" si="1335">T2361*1.12</f>
        <v>1599.3600000000001</v>
      </c>
      <c r="V2361" s="7"/>
      <c r="W2361" s="1">
        <v>2015</v>
      </c>
      <c r="X2361" s="62"/>
    </row>
    <row r="2362" spans="1:24" s="13" customFormat="1" ht="76.5" customHeight="1" outlineLevel="1" x14ac:dyDescent="0.2">
      <c r="A2362" s="1" t="s">
        <v>4014</v>
      </c>
      <c r="B2362" s="2" t="s">
        <v>5277</v>
      </c>
      <c r="C2362" s="2" t="s">
        <v>340</v>
      </c>
      <c r="D2362" s="2" t="s">
        <v>339</v>
      </c>
      <c r="E2362" s="2" t="s">
        <v>338</v>
      </c>
      <c r="F2362" s="2" t="s">
        <v>337</v>
      </c>
      <c r="G2362" s="3" t="s">
        <v>3190</v>
      </c>
      <c r="H2362" s="5">
        <v>0</v>
      </c>
      <c r="I2362" s="6">
        <v>710000000</v>
      </c>
      <c r="J2362" s="4" t="s">
        <v>1931</v>
      </c>
      <c r="K2362" s="4" t="s">
        <v>5297</v>
      </c>
      <c r="L2362" s="3" t="s">
        <v>1165</v>
      </c>
      <c r="M2362" s="8" t="s">
        <v>3195</v>
      </c>
      <c r="N2362" s="3" t="s">
        <v>1890</v>
      </c>
      <c r="O2362" s="8" t="s">
        <v>1935</v>
      </c>
      <c r="P2362" s="62">
        <v>778</v>
      </c>
      <c r="Q2362" s="3" t="s">
        <v>3327</v>
      </c>
      <c r="R2362" s="69">
        <v>50</v>
      </c>
      <c r="S2362" s="69">
        <v>1428.57</v>
      </c>
      <c r="T2362" s="10">
        <v>0</v>
      </c>
      <c r="U2362" s="10">
        <f t="shared" si="1229"/>
        <v>0</v>
      </c>
      <c r="V2362" s="7"/>
      <c r="W2362" s="1">
        <v>2015</v>
      </c>
      <c r="X2362" s="62">
        <v>11</v>
      </c>
    </row>
    <row r="2363" spans="1:24" s="13" customFormat="1" ht="76.5" customHeight="1" outlineLevel="1" x14ac:dyDescent="0.2">
      <c r="A2363" s="1" t="s">
        <v>7787</v>
      </c>
      <c r="B2363" s="2" t="s">
        <v>5277</v>
      </c>
      <c r="C2363" s="2" t="s">
        <v>340</v>
      </c>
      <c r="D2363" s="2" t="s">
        <v>339</v>
      </c>
      <c r="E2363" s="2" t="s">
        <v>338</v>
      </c>
      <c r="F2363" s="2" t="s">
        <v>337</v>
      </c>
      <c r="G2363" s="3" t="s">
        <v>3190</v>
      </c>
      <c r="H2363" s="5">
        <v>0</v>
      </c>
      <c r="I2363" s="6">
        <v>710000000</v>
      </c>
      <c r="J2363" s="4" t="s">
        <v>1931</v>
      </c>
      <c r="K2363" s="4" t="s">
        <v>756</v>
      </c>
      <c r="L2363" s="3" t="s">
        <v>1165</v>
      </c>
      <c r="M2363" s="8" t="s">
        <v>3195</v>
      </c>
      <c r="N2363" s="3" t="s">
        <v>1890</v>
      </c>
      <c r="O2363" s="8" t="s">
        <v>1935</v>
      </c>
      <c r="P2363" s="62">
        <v>778</v>
      </c>
      <c r="Q2363" s="3" t="s">
        <v>3327</v>
      </c>
      <c r="R2363" s="69">
        <v>50</v>
      </c>
      <c r="S2363" s="69">
        <v>1428.57</v>
      </c>
      <c r="T2363" s="10">
        <f t="shared" ref="T2363" si="1336">S2363*R2363</f>
        <v>71428.5</v>
      </c>
      <c r="U2363" s="10">
        <f t="shared" ref="U2363" si="1337">T2363*1.12</f>
        <v>79999.920000000013</v>
      </c>
      <c r="V2363" s="7"/>
      <c r="W2363" s="1">
        <v>2015</v>
      </c>
      <c r="X2363" s="62"/>
    </row>
    <row r="2364" spans="1:24" s="13" customFormat="1" ht="76.5" customHeight="1" outlineLevel="1" x14ac:dyDescent="0.2">
      <c r="A2364" s="1" t="s">
        <v>4015</v>
      </c>
      <c r="B2364" s="38" t="s">
        <v>5277</v>
      </c>
      <c r="C2364" s="2" t="s">
        <v>3445</v>
      </c>
      <c r="D2364" s="2" t="s">
        <v>6028</v>
      </c>
      <c r="E2364" s="2" t="s">
        <v>6029</v>
      </c>
      <c r="F2364" s="39"/>
      <c r="G2364" s="50" t="s">
        <v>3190</v>
      </c>
      <c r="H2364" s="5">
        <v>0</v>
      </c>
      <c r="I2364" s="6">
        <v>710000000</v>
      </c>
      <c r="J2364" s="4" t="s">
        <v>1931</v>
      </c>
      <c r="K2364" s="4" t="s">
        <v>5297</v>
      </c>
      <c r="L2364" s="3" t="s">
        <v>1165</v>
      </c>
      <c r="M2364" s="8" t="s">
        <v>3195</v>
      </c>
      <c r="N2364" s="3" t="s">
        <v>1890</v>
      </c>
      <c r="O2364" s="8" t="s">
        <v>1935</v>
      </c>
      <c r="P2364" s="62">
        <v>778</v>
      </c>
      <c r="Q2364" s="3" t="s">
        <v>3327</v>
      </c>
      <c r="R2364" s="9">
        <v>2</v>
      </c>
      <c r="S2364" s="9">
        <v>2500</v>
      </c>
      <c r="T2364" s="10">
        <v>0</v>
      </c>
      <c r="U2364" s="10">
        <f t="shared" si="1229"/>
        <v>0</v>
      </c>
      <c r="V2364" s="7"/>
      <c r="W2364" s="11">
        <v>2015</v>
      </c>
      <c r="X2364" s="12" t="s">
        <v>6562</v>
      </c>
    </row>
    <row r="2365" spans="1:24" s="13" customFormat="1" ht="76.5" customHeight="1" outlineLevel="1" x14ac:dyDescent="0.2">
      <c r="A2365" s="1" t="s">
        <v>6663</v>
      </c>
      <c r="B2365" s="2" t="s">
        <v>5277</v>
      </c>
      <c r="C2365" s="2" t="s">
        <v>3445</v>
      </c>
      <c r="D2365" s="2" t="s">
        <v>6028</v>
      </c>
      <c r="E2365" s="2" t="s">
        <v>6029</v>
      </c>
      <c r="F2365" s="2"/>
      <c r="G2365" s="3" t="s">
        <v>3190</v>
      </c>
      <c r="H2365" s="5">
        <v>0</v>
      </c>
      <c r="I2365" s="6">
        <v>710000000</v>
      </c>
      <c r="J2365" s="4" t="s">
        <v>1931</v>
      </c>
      <c r="K2365" s="4" t="s">
        <v>5297</v>
      </c>
      <c r="L2365" s="3" t="s">
        <v>1165</v>
      </c>
      <c r="M2365" s="8" t="s">
        <v>3195</v>
      </c>
      <c r="N2365" s="3" t="s">
        <v>1890</v>
      </c>
      <c r="O2365" s="8" t="s">
        <v>1935</v>
      </c>
      <c r="P2365" s="62">
        <v>778</v>
      </c>
      <c r="Q2365" s="3" t="s">
        <v>3327</v>
      </c>
      <c r="R2365" s="69">
        <v>1</v>
      </c>
      <c r="S2365" s="69">
        <v>2500</v>
      </c>
      <c r="T2365" s="10">
        <v>0</v>
      </c>
      <c r="U2365" s="10">
        <f t="shared" si="1229"/>
        <v>0</v>
      </c>
      <c r="V2365" s="7"/>
      <c r="W2365" s="1">
        <v>2015</v>
      </c>
      <c r="X2365" s="62" t="s">
        <v>7518</v>
      </c>
    </row>
    <row r="2366" spans="1:24" s="13" customFormat="1" ht="76.5" customHeight="1" outlineLevel="1" x14ac:dyDescent="0.2">
      <c r="A2366" s="1" t="s">
        <v>7788</v>
      </c>
      <c r="B2366" s="2" t="s">
        <v>5277</v>
      </c>
      <c r="C2366" s="2" t="s">
        <v>3445</v>
      </c>
      <c r="D2366" s="2" t="s">
        <v>6028</v>
      </c>
      <c r="E2366" s="2" t="s">
        <v>6029</v>
      </c>
      <c r="F2366" s="2"/>
      <c r="G2366" s="3" t="s">
        <v>3190</v>
      </c>
      <c r="H2366" s="5">
        <v>0</v>
      </c>
      <c r="I2366" s="6">
        <v>710000000</v>
      </c>
      <c r="J2366" s="4" t="s">
        <v>1931</v>
      </c>
      <c r="K2366" s="4" t="s">
        <v>756</v>
      </c>
      <c r="L2366" s="3" t="s">
        <v>1165</v>
      </c>
      <c r="M2366" s="8" t="s">
        <v>3195</v>
      </c>
      <c r="N2366" s="3" t="s">
        <v>1890</v>
      </c>
      <c r="O2366" s="8" t="s">
        <v>1935</v>
      </c>
      <c r="P2366" s="62">
        <v>778</v>
      </c>
      <c r="Q2366" s="3" t="s">
        <v>3327</v>
      </c>
      <c r="R2366" s="69">
        <v>1</v>
      </c>
      <c r="S2366" s="69">
        <v>2500</v>
      </c>
      <c r="T2366" s="10">
        <f t="shared" ref="T2366" si="1338">S2366*R2366</f>
        <v>2500</v>
      </c>
      <c r="U2366" s="10">
        <f t="shared" ref="U2366" si="1339">T2366*1.12</f>
        <v>2800.0000000000005</v>
      </c>
      <c r="V2366" s="7"/>
      <c r="W2366" s="1">
        <v>2015</v>
      </c>
      <c r="X2366" s="62"/>
    </row>
    <row r="2367" spans="1:24" s="13" customFormat="1" ht="76.5" customHeight="1" outlineLevel="1" x14ac:dyDescent="0.2">
      <c r="A2367" s="1" t="s">
        <v>4016</v>
      </c>
      <c r="B2367" s="2" t="s">
        <v>5277</v>
      </c>
      <c r="C2367" s="2" t="s">
        <v>336</v>
      </c>
      <c r="D2367" s="2" t="s">
        <v>5480</v>
      </c>
      <c r="E2367" s="2" t="s">
        <v>335</v>
      </c>
      <c r="F2367" s="2"/>
      <c r="G2367" s="3" t="s">
        <v>3190</v>
      </c>
      <c r="H2367" s="5">
        <v>0</v>
      </c>
      <c r="I2367" s="6">
        <v>710000000</v>
      </c>
      <c r="J2367" s="4" t="s">
        <v>1931</v>
      </c>
      <c r="K2367" s="4" t="s">
        <v>5297</v>
      </c>
      <c r="L2367" s="3" t="s">
        <v>1165</v>
      </c>
      <c r="M2367" s="8" t="s">
        <v>3195</v>
      </c>
      <c r="N2367" s="3" t="s">
        <v>1890</v>
      </c>
      <c r="O2367" s="8" t="s">
        <v>1935</v>
      </c>
      <c r="P2367" s="60">
        <v>166</v>
      </c>
      <c r="Q2367" s="3" t="s">
        <v>3324</v>
      </c>
      <c r="R2367" s="69">
        <f>2+10</f>
        <v>12</v>
      </c>
      <c r="S2367" s="69">
        <v>143.75</v>
      </c>
      <c r="T2367" s="10">
        <v>0</v>
      </c>
      <c r="U2367" s="10">
        <f t="shared" si="1229"/>
        <v>0</v>
      </c>
      <c r="V2367" s="7"/>
      <c r="W2367" s="1">
        <v>2015</v>
      </c>
      <c r="X2367" s="62">
        <v>11</v>
      </c>
    </row>
    <row r="2368" spans="1:24" s="13" customFormat="1" ht="76.5" customHeight="1" outlineLevel="1" x14ac:dyDescent="0.2">
      <c r="A2368" s="1" t="s">
        <v>7789</v>
      </c>
      <c r="B2368" s="2" t="s">
        <v>5277</v>
      </c>
      <c r="C2368" s="2" t="s">
        <v>336</v>
      </c>
      <c r="D2368" s="2" t="s">
        <v>5480</v>
      </c>
      <c r="E2368" s="2" t="s">
        <v>335</v>
      </c>
      <c r="F2368" s="2"/>
      <c r="G2368" s="3" t="s">
        <v>3190</v>
      </c>
      <c r="H2368" s="5">
        <v>0</v>
      </c>
      <c r="I2368" s="6">
        <v>710000000</v>
      </c>
      <c r="J2368" s="4" t="s">
        <v>1931</v>
      </c>
      <c r="K2368" s="4" t="s">
        <v>756</v>
      </c>
      <c r="L2368" s="3" t="s">
        <v>1165</v>
      </c>
      <c r="M2368" s="8" t="s">
        <v>3195</v>
      </c>
      <c r="N2368" s="3" t="s">
        <v>1890</v>
      </c>
      <c r="O2368" s="8" t="s">
        <v>1935</v>
      </c>
      <c r="P2368" s="60">
        <v>166</v>
      </c>
      <c r="Q2368" s="3" t="s">
        <v>3324</v>
      </c>
      <c r="R2368" s="69">
        <f>2+10</f>
        <v>12</v>
      </c>
      <c r="S2368" s="69">
        <v>143.75</v>
      </c>
      <c r="T2368" s="10">
        <f t="shared" ref="T2368" si="1340">S2368*R2368</f>
        <v>1725</v>
      </c>
      <c r="U2368" s="10">
        <f t="shared" ref="U2368" si="1341">T2368*1.12</f>
        <v>1932.0000000000002</v>
      </c>
      <c r="V2368" s="7"/>
      <c r="W2368" s="1">
        <v>2015</v>
      </c>
      <c r="X2368" s="62"/>
    </row>
    <row r="2369" spans="1:24" s="13" customFormat="1" ht="76.5" customHeight="1" outlineLevel="1" x14ac:dyDescent="0.2">
      <c r="A2369" s="1" t="s">
        <v>4017</v>
      </c>
      <c r="B2369" s="38" t="s">
        <v>5277</v>
      </c>
      <c r="C2369" s="6" t="s">
        <v>334</v>
      </c>
      <c r="D2369" s="6" t="s">
        <v>5218</v>
      </c>
      <c r="E2369" s="6" t="s">
        <v>333</v>
      </c>
      <c r="F2369" s="6" t="s">
        <v>332</v>
      </c>
      <c r="G2369" s="50" t="s">
        <v>3190</v>
      </c>
      <c r="H2369" s="5">
        <v>0</v>
      </c>
      <c r="I2369" s="6">
        <v>710000000</v>
      </c>
      <c r="J2369" s="4" t="s">
        <v>1931</v>
      </c>
      <c r="K2369" s="4" t="s">
        <v>5297</v>
      </c>
      <c r="L2369" s="3" t="s">
        <v>1165</v>
      </c>
      <c r="M2369" s="8" t="s">
        <v>3195</v>
      </c>
      <c r="N2369" s="3" t="s">
        <v>1890</v>
      </c>
      <c r="O2369" s="8" t="s">
        <v>1935</v>
      </c>
      <c r="P2369" s="8">
        <v>796</v>
      </c>
      <c r="Q2369" s="8" t="s">
        <v>3196</v>
      </c>
      <c r="R2369" s="9">
        <f>317+1000+1000</f>
        <v>2317</v>
      </c>
      <c r="S2369" s="9">
        <v>3</v>
      </c>
      <c r="T2369" s="10">
        <v>0</v>
      </c>
      <c r="U2369" s="10">
        <f t="shared" si="1229"/>
        <v>0</v>
      </c>
      <c r="V2369" s="7"/>
      <c r="W2369" s="11">
        <v>2015</v>
      </c>
      <c r="X2369" s="12" t="s">
        <v>6562</v>
      </c>
    </row>
    <row r="2370" spans="1:24" s="13" customFormat="1" ht="76.5" customHeight="1" outlineLevel="1" x14ac:dyDescent="0.2">
      <c r="A2370" s="1" t="s">
        <v>6664</v>
      </c>
      <c r="B2370" s="2" t="s">
        <v>5277</v>
      </c>
      <c r="C2370" s="6" t="s">
        <v>334</v>
      </c>
      <c r="D2370" s="6" t="s">
        <v>5218</v>
      </c>
      <c r="E2370" s="6" t="s">
        <v>333</v>
      </c>
      <c r="F2370" s="6" t="s">
        <v>332</v>
      </c>
      <c r="G2370" s="3" t="s">
        <v>3190</v>
      </c>
      <c r="H2370" s="5">
        <v>0</v>
      </c>
      <c r="I2370" s="6">
        <v>710000000</v>
      </c>
      <c r="J2370" s="4" t="s">
        <v>1931</v>
      </c>
      <c r="K2370" s="4" t="s">
        <v>5297</v>
      </c>
      <c r="L2370" s="3" t="s">
        <v>1165</v>
      </c>
      <c r="M2370" s="8" t="s">
        <v>3195</v>
      </c>
      <c r="N2370" s="3" t="s">
        <v>1890</v>
      </c>
      <c r="O2370" s="8" t="s">
        <v>1935</v>
      </c>
      <c r="P2370" s="8">
        <v>796</v>
      </c>
      <c r="Q2370" s="8" t="s">
        <v>3196</v>
      </c>
      <c r="R2370" s="69">
        <f>247+1000+1000</f>
        <v>2247</v>
      </c>
      <c r="S2370" s="69">
        <v>3</v>
      </c>
      <c r="T2370" s="10">
        <f t="shared" ref="T2370" si="1342">S2370*R2370</f>
        <v>6741</v>
      </c>
      <c r="U2370" s="10">
        <f t="shared" si="1229"/>
        <v>7549.920000000001</v>
      </c>
      <c r="V2370" s="7"/>
      <c r="W2370" s="1">
        <v>2015</v>
      </c>
      <c r="X2370" s="62" t="s">
        <v>7518</v>
      </c>
    </row>
    <row r="2371" spans="1:24" s="13" customFormat="1" ht="76.5" customHeight="1" outlineLevel="1" x14ac:dyDescent="0.2">
      <c r="A2371" s="1" t="s">
        <v>7790</v>
      </c>
      <c r="B2371" s="2" t="s">
        <v>5277</v>
      </c>
      <c r="C2371" s="6" t="s">
        <v>334</v>
      </c>
      <c r="D2371" s="6" t="s">
        <v>5218</v>
      </c>
      <c r="E2371" s="6" t="s">
        <v>333</v>
      </c>
      <c r="F2371" s="6" t="s">
        <v>332</v>
      </c>
      <c r="G2371" s="3" t="s">
        <v>3190</v>
      </c>
      <c r="H2371" s="5">
        <v>0</v>
      </c>
      <c r="I2371" s="6">
        <v>710000000</v>
      </c>
      <c r="J2371" s="4" t="s">
        <v>1931</v>
      </c>
      <c r="K2371" s="4" t="s">
        <v>756</v>
      </c>
      <c r="L2371" s="3" t="s">
        <v>1165</v>
      </c>
      <c r="M2371" s="8" t="s">
        <v>3195</v>
      </c>
      <c r="N2371" s="3" t="s">
        <v>1890</v>
      </c>
      <c r="O2371" s="8" t="s">
        <v>1935</v>
      </c>
      <c r="P2371" s="8">
        <v>796</v>
      </c>
      <c r="Q2371" s="8" t="s">
        <v>3196</v>
      </c>
      <c r="R2371" s="69">
        <f>500+1000</f>
        <v>1500</v>
      </c>
      <c r="S2371" s="69">
        <v>3</v>
      </c>
      <c r="T2371" s="10">
        <v>0</v>
      </c>
      <c r="U2371" s="10">
        <f t="shared" ref="U2371" si="1343">T2371*1.12</f>
        <v>0</v>
      </c>
      <c r="V2371" s="7"/>
      <c r="W2371" s="1">
        <v>2015</v>
      </c>
      <c r="X2371" s="62" t="s">
        <v>7518</v>
      </c>
    </row>
    <row r="2372" spans="1:24" s="13" customFormat="1" ht="76.5" customHeight="1" outlineLevel="1" x14ac:dyDescent="0.2">
      <c r="A2372" s="1" t="s">
        <v>9203</v>
      </c>
      <c r="B2372" s="2" t="s">
        <v>5277</v>
      </c>
      <c r="C2372" s="6" t="s">
        <v>334</v>
      </c>
      <c r="D2372" s="6" t="s">
        <v>5218</v>
      </c>
      <c r="E2372" s="6" t="s">
        <v>333</v>
      </c>
      <c r="F2372" s="6" t="s">
        <v>332</v>
      </c>
      <c r="G2372" s="3" t="s">
        <v>3190</v>
      </c>
      <c r="H2372" s="5">
        <v>0</v>
      </c>
      <c r="I2372" s="6">
        <v>710000000</v>
      </c>
      <c r="J2372" s="4" t="s">
        <v>1931</v>
      </c>
      <c r="K2372" s="4" t="s">
        <v>9142</v>
      </c>
      <c r="L2372" s="3" t="s">
        <v>1165</v>
      </c>
      <c r="M2372" s="8" t="s">
        <v>3195</v>
      </c>
      <c r="N2372" s="3" t="s">
        <v>1890</v>
      </c>
      <c r="O2372" s="8" t="s">
        <v>1935</v>
      </c>
      <c r="P2372" s="8">
        <v>796</v>
      </c>
      <c r="Q2372" s="8" t="s">
        <v>3196</v>
      </c>
      <c r="R2372" s="69">
        <f>500+1000+10000</f>
        <v>11500</v>
      </c>
      <c r="S2372" s="69">
        <v>3</v>
      </c>
      <c r="T2372" s="10">
        <f t="shared" ref="T2372" si="1344">S2372*R2372</f>
        <v>34500</v>
      </c>
      <c r="U2372" s="10">
        <f t="shared" ref="U2372" si="1345">T2372*1.12</f>
        <v>38640.000000000007</v>
      </c>
      <c r="V2372" s="7"/>
      <c r="W2372" s="1">
        <v>2015</v>
      </c>
      <c r="X2372" s="62"/>
    </row>
    <row r="2373" spans="1:24" s="13" customFormat="1" ht="76.5" customHeight="1" outlineLevel="1" x14ac:dyDescent="0.2">
      <c r="A2373" s="1" t="s">
        <v>4018</v>
      </c>
      <c r="B2373" s="38" t="s">
        <v>5277</v>
      </c>
      <c r="C2373" s="2" t="s">
        <v>3092</v>
      </c>
      <c r="D2373" s="2" t="s">
        <v>6026</v>
      </c>
      <c r="E2373" s="6" t="s">
        <v>7610</v>
      </c>
      <c r="F2373" s="52" t="s">
        <v>6027</v>
      </c>
      <c r="G2373" s="50" t="s">
        <v>3190</v>
      </c>
      <c r="H2373" s="5">
        <v>0</v>
      </c>
      <c r="I2373" s="6">
        <v>710000000</v>
      </c>
      <c r="J2373" s="4" t="s">
        <v>1931</v>
      </c>
      <c r="K2373" s="4" t="s">
        <v>5297</v>
      </c>
      <c r="L2373" s="3" t="s">
        <v>1165</v>
      </c>
      <c r="M2373" s="8" t="s">
        <v>3195</v>
      </c>
      <c r="N2373" s="3" t="s">
        <v>1890</v>
      </c>
      <c r="O2373" s="8" t="s">
        <v>1935</v>
      </c>
      <c r="P2373" s="8">
        <v>796</v>
      </c>
      <c r="Q2373" s="8" t="s">
        <v>3196</v>
      </c>
      <c r="R2373" s="9">
        <f>88+80</f>
        <v>168</v>
      </c>
      <c r="S2373" s="9">
        <v>75</v>
      </c>
      <c r="T2373" s="10">
        <v>0</v>
      </c>
      <c r="U2373" s="10">
        <f t="shared" si="1229"/>
        <v>0</v>
      </c>
      <c r="V2373" s="7"/>
      <c r="W2373" s="11">
        <v>2015</v>
      </c>
      <c r="X2373" s="12" t="s">
        <v>6562</v>
      </c>
    </row>
    <row r="2374" spans="1:24" s="13" customFormat="1" ht="76.5" customHeight="1" outlineLevel="1" x14ac:dyDescent="0.2">
      <c r="A2374" s="1" t="s">
        <v>6665</v>
      </c>
      <c r="B2374" s="2" t="s">
        <v>5277</v>
      </c>
      <c r="C2374" s="2" t="s">
        <v>3092</v>
      </c>
      <c r="D2374" s="2" t="s">
        <v>6026</v>
      </c>
      <c r="E2374" s="6" t="s">
        <v>7610</v>
      </c>
      <c r="F2374" s="52" t="s">
        <v>6027</v>
      </c>
      <c r="G2374" s="3" t="s">
        <v>3190</v>
      </c>
      <c r="H2374" s="5">
        <v>0</v>
      </c>
      <c r="I2374" s="6">
        <v>710000000</v>
      </c>
      <c r="J2374" s="4" t="s">
        <v>1931</v>
      </c>
      <c r="K2374" s="4" t="s">
        <v>5297</v>
      </c>
      <c r="L2374" s="3" t="s">
        <v>1165</v>
      </c>
      <c r="M2374" s="8" t="s">
        <v>3195</v>
      </c>
      <c r="N2374" s="3" t="s">
        <v>1890</v>
      </c>
      <c r="O2374" s="8" t="s">
        <v>1935</v>
      </c>
      <c r="P2374" s="8">
        <v>796</v>
      </c>
      <c r="Q2374" s="8" t="s">
        <v>3196</v>
      </c>
      <c r="R2374" s="69">
        <f>70+80</f>
        <v>150</v>
      </c>
      <c r="S2374" s="69">
        <v>75</v>
      </c>
      <c r="T2374" s="10">
        <v>0</v>
      </c>
      <c r="U2374" s="10">
        <f t="shared" ref="U2374" si="1346">T2374*1.12</f>
        <v>0</v>
      </c>
      <c r="V2374" s="7"/>
      <c r="W2374" s="1">
        <v>2015</v>
      </c>
      <c r="X2374" s="62" t="s">
        <v>7518</v>
      </c>
    </row>
    <row r="2375" spans="1:24" s="13" customFormat="1" ht="76.5" outlineLevel="1" x14ac:dyDescent="0.2">
      <c r="A2375" s="1" t="s">
        <v>7791</v>
      </c>
      <c r="B2375" s="2" t="s">
        <v>5277</v>
      </c>
      <c r="C2375" s="2" t="s">
        <v>3092</v>
      </c>
      <c r="D2375" s="2" t="s">
        <v>6026</v>
      </c>
      <c r="E2375" s="6" t="s">
        <v>7610</v>
      </c>
      <c r="F2375" s="52" t="s">
        <v>6027</v>
      </c>
      <c r="G2375" s="3" t="s">
        <v>3190</v>
      </c>
      <c r="H2375" s="5">
        <v>0</v>
      </c>
      <c r="I2375" s="6">
        <v>710000000</v>
      </c>
      <c r="J2375" s="4" t="s">
        <v>1931</v>
      </c>
      <c r="K2375" s="4" t="s">
        <v>756</v>
      </c>
      <c r="L2375" s="3" t="s">
        <v>1165</v>
      </c>
      <c r="M2375" s="8" t="s">
        <v>3195</v>
      </c>
      <c r="N2375" s="3" t="s">
        <v>1890</v>
      </c>
      <c r="O2375" s="8" t="s">
        <v>1935</v>
      </c>
      <c r="P2375" s="8">
        <v>796</v>
      </c>
      <c r="Q2375" s="8" t="s">
        <v>3196</v>
      </c>
      <c r="R2375" s="69">
        <f>40+40</f>
        <v>80</v>
      </c>
      <c r="S2375" s="69">
        <v>75</v>
      </c>
      <c r="T2375" s="10">
        <v>0</v>
      </c>
      <c r="U2375" s="10">
        <f t="shared" si="1229"/>
        <v>0</v>
      </c>
      <c r="V2375" s="7"/>
      <c r="W2375" s="1">
        <v>2015</v>
      </c>
      <c r="X2375" s="10" t="s">
        <v>7518</v>
      </c>
    </row>
    <row r="2376" spans="1:24" s="13" customFormat="1" ht="76.5" outlineLevel="1" x14ac:dyDescent="0.2">
      <c r="A2376" s="1" t="s">
        <v>9301</v>
      </c>
      <c r="B2376" s="2" t="s">
        <v>5277</v>
      </c>
      <c r="C2376" s="2" t="s">
        <v>3092</v>
      </c>
      <c r="D2376" s="2" t="s">
        <v>6026</v>
      </c>
      <c r="E2376" s="6" t="s">
        <v>7610</v>
      </c>
      <c r="F2376" s="52" t="s">
        <v>6027</v>
      </c>
      <c r="G2376" s="3" t="s">
        <v>3190</v>
      </c>
      <c r="H2376" s="5">
        <v>0</v>
      </c>
      <c r="I2376" s="6">
        <v>710000000</v>
      </c>
      <c r="J2376" s="4" t="s">
        <v>1931</v>
      </c>
      <c r="K2376" s="4" t="s">
        <v>9276</v>
      </c>
      <c r="L2376" s="3" t="s">
        <v>1165</v>
      </c>
      <c r="M2376" s="8" t="s">
        <v>3195</v>
      </c>
      <c r="N2376" s="3" t="s">
        <v>1890</v>
      </c>
      <c r="O2376" s="8" t="s">
        <v>1935</v>
      </c>
      <c r="P2376" s="8">
        <v>796</v>
      </c>
      <c r="Q2376" s="8" t="s">
        <v>3196</v>
      </c>
      <c r="R2376" s="69">
        <f>40+40+500</f>
        <v>580</v>
      </c>
      <c r="S2376" s="69">
        <v>75</v>
      </c>
      <c r="T2376" s="10">
        <f t="shared" ref="T2376" si="1347">S2376*R2376</f>
        <v>43500</v>
      </c>
      <c r="U2376" s="10">
        <f t="shared" ref="U2376" si="1348">T2376*1.12</f>
        <v>48720.000000000007</v>
      </c>
      <c r="V2376" s="7"/>
      <c r="W2376" s="1">
        <v>2015</v>
      </c>
      <c r="X2376" s="62"/>
    </row>
    <row r="2377" spans="1:24" s="13" customFormat="1" ht="76.5" customHeight="1" outlineLevel="1" x14ac:dyDescent="0.2">
      <c r="A2377" s="1" t="s">
        <v>4019</v>
      </c>
      <c r="B2377" s="2" t="s">
        <v>5277</v>
      </c>
      <c r="C2377" s="2" t="s">
        <v>331</v>
      </c>
      <c r="D2377" s="2" t="s">
        <v>5476</v>
      </c>
      <c r="E2377" s="2" t="s">
        <v>330</v>
      </c>
      <c r="F2377" s="2"/>
      <c r="G2377" s="4" t="s">
        <v>1888</v>
      </c>
      <c r="H2377" s="5">
        <v>0</v>
      </c>
      <c r="I2377" s="6">
        <v>710000000</v>
      </c>
      <c r="J2377" s="4" t="s">
        <v>1931</v>
      </c>
      <c r="K2377" s="4" t="s">
        <v>5297</v>
      </c>
      <c r="L2377" s="2" t="s">
        <v>1940</v>
      </c>
      <c r="M2377" s="8" t="s">
        <v>3195</v>
      </c>
      <c r="N2377" s="3" t="s">
        <v>1890</v>
      </c>
      <c r="O2377" s="8" t="s">
        <v>1935</v>
      </c>
      <c r="P2377" s="62">
        <v>736</v>
      </c>
      <c r="Q2377" s="3" t="s">
        <v>5475</v>
      </c>
      <c r="R2377" s="69">
        <f>10+20</f>
        <v>30</v>
      </c>
      <c r="S2377" s="69">
        <v>7559.82</v>
      </c>
      <c r="T2377" s="10">
        <v>0</v>
      </c>
      <c r="U2377" s="10">
        <f t="shared" si="1229"/>
        <v>0</v>
      </c>
      <c r="V2377" s="7"/>
      <c r="W2377" s="1">
        <v>2015</v>
      </c>
      <c r="X2377" s="62" t="s">
        <v>7678</v>
      </c>
    </row>
    <row r="2378" spans="1:24" s="13" customFormat="1" ht="76.5" customHeight="1" outlineLevel="1" x14ac:dyDescent="0.2">
      <c r="A2378" s="1" t="s">
        <v>7792</v>
      </c>
      <c r="B2378" s="2" t="s">
        <v>5277</v>
      </c>
      <c r="C2378" s="2" t="s">
        <v>331</v>
      </c>
      <c r="D2378" s="2" t="s">
        <v>5476</v>
      </c>
      <c r="E2378" s="2" t="s">
        <v>330</v>
      </c>
      <c r="F2378" s="2"/>
      <c r="G2378" s="4" t="s">
        <v>3190</v>
      </c>
      <c r="H2378" s="5">
        <v>0</v>
      </c>
      <c r="I2378" s="6">
        <v>710000000</v>
      </c>
      <c r="J2378" s="4" t="s">
        <v>1931</v>
      </c>
      <c r="K2378" s="4" t="s">
        <v>756</v>
      </c>
      <c r="L2378" s="2" t="s">
        <v>1940</v>
      </c>
      <c r="M2378" s="8" t="s">
        <v>3195</v>
      </c>
      <c r="N2378" s="3" t="s">
        <v>1890</v>
      </c>
      <c r="O2378" s="8" t="s">
        <v>1935</v>
      </c>
      <c r="P2378" s="62">
        <v>736</v>
      </c>
      <c r="Q2378" s="3" t="s">
        <v>5475</v>
      </c>
      <c r="R2378" s="69">
        <f>10+10</f>
        <v>20</v>
      </c>
      <c r="S2378" s="69">
        <v>7559.82</v>
      </c>
      <c r="T2378" s="10">
        <v>0</v>
      </c>
      <c r="U2378" s="10">
        <f t="shared" ref="U2378" si="1349">T2378*1.12</f>
        <v>0</v>
      </c>
      <c r="V2378" s="7"/>
      <c r="W2378" s="1">
        <v>2015</v>
      </c>
      <c r="X2378" s="62" t="s">
        <v>7518</v>
      </c>
    </row>
    <row r="2379" spans="1:24" s="13" customFormat="1" ht="76.5" outlineLevel="1" x14ac:dyDescent="0.2">
      <c r="A2379" s="1" t="s">
        <v>8945</v>
      </c>
      <c r="B2379" s="2" t="s">
        <v>5277</v>
      </c>
      <c r="C2379" s="2" t="s">
        <v>331</v>
      </c>
      <c r="D2379" s="2" t="s">
        <v>5476</v>
      </c>
      <c r="E2379" s="2" t="s">
        <v>330</v>
      </c>
      <c r="F2379" s="2"/>
      <c r="G2379" s="4" t="s">
        <v>3190</v>
      </c>
      <c r="H2379" s="5">
        <v>0</v>
      </c>
      <c r="I2379" s="6">
        <v>710000000</v>
      </c>
      <c r="J2379" s="4" t="s">
        <v>1931</v>
      </c>
      <c r="K2379" s="4" t="s">
        <v>8946</v>
      </c>
      <c r="L2379" s="2" t="s">
        <v>1940</v>
      </c>
      <c r="M2379" s="8" t="s">
        <v>3195</v>
      </c>
      <c r="N2379" s="3" t="s">
        <v>1890</v>
      </c>
      <c r="O2379" s="8" t="s">
        <v>1935</v>
      </c>
      <c r="P2379" s="62">
        <v>736</v>
      </c>
      <c r="Q2379" s="3" t="s">
        <v>5475</v>
      </c>
      <c r="R2379" s="69">
        <v>35</v>
      </c>
      <c r="S2379" s="69">
        <v>7559.82</v>
      </c>
      <c r="T2379" s="10">
        <v>0</v>
      </c>
      <c r="U2379" s="10">
        <f t="shared" ref="U2379" si="1350">T2379*1.12</f>
        <v>0</v>
      </c>
      <c r="V2379" s="7"/>
      <c r="W2379" s="1">
        <v>2015</v>
      </c>
      <c r="X2379" s="62" t="s">
        <v>7518</v>
      </c>
    </row>
    <row r="2380" spans="1:24" s="13" customFormat="1" ht="76.5" outlineLevel="1" x14ac:dyDescent="0.2">
      <c r="A2380" s="1" t="s">
        <v>9304</v>
      </c>
      <c r="B2380" s="2" t="s">
        <v>5277</v>
      </c>
      <c r="C2380" s="2" t="s">
        <v>331</v>
      </c>
      <c r="D2380" s="2" t="s">
        <v>5476</v>
      </c>
      <c r="E2380" s="2" t="s">
        <v>330</v>
      </c>
      <c r="F2380" s="2"/>
      <c r="G2380" s="4" t="s">
        <v>3190</v>
      </c>
      <c r="H2380" s="5">
        <v>0</v>
      </c>
      <c r="I2380" s="6">
        <v>710000000</v>
      </c>
      <c r="J2380" s="4" t="s">
        <v>1931</v>
      </c>
      <c r="K2380" s="4" t="s">
        <v>9303</v>
      </c>
      <c r="L2380" s="2" t="s">
        <v>1940</v>
      </c>
      <c r="M2380" s="8" t="s">
        <v>3195</v>
      </c>
      <c r="N2380" s="3" t="s">
        <v>1890</v>
      </c>
      <c r="O2380" s="8" t="s">
        <v>1935</v>
      </c>
      <c r="P2380" s="62">
        <v>736</v>
      </c>
      <c r="Q2380" s="3" t="s">
        <v>5475</v>
      </c>
      <c r="R2380" s="69">
        <f>35+28+6</f>
        <v>69</v>
      </c>
      <c r="S2380" s="69">
        <v>7559.82</v>
      </c>
      <c r="T2380" s="10">
        <v>0</v>
      </c>
      <c r="U2380" s="10">
        <f t="shared" ref="U2380" si="1351">T2380*1.12</f>
        <v>0</v>
      </c>
      <c r="V2380" s="7"/>
      <c r="W2380" s="1">
        <v>2015</v>
      </c>
      <c r="X2380" s="62" t="s">
        <v>6562</v>
      </c>
    </row>
    <row r="2381" spans="1:24" s="13" customFormat="1" ht="76.5" outlineLevel="1" x14ac:dyDescent="0.2">
      <c r="A2381" s="1" t="s">
        <v>9519</v>
      </c>
      <c r="B2381" s="2" t="s">
        <v>5277</v>
      </c>
      <c r="C2381" s="2" t="s">
        <v>331</v>
      </c>
      <c r="D2381" s="2" t="s">
        <v>5476</v>
      </c>
      <c r="E2381" s="2" t="s">
        <v>330</v>
      </c>
      <c r="F2381" s="2"/>
      <c r="G2381" s="4" t="s">
        <v>3190</v>
      </c>
      <c r="H2381" s="5">
        <v>0</v>
      </c>
      <c r="I2381" s="6">
        <v>710000000</v>
      </c>
      <c r="J2381" s="4" t="s">
        <v>1931</v>
      </c>
      <c r="K2381" s="4" t="s">
        <v>9303</v>
      </c>
      <c r="L2381" s="2" t="s">
        <v>1940</v>
      </c>
      <c r="M2381" s="8" t="s">
        <v>3195</v>
      </c>
      <c r="N2381" s="3" t="s">
        <v>1890</v>
      </c>
      <c r="O2381" s="8" t="s">
        <v>1935</v>
      </c>
      <c r="P2381" s="62">
        <v>736</v>
      </c>
      <c r="Q2381" s="3" t="s">
        <v>5475</v>
      </c>
      <c r="R2381" s="69">
        <f>35+28+6+130</f>
        <v>199</v>
      </c>
      <c r="S2381" s="69">
        <v>7559.82</v>
      </c>
      <c r="T2381" s="10">
        <v>0</v>
      </c>
      <c r="U2381" s="10">
        <v>0</v>
      </c>
      <c r="V2381" s="7"/>
      <c r="W2381" s="1">
        <v>2015</v>
      </c>
      <c r="X2381" s="62" t="s">
        <v>7518</v>
      </c>
    </row>
    <row r="2382" spans="1:24" s="13" customFormat="1" ht="76.5" outlineLevel="1" x14ac:dyDescent="0.2">
      <c r="A2382" s="1" t="s">
        <v>10159</v>
      </c>
      <c r="B2382" s="2" t="s">
        <v>5277</v>
      </c>
      <c r="C2382" s="2" t="s">
        <v>331</v>
      </c>
      <c r="D2382" s="2" t="s">
        <v>5476</v>
      </c>
      <c r="E2382" s="2" t="s">
        <v>330</v>
      </c>
      <c r="F2382" s="2"/>
      <c r="G2382" s="4" t="s">
        <v>3190</v>
      </c>
      <c r="H2382" s="5">
        <v>0</v>
      </c>
      <c r="I2382" s="6">
        <v>710000000</v>
      </c>
      <c r="J2382" s="4" t="s">
        <v>1931</v>
      </c>
      <c r="K2382" s="4" t="s">
        <v>10160</v>
      </c>
      <c r="L2382" s="2" t="s">
        <v>1940</v>
      </c>
      <c r="M2382" s="8" t="s">
        <v>3195</v>
      </c>
      <c r="N2382" s="3" t="s">
        <v>1890</v>
      </c>
      <c r="O2382" s="8" t="s">
        <v>1935</v>
      </c>
      <c r="P2382" s="62">
        <v>736</v>
      </c>
      <c r="Q2382" s="3" t="s">
        <v>5475</v>
      </c>
      <c r="R2382" s="69">
        <f>35+28+6+130+20</f>
        <v>219</v>
      </c>
      <c r="S2382" s="69">
        <v>7559.82</v>
      </c>
      <c r="T2382" s="10">
        <f>R2382*S2382</f>
        <v>1655600.5799999998</v>
      </c>
      <c r="U2382" s="10">
        <f t="shared" ref="U2382" si="1352">T2382*1.12</f>
        <v>1854272.6495999999</v>
      </c>
      <c r="V2382" s="7"/>
      <c r="W2382" s="1">
        <v>2015</v>
      </c>
      <c r="X2382" s="62"/>
    </row>
    <row r="2383" spans="1:24" s="13" customFormat="1" ht="76.5" customHeight="1" outlineLevel="1" x14ac:dyDescent="0.2">
      <c r="A2383" s="1" t="s">
        <v>4020</v>
      </c>
      <c r="B2383" s="2" t="s">
        <v>5277</v>
      </c>
      <c r="C2383" s="3" t="s">
        <v>329</v>
      </c>
      <c r="D2383" s="3" t="s">
        <v>328</v>
      </c>
      <c r="E2383" s="3" t="s">
        <v>327</v>
      </c>
      <c r="F2383" s="3" t="s">
        <v>326</v>
      </c>
      <c r="G2383" s="4" t="s">
        <v>1888</v>
      </c>
      <c r="H2383" s="5">
        <v>0</v>
      </c>
      <c r="I2383" s="6">
        <v>710000000</v>
      </c>
      <c r="J2383" s="4" t="s">
        <v>1931</v>
      </c>
      <c r="K2383" s="4" t="s">
        <v>5297</v>
      </c>
      <c r="L2383" s="3" t="s">
        <v>1165</v>
      </c>
      <c r="M2383" s="8" t="s">
        <v>3195</v>
      </c>
      <c r="N2383" s="3" t="s">
        <v>1890</v>
      </c>
      <c r="O2383" s="8" t="s">
        <v>1935</v>
      </c>
      <c r="P2383" s="60">
        <v>839</v>
      </c>
      <c r="Q2383" s="3" t="s">
        <v>5419</v>
      </c>
      <c r="R2383" s="69">
        <v>5</v>
      </c>
      <c r="S2383" s="69">
        <v>41232.14</v>
      </c>
      <c r="T2383" s="10">
        <v>0</v>
      </c>
      <c r="U2383" s="10">
        <f t="shared" si="1229"/>
        <v>0</v>
      </c>
      <c r="V2383" s="7"/>
      <c r="W2383" s="1">
        <v>2015</v>
      </c>
      <c r="X2383" s="62">
        <v>7.11</v>
      </c>
    </row>
    <row r="2384" spans="1:24" s="13" customFormat="1" ht="76.5" customHeight="1" outlineLevel="1" x14ac:dyDescent="0.2">
      <c r="A2384" s="1" t="s">
        <v>7793</v>
      </c>
      <c r="B2384" s="2" t="s">
        <v>5277</v>
      </c>
      <c r="C2384" s="3" t="s">
        <v>329</v>
      </c>
      <c r="D2384" s="3" t="s">
        <v>328</v>
      </c>
      <c r="E2384" s="3" t="s">
        <v>327</v>
      </c>
      <c r="F2384" s="3" t="s">
        <v>326</v>
      </c>
      <c r="G2384" s="4" t="s">
        <v>3190</v>
      </c>
      <c r="H2384" s="5">
        <v>0</v>
      </c>
      <c r="I2384" s="6">
        <v>710000000</v>
      </c>
      <c r="J2384" s="4" t="s">
        <v>1931</v>
      </c>
      <c r="K2384" s="4" t="s">
        <v>756</v>
      </c>
      <c r="L2384" s="3" t="s">
        <v>1165</v>
      </c>
      <c r="M2384" s="8" t="s">
        <v>3195</v>
      </c>
      <c r="N2384" s="3" t="s">
        <v>1890</v>
      </c>
      <c r="O2384" s="8" t="s">
        <v>1935</v>
      </c>
      <c r="P2384" s="60">
        <v>839</v>
      </c>
      <c r="Q2384" s="3" t="s">
        <v>5419</v>
      </c>
      <c r="R2384" s="69">
        <v>5</v>
      </c>
      <c r="S2384" s="69">
        <v>41232.14</v>
      </c>
      <c r="T2384" s="10">
        <v>0</v>
      </c>
      <c r="U2384" s="10">
        <f t="shared" ref="U2384" si="1353">T2384*1.12</f>
        <v>0</v>
      </c>
      <c r="V2384" s="7"/>
      <c r="W2384" s="1">
        <v>2015</v>
      </c>
      <c r="X2384" s="62" t="s">
        <v>7518</v>
      </c>
    </row>
    <row r="2385" spans="1:24" s="13" customFormat="1" ht="76.5" customHeight="1" outlineLevel="1" x14ac:dyDescent="0.2">
      <c r="A2385" s="1" t="s">
        <v>9516</v>
      </c>
      <c r="B2385" s="2" t="s">
        <v>5277</v>
      </c>
      <c r="C2385" s="3" t="s">
        <v>329</v>
      </c>
      <c r="D2385" s="3" t="s">
        <v>328</v>
      </c>
      <c r="E2385" s="3" t="s">
        <v>327</v>
      </c>
      <c r="F2385" s="3" t="s">
        <v>326</v>
      </c>
      <c r="G2385" s="4" t="s">
        <v>3190</v>
      </c>
      <c r="H2385" s="5">
        <v>0</v>
      </c>
      <c r="I2385" s="6">
        <v>710000000</v>
      </c>
      <c r="J2385" s="4" t="s">
        <v>1931</v>
      </c>
      <c r="K2385" s="4" t="s">
        <v>9276</v>
      </c>
      <c r="L2385" s="3" t="s">
        <v>1165</v>
      </c>
      <c r="M2385" s="8" t="s">
        <v>3195</v>
      </c>
      <c r="N2385" s="3" t="s">
        <v>1890</v>
      </c>
      <c r="O2385" s="8" t="s">
        <v>1935</v>
      </c>
      <c r="P2385" s="60">
        <v>839</v>
      </c>
      <c r="Q2385" s="3" t="s">
        <v>5419</v>
      </c>
      <c r="R2385" s="69">
        <f>5+7</f>
        <v>12</v>
      </c>
      <c r="S2385" s="69">
        <v>41232.14</v>
      </c>
      <c r="T2385" s="10">
        <f t="shared" ref="T2385" si="1354">S2385*R2385</f>
        <v>494785.68</v>
      </c>
      <c r="U2385" s="10">
        <f t="shared" ref="U2385" si="1355">T2385*1.12</f>
        <v>554159.96160000004</v>
      </c>
      <c r="V2385" s="7"/>
      <c r="W2385" s="1">
        <v>2015</v>
      </c>
      <c r="X2385" s="62"/>
    </row>
    <row r="2386" spans="1:24" s="13" customFormat="1" ht="76.5" customHeight="1" outlineLevel="1" x14ac:dyDescent="0.2">
      <c r="A2386" s="1" t="s">
        <v>4021</v>
      </c>
      <c r="B2386" s="2" t="s">
        <v>5277</v>
      </c>
      <c r="C2386" s="6" t="s">
        <v>325</v>
      </c>
      <c r="D2386" s="6" t="s">
        <v>5216</v>
      </c>
      <c r="E2386" s="6" t="s">
        <v>324</v>
      </c>
      <c r="F2386" s="3" t="s">
        <v>323</v>
      </c>
      <c r="G2386" s="4" t="s">
        <v>1888</v>
      </c>
      <c r="H2386" s="5">
        <v>0</v>
      </c>
      <c r="I2386" s="6">
        <v>710000000</v>
      </c>
      <c r="J2386" s="4" t="s">
        <v>1931</v>
      </c>
      <c r="K2386" s="4" t="s">
        <v>5297</v>
      </c>
      <c r="L2386" s="3" t="s">
        <v>1165</v>
      </c>
      <c r="M2386" s="8" t="s">
        <v>3195</v>
      </c>
      <c r="N2386" s="3" t="s">
        <v>1890</v>
      </c>
      <c r="O2386" s="8" t="s">
        <v>1935</v>
      </c>
      <c r="P2386" s="60" t="s">
        <v>3334</v>
      </c>
      <c r="Q2386" s="3" t="s">
        <v>5477</v>
      </c>
      <c r="R2386" s="69">
        <f>50+870</f>
        <v>920</v>
      </c>
      <c r="S2386" s="69">
        <v>1910.71</v>
      </c>
      <c r="T2386" s="10">
        <v>0</v>
      </c>
      <c r="U2386" s="10">
        <f t="shared" si="1229"/>
        <v>0</v>
      </c>
      <c r="V2386" s="7"/>
      <c r="W2386" s="1">
        <v>2015</v>
      </c>
      <c r="X2386" s="62" t="s">
        <v>7678</v>
      </c>
    </row>
    <row r="2387" spans="1:24" s="13" customFormat="1" ht="76.5" customHeight="1" outlineLevel="1" x14ac:dyDescent="0.2">
      <c r="A2387" s="1" t="s">
        <v>7794</v>
      </c>
      <c r="B2387" s="2" t="s">
        <v>5277</v>
      </c>
      <c r="C2387" s="6" t="s">
        <v>325</v>
      </c>
      <c r="D2387" s="6" t="s">
        <v>5216</v>
      </c>
      <c r="E2387" s="6" t="s">
        <v>324</v>
      </c>
      <c r="F2387" s="3" t="s">
        <v>323</v>
      </c>
      <c r="G2387" s="4" t="s">
        <v>3190</v>
      </c>
      <c r="H2387" s="5">
        <v>0</v>
      </c>
      <c r="I2387" s="6">
        <v>710000000</v>
      </c>
      <c r="J2387" s="4" t="s">
        <v>1931</v>
      </c>
      <c r="K2387" s="4" t="s">
        <v>756</v>
      </c>
      <c r="L2387" s="3" t="s">
        <v>1165</v>
      </c>
      <c r="M2387" s="8" t="s">
        <v>3195</v>
      </c>
      <c r="N2387" s="3" t="s">
        <v>1890</v>
      </c>
      <c r="O2387" s="8" t="s">
        <v>1935</v>
      </c>
      <c r="P2387" s="60" t="s">
        <v>3334</v>
      </c>
      <c r="Q2387" s="3" t="s">
        <v>5477</v>
      </c>
      <c r="R2387" s="69">
        <f>50+350</f>
        <v>400</v>
      </c>
      <c r="S2387" s="69">
        <v>1910.71</v>
      </c>
      <c r="T2387" s="10">
        <v>0</v>
      </c>
      <c r="U2387" s="10">
        <f t="shared" ref="U2387" si="1356">T2387*1.12</f>
        <v>0</v>
      </c>
      <c r="V2387" s="7"/>
      <c r="W2387" s="1">
        <v>2015</v>
      </c>
      <c r="X2387" s="62"/>
    </row>
    <row r="2388" spans="1:24" s="13" customFormat="1" ht="76.5" customHeight="1" outlineLevel="1" x14ac:dyDescent="0.2">
      <c r="A2388" s="1" t="s">
        <v>9522</v>
      </c>
      <c r="B2388" s="2" t="s">
        <v>5277</v>
      </c>
      <c r="C2388" s="6" t="s">
        <v>325</v>
      </c>
      <c r="D2388" s="6" t="s">
        <v>5216</v>
      </c>
      <c r="E2388" s="6" t="s">
        <v>324</v>
      </c>
      <c r="F2388" s="3" t="s">
        <v>323</v>
      </c>
      <c r="G2388" s="4" t="s">
        <v>3190</v>
      </c>
      <c r="H2388" s="5">
        <v>0</v>
      </c>
      <c r="I2388" s="6">
        <v>710000000</v>
      </c>
      <c r="J2388" s="4" t="s">
        <v>1931</v>
      </c>
      <c r="K2388" s="4" t="s">
        <v>9276</v>
      </c>
      <c r="L2388" s="3" t="s">
        <v>1165</v>
      </c>
      <c r="M2388" s="8" t="s">
        <v>3195</v>
      </c>
      <c r="N2388" s="3" t="s">
        <v>1890</v>
      </c>
      <c r="O2388" s="8" t="s">
        <v>1935</v>
      </c>
      <c r="P2388" s="60" t="s">
        <v>3334</v>
      </c>
      <c r="Q2388" s="3" t="s">
        <v>5477</v>
      </c>
      <c r="R2388" s="69">
        <f>50+350+500</f>
        <v>900</v>
      </c>
      <c r="S2388" s="69">
        <v>1910.71</v>
      </c>
      <c r="T2388" s="10">
        <f>R2388*S2388</f>
        <v>1719639</v>
      </c>
      <c r="U2388" s="10">
        <f t="shared" ref="U2388" si="1357">T2388*1.12</f>
        <v>1925995.6800000002</v>
      </c>
      <c r="V2388" s="7"/>
      <c r="W2388" s="1">
        <v>2015</v>
      </c>
      <c r="X2388" s="62"/>
    </row>
    <row r="2389" spans="1:24" s="13" customFormat="1" ht="76.5" customHeight="1" outlineLevel="1" x14ac:dyDescent="0.2">
      <c r="A2389" s="1" t="s">
        <v>4022</v>
      </c>
      <c r="B2389" s="2" t="s">
        <v>5277</v>
      </c>
      <c r="C2389" s="6" t="s">
        <v>322</v>
      </c>
      <c r="D2389" s="6" t="s">
        <v>5223</v>
      </c>
      <c r="E2389" s="6" t="s">
        <v>321</v>
      </c>
      <c r="F2389" s="3"/>
      <c r="G2389" s="4" t="s">
        <v>1888</v>
      </c>
      <c r="H2389" s="5">
        <v>0</v>
      </c>
      <c r="I2389" s="6">
        <v>710000000</v>
      </c>
      <c r="J2389" s="4" t="s">
        <v>1931</v>
      </c>
      <c r="K2389" s="4" t="s">
        <v>5297</v>
      </c>
      <c r="L2389" s="3" t="s">
        <v>1165</v>
      </c>
      <c r="M2389" s="8" t="s">
        <v>3195</v>
      </c>
      <c r="N2389" s="3" t="s">
        <v>1890</v>
      </c>
      <c r="O2389" s="8" t="s">
        <v>1935</v>
      </c>
      <c r="P2389" s="60" t="s">
        <v>3334</v>
      </c>
      <c r="Q2389" s="3" t="s">
        <v>5477</v>
      </c>
      <c r="R2389" s="69">
        <v>870</v>
      </c>
      <c r="S2389" s="69">
        <v>81.25</v>
      </c>
      <c r="T2389" s="10">
        <v>0</v>
      </c>
      <c r="U2389" s="10">
        <f t="shared" si="1229"/>
        <v>0</v>
      </c>
      <c r="V2389" s="7"/>
      <c r="W2389" s="1">
        <v>2015</v>
      </c>
      <c r="X2389" s="62" t="s">
        <v>7678</v>
      </c>
    </row>
    <row r="2390" spans="1:24" s="13" customFormat="1" ht="76.5" customHeight="1" outlineLevel="1" x14ac:dyDescent="0.2">
      <c r="A2390" s="1" t="s">
        <v>7795</v>
      </c>
      <c r="B2390" s="2" t="s">
        <v>5277</v>
      </c>
      <c r="C2390" s="6" t="s">
        <v>322</v>
      </c>
      <c r="D2390" s="6" t="s">
        <v>5223</v>
      </c>
      <c r="E2390" s="6" t="s">
        <v>321</v>
      </c>
      <c r="F2390" s="3"/>
      <c r="G2390" s="4" t="s">
        <v>3190</v>
      </c>
      <c r="H2390" s="5">
        <v>0</v>
      </c>
      <c r="I2390" s="6">
        <v>710000000</v>
      </c>
      <c r="J2390" s="4" t="s">
        <v>1931</v>
      </c>
      <c r="K2390" s="4" t="s">
        <v>756</v>
      </c>
      <c r="L2390" s="3" t="s">
        <v>1165</v>
      </c>
      <c r="M2390" s="8" t="s">
        <v>3195</v>
      </c>
      <c r="N2390" s="3" t="s">
        <v>1890</v>
      </c>
      <c r="O2390" s="8" t="s">
        <v>1935</v>
      </c>
      <c r="P2390" s="60" t="s">
        <v>3334</v>
      </c>
      <c r="Q2390" s="3" t="s">
        <v>5477</v>
      </c>
      <c r="R2390" s="69">
        <v>350</v>
      </c>
      <c r="S2390" s="69">
        <v>81.25</v>
      </c>
      <c r="T2390" s="10">
        <v>0</v>
      </c>
      <c r="U2390" s="10">
        <f t="shared" ref="U2390" si="1358">T2390*1.12</f>
        <v>0</v>
      </c>
      <c r="V2390" s="7"/>
      <c r="W2390" s="1">
        <v>2015</v>
      </c>
      <c r="X2390" s="62" t="s">
        <v>7518</v>
      </c>
    </row>
    <row r="2391" spans="1:24" s="13" customFormat="1" ht="76.5" customHeight="1" outlineLevel="1" x14ac:dyDescent="0.2">
      <c r="A2391" s="1" t="s">
        <v>8972</v>
      </c>
      <c r="B2391" s="2" t="s">
        <v>5277</v>
      </c>
      <c r="C2391" s="6" t="s">
        <v>322</v>
      </c>
      <c r="D2391" s="6" t="s">
        <v>5223</v>
      </c>
      <c r="E2391" s="6" t="s">
        <v>321</v>
      </c>
      <c r="F2391" s="3"/>
      <c r="G2391" s="4" t="s">
        <v>3190</v>
      </c>
      <c r="H2391" s="5">
        <v>0</v>
      </c>
      <c r="I2391" s="6">
        <v>710000000</v>
      </c>
      <c r="J2391" s="4" t="s">
        <v>1931</v>
      </c>
      <c r="K2391" s="4" t="s">
        <v>8946</v>
      </c>
      <c r="L2391" s="3" t="s">
        <v>1165</v>
      </c>
      <c r="M2391" s="8" t="s">
        <v>3195</v>
      </c>
      <c r="N2391" s="3" t="s">
        <v>1890</v>
      </c>
      <c r="O2391" s="8" t="s">
        <v>1935</v>
      </c>
      <c r="P2391" s="60" t="s">
        <v>3334</v>
      </c>
      <c r="Q2391" s="3" t="s">
        <v>5477</v>
      </c>
      <c r="R2391" s="69">
        <f>350+140</f>
        <v>490</v>
      </c>
      <c r="S2391" s="69">
        <v>81.25</v>
      </c>
      <c r="T2391" s="10">
        <v>0</v>
      </c>
      <c r="U2391" s="10">
        <f t="shared" ref="U2391" si="1359">T2391*1.12</f>
        <v>0</v>
      </c>
      <c r="V2391" s="7"/>
      <c r="W2391" s="1">
        <v>2015</v>
      </c>
      <c r="X2391" s="62" t="s">
        <v>6562</v>
      </c>
    </row>
    <row r="2392" spans="1:24" s="13" customFormat="1" ht="76.5" customHeight="1" outlineLevel="1" x14ac:dyDescent="0.2">
      <c r="A2392" s="1" t="s">
        <v>9049</v>
      </c>
      <c r="B2392" s="2" t="s">
        <v>5277</v>
      </c>
      <c r="C2392" s="6" t="s">
        <v>322</v>
      </c>
      <c r="D2392" s="6" t="s">
        <v>5223</v>
      </c>
      <c r="E2392" s="6" t="s">
        <v>321</v>
      </c>
      <c r="F2392" s="3"/>
      <c r="G2392" s="4" t="s">
        <v>3190</v>
      </c>
      <c r="H2392" s="5">
        <v>0</v>
      </c>
      <c r="I2392" s="6">
        <v>710000000</v>
      </c>
      <c r="J2392" s="4" t="s">
        <v>1931</v>
      </c>
      <c r="K2392" s="4" t="s">
        <v>8946</v>
      </c>
      <c r="L2392" s="3" t="s">
        <v>1165</v>
      </c>
      <c r="M2392" s="8" t="s">
        <v>3195</v>
      </c>
      <c r="N2392" s="3" t="s">
        <v>1890</v>
      </c>
      <c r="O2392" s="8" t="s">
        <v>1935</v>
      </c>
      <c r="P2392" s="60" t="s">
        <v>3334</v>
      </c>
      <c r="Q2392" s="3" t="s">
        <v>5477</v>
      </c>
      <c r="R2392" s="69">
        <f>350+140+40</f>
        <v>530</v>
      </c>
      <c r="S2392" s="69">
        <v>81.25</v>
      </c>
      <c r="T2392" s="10">
        <v>0</v>
      </c>
      <c r="U2392" s="10">
        <f t="shared" ref="U2392" si="1360">T2392*1.12</f>
        <v>0</v>
      </c>
      <c r="V2392" s="7"/>
      <c r="W2392" s="1">
        <v>2015</v>
      </c>
      <c r="X2392" s="62" t="s">
        <v>7518</v>
      </c>
    </row>
    <row r="2393" spans="1:24" s="13" customFormat="1" ht="76.5" customHeight="1" outlineLevel="1" x14ac:dyDescent="0.2">
      <c r="A2393" s="1" t="s">
        <v>9524</v>
      </c>
      <c r="B2393" s="2" t="s">
        <v>5277</v>
      </c>
      <c r="C2393" s="6" t="s">
        <v>322</v>
      </c>
      <c r="D2393" s="6" t="s">
        <v>5223</v>
      </c>
      <c r="E2393" s="6" t="s">
        <v>321</v>
      </c>
      <c r="F2393" s="3"/>
      <c r="G2393" s="4" t="s">
        <v>3190</v>
      </c>
      <c r="H2393" s="5">
        <v>0</v>
      </c>
      <c r="I2393" s="6">
        <v>710000000</v>
      </c>
      <c r="J2393" s="4" t="s">
        <v>1931</v>
      </c>
      <c r="K2393" s="4" t="s">
        <v>9303</v>
      </c>
      <c r="L2393" s="3" t="s">
        <v>1165</v>
      </c>
      <c r="M2393" s="8" t="s">
        <v>3195</v>
      </c>
      <c r="N2393" s="3" t="s">
        <v>1890</v>
      </c>
      <c r="O2393" s="8" t="s">
        <v>1935</v>
      </c>
      <c r="P2393" s="60" t="s">
        <v>3334</v>
      </c>
      <c r="Q2393" s="3" t="s">
        <v>5477</v>
      </c>
      <c r="R2393" s="69">
        <f>350+140+40+510</f>
        <v>1040</v>
      </c>
      <c r="S2393" s="69">
        <v>81.25</v>
      </c>
      <c r="T2393" s="10">
        <f t="shared" ref="T2393" si="1361">S2393*R2393</f>
        <v>84500</v>
      </c>
      <c r="U2393" s="10">
        <f t="shared" ref="U2393" si="1362">T2393*1.12</f>
        <v>94640.000000000015</v>
      </c>
      <c r="V2393" s="7"/>
      <c r="W2393" s="1">
        <v>2015</v>
      </c>
      <c r="X2393" s="62"/>
    </row>
    <row r="2394" spans="1:24" s="13" customFormat="1" ht="76.5" customHeight="1" outlineLevel="1" x14ac:dyDescent="0.2">
      <c r="A2394" s="1" t="s">
        <v>4023</v>
      </c>
      <c r="B2394" s="2" t="s">
        <v>5277</v>
      </c>
      <c r="C2394" s="2" t="s">
        <v>1813</v>
      </c>
      <c r="D2394" s="2" t="s">
        <v>320</v>
      </c>
      <c r="E2394" s="2" t="s">
        <v>5214</v>
      </c>
      <c r="F2394" s="2" t="s">
        <v>319</v>
      </c>
      <c r="G2394" s="4" t="s">
        <v>1888</v>
      </c>
      <c r="H2394" s="5">
        <v>0</v>
      </c>
      <c r="I2394" s="6">
        <v>710000000</v>
      </c>
      <c r="J2394" s="4" t="s">
        <v>1931</v>
      </c>
      <c r="K2394" s="4" t="s">
        <v>5297</v>
      </c>
      <c r="L2394" s="3" t="s">
        <v>1165</v>
      </c>
      <c r="M2394" s="8" t="s">
        <v>3195</v>
      </c>
      <c r="N2394" s="3" t="s">
        <v>1890</v>
      </c>
      <c r="O2394" s="8" t="s">
        <v>1935</v>
      </c>
      <c r="P2394" s="60" t="s">
        <v>3010</v>
      </c>
      <c r="Q2394" s="3" t="s">
        <v>3009</v>
      </c>
      <c r="R2394" s="69">
        <f>80+62+10+20</f>
        <v>172</v>
      </c>
      <c r="S2394" s="69">
        <v>2200</v>
      </c>
      <c r="T2394" s="10">
        <v>0</v>
      </c>
      <c r="U2394" s="10">
        <f t="shared" ref="U2394:U2581" si="1363">T2394*1.12</f>
        <v>0</v>
      </c>
      <c r="V2394" s="7"/>
      <c r="W2394" s="1">
        <v>2015</v>
      </c>
      <c r="X2394" s="62" t="s">
        <v>7678</v>
      </c>
    </row>
    <row r="2395" spans="1:24" s="13" customFormat="1" ht="76.5" customHeight="1" outlineLevel="1" x14ac:dyDescent="0.2">
      <c r="A2395" s="1" t="s">
        <v>7796</v>
      </c>
      <c r="B2395" s="2" t="s">
        <v>5277</v>
      </c>
      <c r="C2395" s="2" t="s">
        <v>1813</v>
      </c>
      <c r="D2395" s="2" t="s">
        <v>320</v>
      </c>
      <c r="E2395" s="2" t="s">
        <v>5214</v>
      </c>
      <c r="F2395" s="2" t="s">
        <v>319</v>
      </c>
      <c r="G2395" s="4" t="s">
        <v>3190</v>
      </c>
      <c r="H2395" s="5">
        <v>0</v>
      </c>
      <c r="I2395" s="6">
        <v>710000000</v>
      </c>
      <c r="J2395" s="4" t="s">
        <v>1931</v>
      </c>
      <c r="K2395" s="4" t="s">
        <v>756</v>
      </c>
      <c r="L2395" s="3" t="s">
        <v>1165</v>
      </c>
      <c r="M2395" s="8" t="s">
        <v>3195</v>
      </c>
      <c r="N2395" s="3" t="s">
        <v>1890</v>
      </c>
      <c r="O2395" s="8" t="s">
        <v>1935</v>
      </c>
      <c r="P2395" s="60" t="s">
        <v>3010</v>
      </c>
      <c r="Q2395" s="3" t="s">
        <v>3009</v>
      </c>
      <c r="R2395" s="69">
        <f>30+30+5+10</f>
        <v>75</v>
      </c>
      <c r="S2395" s="69">
        <v>2200</v>
      </c>
      <c r="T2395" s="10">
        <f t="shared" ref="T2395" si="1364">S2395*R2395</f>
        <v>165000</v>
      </c>
      <c r="U2395" s="10">
        <f t="shared" ref="U2395" si="1365">T2395*1.12</f>
        <v>184800.00000000003</v>
      </c>
      <c r="V2395" s="7"/>
      <c r="W2395" s="1">
        <v>2015</v>
      </c>
      <c r="X2395" s="62"/>
    </row>
    <row r="2396" spans="1:24" s="13" customFormat="1" ht="76.5" customHeight="1" outlineLevel="1" x14ac:dyDescent="0.2">
      <c r="A2396" s="1" t="s">
        <v>4024</v>
      </c>
      <c r="B2396" s="2" t="s">
        <v>5277</v>
      </c>
      <c r="C2396" s="2" t="s">
        <v>3093</v>
      </c>
      <c r="D2396" s="6" t="s">
        <v>318</v>
      </c>
      <c r="E2396" s="6" t="s">
        <v>5220</v>
      </c>
      <c r="F2396" s="2" t="s">
        <v>5219</v>
      </c>
      <c r="G2396" s="4" t="s">
        <v>1888</v>
      </c>
      <c r="H2396" s="5">
        <v>0</v>
      </c>
      <c r="I2396" s="6">
        <v>710000000</v>
      </c>
      <c r="J2396" s="4" t="s">
        <v>1931</v>
      </c>
      <c r="K2396" s="4" t="s">
        <v>5297</v>
      </c>
      <c r="L2396" s="3" t="s">
        <v>1165</v>
      </c>
      <c r="M2396" s="8" t="s">
        <v>3195</v>
      </c>
      <c r="N2396" s="3" t="s">
        <v>1890</v>
      </c>
      <c r="O2396" s="8" t="s">
        <v>1935</v>
      </c>
      <c r="P2396" s="60" t="s">
        <v>3334</v>
      </c>
      <c r="Q2396" s="3" t="s">
        <v>5477</v>
      </c>
      <c r="R2396" s="69">
        <f>200+50</f>
        <v>250</v>
      </c>
      <c r="S2396" s="69">
        <v>1813.27</v>
      </c>
      <c r="T2396" s="10">
        <v>0</v>
      </c>
      <c r="U2396" s="10">
        <f t="shared" si="1363"/>
        <v>0</v>
      </c>
      <c r="V2396" s="7"/>
      <c r="W2396" s="1">
        <v>2015</v>
      </c>
      <c r="X2396" s="62" t="s">
        <v>7678</v>
      </c>
    </row>
    <row r="2397" spans="1:24" s="13" customFormat="1" ht="76.5" customHeight="1" outlineLevel="1" x14ac:dyDescent="0.2">
      <c r="A2397" s="1" t="s">
        <v>7797</v>
      </c>
      <c r="B2397" s="2" t="s">
        <v>5277</v>
      </c>
      <c r="C2397" s="2" t="s">
        <v>3093</v>
      </c>
      <c r="D2397" s="6" t="s">
        <v>318</v>
      </c>
      <c r="E2397" s="6" t="s">
        <v>5220</v>
      </c>
      <c r="F2397" s="2" t="s">
        <v>5219</v>
      </c>
      <c r="G2397" s="4" t="s">
        <v>3190</v>
      </c>
      <c r="H2397" s="5">
        <v>0</v>
      </c>
      <c r="I2397" s="6">
        <v>710000000</v>
      </c>
      <c r="J2397" s="4" t="s">
        <v>1931</v>
      </c>
      <c r="K2397" s="4" t="s">
        <v>756</v>
      </c>
      <c r="L2397" s="3" t="s">
        <v>1165</v>
      </c>
      <c r="M2397" s="8" t="s">
        <v>3195</v>
      </c>
      <c r="N2397" s="3" t="s">
        <v>1890</v>
      </c>
      <c r="O2397" s="8" t="s">
        <v>1935</v>
      </c>
      <c r="P2397" s="60" t="s">
        <v>3334</v>
      </c>
      <c r="Q2397" s="3" t="s">
        <v>5477</v>
      </c>
      <c r="R2397" s="69">
        <f>100+50</f>
        <v>150</v>
      </c>
      <c r="S2397" s="69">
        <v>1813.27</v>
      </c>
      <c r="T2397" s="10">
        <f t="shared" ref="T2397" si="1366">S2397*R2397</f>
        <v>271990.5</v>
      </c>
      <c r="U2397" s="10">
        <f t="shared" ref="U2397" si="1367">T2397*1.12</f>
        <v>304629.36000000004</v>
      </c>
      <c r="V2397" s="7"/>
      <c r="W2397" s="1">
        <v>2015</v>
      </c>
      <c r="X2397" s="62"/>
    </row>
    <row r="2398" spans="1:24" s="13" customFormat="1" ht="76.5" customHeight="1" outlineLevel="1" x14ac:dyDescent="0.2">
      <c r="A2398" s="1" t="s">
        <v>4025</v>
      </c>
      <c r="B2398" s="2" t="s">
        <v>5277</v>
      </c>
      <c r="C2398" s="2" t="s">
        <v>3093</v>
      </c>
      <c r="D2398" s="6" t="s">
        <v>318</v>
      </c>
      <c r="E2398" s="6" t="s">
        <v>5220</v>
      </c>
      <c r="F2398" s="2" t="s">
        <v>317</v>
      </c>
      <c r="G2398" s="4" t="s">
        <v>1888</v>
      </c>
      <c r="H2398" s="5">
        <v>0</v>
      </c>
      <c r="I2398" s="6">
        <v>710000000</v>
      </c>
      <c r="J2398" s="4" t="s">
        <v>1931</v>
      </c>
      <c r="K2398" s="4" t="s">
        <v>5297</v>
      </c>
      <c r="L2398" s="3" t="s">
        <v>1165</v>
      </c>
      <c r="M2398" s="8" t="s">
        <v>3195</v>
      </c>
      <c r="N2398" s="3" t="s">
        <v>1890</v>
      </c>
      <c r="O2398" s="8" t="s">
        <v>1935</v>
      </c>
      <c r="P2398" s="60" t="s">
        <v>3334</v>
      </c>
      <c r="Q2398" s="3" t="s">
        <v>5477</v>
      </c>
      <c r="R2398" s="69">
        <v>130</v>
      </c>
      <c r="S2398" s="69">
        <v>1785.71</v>
      </c>
      <c r="T2398" s="10">
        <v>0</v>
      </c>
      <c r="U2398" s="10">
        <f t="shared" si="1363"/>
        <v>0</v>
      </c>
      <c r="V2398" s="7"/>
      <c r="W2398" s="1">
        <v>2015</v>
      </c>
      <c r="X2398" s="62" t="s">
        <v>7678</v>
      </c>
    </row>
    <row r="2399" spans="1:24" s="13" customFormat="1" ht="76.5" customHeight="1" outlineLevel="1" x14ac:dyDescent="0.2">
      <c r="A2399" s="1" t="s">
        <v>7798</v>
      </c>
      <c r="B2399" s="2" t="s">
        <v>5277</v>
      </c>
      <c r="C2399" s="2" t="s">
        <v>3093</v>
      </c>
      <c r="D2399" s="6" t="s">
        <v>318</v>
      </c>
      <c r="E2399" s="6" t="s">
        <v>5220</v>
      </c>
      <c r="F2399" s="2" t="s">
        <v>317</v>
      </c>
      <c r="G2399" s="4" t="s">
        <v>3190</v>
      </c>
      <c r="H2399" s="5">
        <v>0</v>
      </c>
      <c r="I2399" s="6">
        <v>710000000</v>
      </c>
      <c r="J2399" s="4" t="s">
        <v>1931</v>
      </c>
      <c r="K2399" s="4" t="s">
        <v>756</v>
      </c>
      <c r="L2399" s="3" t="s">
        <v>1165</v>
      </c>
      <c r="M2399" s="8" t="s">
        <v>3195</v>
      </c>
      <c r="N2399" s="3" t="s">
        <v>1890</v>
      </c>
      <c r="O2399" s="8" t="s">
        <v>1935</v>
      </c>
      <c r="P2399" s="60" t="s">
        <v>3334</v>
      </c>
      <c r="Q2399" s="3" t="s">
        <v>5477</v>
      </c>
      <c r="R2399" s="69">
        <v>70</v>
      </c>
      <c r="S2399" s="69">
        <v>1785.71</v>
      </c>
      <c r="T2399" s="10">
        <v>0</v>
      </c>
      <c r="U2399" s="10">
        <f t="shared" ref="U2399" si="1368">T2399*1.12</f>
        <v>0</v>
      </c>
      <c r="V2399" s="7"/>
      <c r="W2399" s="1">
        <v>2015</v>
      </c>
      <c r="X2399" s="62" t="s">
        <v>7518</v>
      </c>
    </row>
    <row r="2400" spans="1:24" s="13" customFormat="1" ht="76.5" customHeight="1" outlineLevel="1" x14ac:dyDescent="0.2">
      <c r="A2400" s="1" t="s">
        <v>9633</v>
      </c>
      <c r="B2400" s="2" t="s">
        <v>5277</v>
      </c>
      <c r="C2400" s="2" t="s">
        <v>3093</v>
      </c>
      <c r="D2400" s="6" t="s">
        <v>318</v>
      </c>
      <c r="E2400" s="6" t="s">
        <v>5220</v>
      </c>
      <c r="F2400" s="2" t="s">
        <v>317</v>
      </c>
      <c r="G2400" s="4" t="s">
        <v>3190</v>
      </c>
      <c r="H2400" s="5">
        <v>0</v>
      </c>
      <c r="I2400" s="6">
        <v>710000000</v>
      </c>
      <c r="J2400" s="4" t="s">
        <v>1931</v>
      </c>
      <c r="K2400" s="4" t="s">
        <v>9276</v>
      </c>
      <c r="L2400" s="3" t="s">
        <v>1165</v>
      </c>
      <c r="M2400" s="8" t="s">
        <v>3195</v>
      </c>
      <c r="N2400" s="3" t="s">
        <v>1890</v>
      </c>
      <c r="O2400" s="8" t="s">
        <v>1935</v>
      </c>
      <c r="P2400" s="60" t="s">
        <v>3334</v>
      </c>
      <c r="Q2400" s="3" t="s">
        <v>5477</v>
      </c>
      <c r="R2400" s="69">
        <f>70+50</f>
        <v>120</v>
      </c>
      <c r="S2400" s="69">
        <v>1785.71</v>
      </c>
      <c r="T2400" s="10">
        <f t="shared" ref="T2400" si="1369">S2400*R2400</f>
        <v>214285.2</v>
      </c>
      <c r="U2400" s="10">
        <f t="shared" ref="U2400" si="1370">T2400*1.12</f>
        <v>239999.42400000003</v>
      </c>
      <c r="V2400" s="7"/>
      <c r="W2400" s="1">
        <v>2015</v>
      </c>
      <c r="X2400" s="62"/>
    </row>
    <row r="2401" spans="1:24" s="13" customFormat="1" ht="76.5" customHeight="1" outlineLevel="1" x14ac:dyDescent="0.2">
      <c r="A2401" s="1" t="s">
        <v>4026</v>
      </c>
      <c r="B2401" s="2" t="s">
        <v>5277</v>
      </c>
      <c r="C2401" s="6" t="s">
        <v>316</v>
      </c>
      <c r="D2401" s="6" t="s">
        <v>3333</v>
      </c>
      <c r="E2401" s="6" t="s">
        <v>315</v>
      </c>
      <c r="F2401" s="3"/>
      <c r="G2401" s="4" t="s">
        <v>1888</v>
      </c>
      <c r="H2401" s="5">
        <v>0</v>
      </c>
      <c r="I2401" s="6">
        <v>710000000</v>
      </c>
      <c r="J2401" s="4" t="s">
        <v>1931</v>
      </c>
      <c r="K2401" s="4" t="s">
        <v>5297</v>
      </c>
      <c r="L2401" s="3" t="s">
        <v>1165</v>
      </c>
      <c r="M2401" s="8" t="s">
        <v>3195</v>
      </c>
      <c r="N2401" s="3" t="s">
        <v>1890</v>
      </c>
      <c r="O2401" s="8" t="s">
        <v>1935</v>
      </c>
      <c r="P2401" s="60" t="s">
        <v>3334</v>
      </c>
      <c r="Q2401" s="3" t="s">
        <v>5477</v>
      </c>
      <c r="R2401" s="69">
        <v>50</v>
      </c>
      <c r="S2401" s="69">
        <v>1433.04</v>
      </c>
      <c r="T2401" s="10">
        <v>0</v>
      </c>
      <c r="U2401" s="10">
        <f t="shared" si="1363"/>
        <v>0</v>
      </c>
      <c r="V2401" s="7"/>
      <c r="W2401" s="1">
        <v>2015</v>
      </c>
      <c r="X2401" s="62" t="s">
        <v>7678</v>
      </c>
    </row>
    <row r="2402" spans="1:24" s="13" customFormat="1" ht="76.5" customHeight="1" outlineLevel="1" x14ac:dyDescent="0.2">
      <c r="A2402" s="1" t="s">
        <v>7799</v>
      </c>
      <c r="B2402" s="2" t="s">
        <v>5277</v>
      </c>
      <c r="C2402" s="6" t="s">
        <v>316</v>
      </c>
      <c r="D2402" s="6" t="s">
        <v>3333</v>
      </c>
      <c r="E2402" s="6" t="s">
        <v>315</v>
      </c>
      <c r="F2402" s="3"/>
      <c r="G2402" s="4" t="s">
        <v>3190</v>
      </c>
      <c r="H2402" s="5">
        <v>0</v>
      </c>
      <c r="I2402" s="6">
        <v>710000000</v>
      </c>
      <c r="J2402" s="4" t="s">
        <v>1931</v>
      </c>
      <c r="K2402" s="4" t="s">
        <v>756</v>
      </c>
      <c r="L2402" s="3" t="s">
        <v>1165</v>
      </c>
      <c r="M2402" s="8" t="s">
        <v>3195</v>
      </c>
      <c r="N2402" s="3" t="s">
        <v>1890</v>
      </c>
      <c r="O2402" s="8" t="s">
        <v>1935</v>
      </c>
      <c r="P2402" s="60" t="s">
        <v>3334</v>
      </c>
      <c r="Q2402" s="3" t="s">
        <v>5477</v>
      </c>
      <c r="R2402" s="69">
        <v>20</v>
      </c>
      <c r="S2402" s="69">
        <v>1433.04</v>
      </c>
      <c r="T2402" s="10">
        <f t="shared" ref="T2402" si="1371">S2402*R2402</f>
        <v>28660.799999999999</v>
      </c>
      <c r="U2402" s="10">
        <f t="shared" ref="U2402" si="1372">T2402*1.12</f>
        <v>32100.096000000001</v>
      </c>
      <c r="V2402" s="7"/>
      <c r="W2402" s="1">
        <v>2015</v>
      </c>
      <c r="X2402" s="62"/>
    </row>
    <row r="2403" spans="1:24" s="13" customFormat="1" ht="76.5" customHeight="1" outlineLevel="1" x14ac:dyDescent="0.2">
      <c r="A2403" s="1" t="s">
        <v>4027</v>
      </c>
      <c r="B2403" s="38" t="s">
        <v>5277</v>
      </c>
      <c r="C2403" s="2" t="s">
        <v>3085</v>
      </c>
      <c r="D2403" s="2" t="s">
        <v>5486</v>
      </c>
      <c r="E2403" s="6" t="s">
        <v>5487</v>
      </c>
      <c r="F2403" s="52" t="s">
        <v>5695</v>
      </c>
      <c r="G2403" s="4" t="s">
        <v>1888</v>
      </c>
      <c r="H2403" s="5">
        <v>0</v>
      </c>
      <c r="I2403" s="6">
        <v>710000000</v>
      </c>
      <c r="J2403" s="4" t="s">
        <v>1931</v>
      </c>
      <c r="K2403" s="4" t="s">
        <v>5297</v>
      </c>
      <c r="L2403" s="3" t="s">
        <v>1165</v>
      </c>
      <c r="M2403" s="8" t="s">
        <v>3195</v>
      </c>
      <c r="N2403" s="3" t="s">
        <v>1890</v>
      </c>
      <c r="O2403" s="8" t="s">
        <v>1935</v>
      </c>
      <c r="P2403" s="60">
        <v>868</v>
      </c>
      <c r="Q2403" s="3" t="s">
        <v>5488</v>
      </c>
      <c r="R2403" s="9">
        <f>3+10+25+10</f>
        <v>48</v>
      </c>
      <c r="S2403" s="9">
        <v>334.38</v>
      </c>
      <c r="T2403" s="10">
        <v>0</v>
      </c>
      <c r="U2403" s="10">
        <f t="shared" si="1363"/>
        <v>0</v>
      </c>
      <c r="V2403" s="7"/>
      <c r="W2403" s="11">
        <v>2015</v>
      </c>
      <c r="X2403" s="12" t="s">
        <v>6562</v>
      </c>
    </row>
    <row r="2404" spans="1:24" s="13" customFormat="1" ht="76.5" customHeight="1" outlineLevel="1" x14ac:dyDescent="0.2">
      <c r="A2404" s="1" t="s">
        <v>6666</v>
      </c>
      <c r="B2404" s="2" t="s">
        <v>5277</v>
      </c>
      <c r="C2404" s="2" t="s">
        <v>3085</v>
      </c>
      <c r="D2404" s="2" t="s">
        <v>5486</v>
      </c>
      <c r="E2404" s="6" t="s">
        <v>5487</v>
      </c>
      <c r="F2404" s="52" t="s">
        <v>5695</v>
      </c>
      <c r="G2404" s="4" t="s">
        <v>1888</v>
      </c>
      <c r="H2404" s="5">
        <v>0</v>
      </c>
      <c r="I2404" s="6">
        <v>710000000</v>
      </c>
      <c r="J2404" s="4" t="s">
        <v>1931</v>
      </c>
      <c r="K2404" s="4" t="s">
        <v>5297</v>
      </c>
      <c r="L2404" s="3" t="s">
        <v>1165</v>
      </c>
      <c r="M2404" s="8" t="s">
        <v>3195</v>
      </c>
      <c r="N2404" s="3" t="s">
        <v>1890</v>
      </c>
      <c r="O2404" s="8" t="s">
        <v>1935</v>
      </c>
      <c r="P2404" s="60">
        <v>868</v>
      </c>
      <c r="Q2404" s="3" t="s">
        <v>5488</v>
      </c>
      <c r="R2404" s="69">
        <f>3+8+25+10</f>
        <v>46</v>
      </c>
      <c r="S2404" s="69">
        <v>334.38</v>
      </c>
      <c r="T2404" s="10">
        <v>0</v>
      </c>
      <c r="U2404" s="10">
        <f t="shared" si="1363"/>
        <v>0</v>
      </c>
      <c r="V2404" s="7"/>
      <c r="W2404" s="1">
        <v>2015</v>
      </c>
      <c r="X2404" s="62" t="s">
        <v>7678</v>
      </c>
    </row>
    <row r="2405" spans="1:24" s="13" customFormat="1" ht="76.5" customHeight="1" outlineLevel="1" x14ac:dyDescent="0.2">
      <c r="A2405" s="1" t="s">
        <v>7800</v>
      </c>
      <c r="B2405" s="2" t="s">
        <v>5277</v>
      </c>
      <c r="C2405" s="2" t="s">
        <v>3085</v>
      </c>
      <c r="D2405" s="2" t="s">
        <v>5486</v>
      </c>
      <c r="E2405" s="6" t="s">
        <v>5487</v>
      </c>
      <c r="F2405" s="52" t="s">
        <v>5695</v>
      </c>
      <c r="G2405" s="4" t="s">
        <v>3190</v>
      </c>
      <c r="H2405" s="5">
        <v>0</v>
      </c>
      <c r="I2405" s="6">
        <v>710000000</v>
      </c>
      <c r="J2405" s="4" t="s">
        <v>1931</v>
      </c>
      <c r="K2405" s="4" t="s">
        <v>756</v>
      </c>
      <c r="L2405" s="3" t="s">
        <v>1165</v>
      </c>
      <c r="M2405" s="8" t="s">
        <v>3195</v>
      </c>
      <c r="N2405" s="3" t="s">
        <v>1890</v>
      </c>
      <c r="O2405" s="8" t="s">
        <v>1935</v>
      </c>
      <c r="P2405" s="60">
        <v>868</v>
      </c>
      <c r="Q2405" s="3" t="s">
        <v>5488</v>
      </c>
      <c r="R2405" s="69">
        <f>5+20+5</f>
        <v>30</v>
      </c>
      <c r="S2405" s="69">
        <v>334.38</v>
      </c>
      <c r="T2405" s="10">
        <f t="shared" ref="T2405" si="1373">S2405*R2405</f>
        <v>10031.4</v>
      </c>
      <c r="U2405" s="10">
        <f t="shared" ref="U2405" si="1374">T2405*1.12</f>
        <v>11235.168000000001</v>
      </c>
      <c r="V2405" s="7"/>
      <c r="W2405" s="1">
        <v>2015</v>
      </c>
      <c r="X2405" s="62"/>
    </row>
    <row r="2406" spans="1:24" s="13" customFormat="1" ht="76.5" customHeight="1" outlineLevel="1" x14ac:dyDescent="0.2">
      <c r="A2406" s="1" t="s">
        <v>4028</v>
      </c>
      <c r="B2406" s="2" t="s">
        <v>5277</v>
      </c>
      <c r="C2406" s="2" t="s">
        <v>3087</v>
      </c>
      <c r="D2406" s="2" t="s">
        <v>3088</v>
      </c>
      <c r="E2406" s="6" t="s">
        <v>5489</v>
      </c>
      <c r="F2406" s="52" t="s">
        <v>5695</v>
      </c>
      <c r="G2406" s="4" t="s">
        <v>1888</v>
      </c>
      <c r="H2406" s="5">
        <v>0</v>
      </c>
      <c r="I2406" s="6">
        <v>710000000</v>
      </c>
      <c r="J2406" s="4" t="s">
        <v>1931</v>
      </c>
      <c r="K2406" s="4" t="s">
        <v>5297</v>
      </c>
      <c r="L2406" s="3" t="s">
        <v>1165</v>
      </c>
      <c r="M2406" s="8" t="s">
        <v>3195</v>
      </c>
      <c r="N2406" s="3" t="s">
        <v>1890</v>
      </c>
      <c r="O2406" s="8" t="s">
        <v>1935</v>
      </c>
      <c r="P2406" s="60">
        <v>868</v>
      </c>
      <c r="Q2406" s="3" t="s">
        <v>5488</v>
      </c>
      <c r="R2406" s="69">
        <f>3+25+25</f>
        <v>53</v>
      </c>
      <c r="S2406" s="69">
        <v>430.87</v>
      </c>
      <c r="T2406" s="10">
        <v>0</v>
      </c>
      <c r="U2406" s="10">
        <f t="shared" si="1363"/>
        <v>0</v>
      </c>
      <c r="V2406" s="7"/>
      <c r="W2406" s="1">
        <v>2015</v>
      </c>
      <c r="X2406" s="62" t="s">
        <v>7678</v>
      </c>
    </row>
    <row r="2407" spans="1:24" s="13" customFormat="1" ht="76.5" customHeight="1" outlineLevel="1" x14ac:dyDescent="0.2">
      <c r="A2407" s="1" t="s">
        <v>7801</v>
      </c>
      <c r="B2407" s="2" t="s">
        <v>5277</v>
      </c>
      <c r="C2407" s="2" t="s">
        <v>3087</v>
      </c>
      <c r="D2407" s="2" t="s">
        <v>3088</v>
      </c>
      <c r="E2407" s="6" t="s">
        <v>5489</v>
      </c>
      <c r="F2407" s="52" t="s">
        <v>5695</v>
      </c>
      <c r="G2407" s="4" t="s">
        <v>3190</v>
      </c>
      <c r="H2407" s="5">
        <v>0</v>
      </c>
      <c r="I2407" s="6">
        <v>710000000</v>
      </c>
      <c r="J2407" s="4" t="s">
        <v>1931</v>
      </c>
      <c r="K2407" s="4" t="s">
        <v>756</v>
      </c>
      <c r="L2407" s="3" t="s">
        <v>1165</v>
      </c>
      <c r="M2407" s="8" t="s">
        <v>3195</v>
      </c>
      <c r="N2407" s="3" t="s">
        <v>1890</v>
      </c>
      <c r="O2407" s="8" t="s">
        <v>1935</v>
      </c>
      <c r="P2407" s="60">
        <v>868</v>
      </c>
      <c r="Q2407" s="3" t="s">
        <v>5488</v>
      </c>
      <c r="R2407" s="69">
        <f>3+20+15</f>
        <v>38</v>
      </c>
      <c r="S2407" s="69">
        <v>430.87</v>
      </c>
      <c r="T2407" s="10">
        <f t="shared" ref="T2407" si="1375">S2407*R2407</f>
        <v>16373.06</v>
      </c>
      <c r="U2407" s="10">
        <f t="shared" ref="U2407" si="1376">T2407*1.12</f>
        <v>18337.8272</v>
      </c>
      <c r="V2407" s="7"/>
      <c r="W2407" s="1">
        <v>2015</v>
      </c>
      <c r="X2407" s="62"/>
    </row>
    <row r="2408" spans="1:24" s="13" customFormat="1" ht="76.5" customHeight="1" outlineLevel="1" x14ac:dyDescent="0.2">
      <c r="A2408" s="1" t="s">
        <v>4029</v>
      </c>
      <c r="B2408" s="2" t="s">
        <v>5277</v>
      </c>
      <c r="C2408" s="2" t="s">
        <v>314</v>
      </c>
      <c r="D2408" s="2" t="s">
        <v>313</v>
      </c>
      <c r="E2408" s="6" t="s">
        <v>312</v>
      </c>
      <c r="F2408" s="2"/>
      <c r="G2408" s="4" t="s">
        <v>1888</v>
      </c>
      <c r="H2408" s="5">
        <v>0</v>
      </c>
      <c r="I2408" s="6">
        <v>710000000</v>
      </c>
      <c r="J2408" s="4" t="s">
        <v>1931</v>
      </c>
      <c r="K2408" s="4" t="s">
        <v>5297</v>
      </c>
      <c r="L2408" s="3" t="s">
        <v>1165</v>
      </c>
      <c r="M2408" s="8" t="s">
        <v>3195</v>
      </c>
      <c r="N2408" s="3" t="s">
        <v>1890</v>
      </c>
      <c r="O2408" s="8" t="s">
        <v>1935</v>
      </c>
      <c r="P2408" s="60">
        <v>166</v>
      </c>
      <c r="Q2408" s="3" t="s">
        <v>3324</v>
      </c>
      <c r="R2408" s="69">
        <v>3</v>
      </c>
      <c r="S2408" s="69">
        <v>616.21</v>
      </c>
      <c r="T2408" s="10">
        <v>0</v>
      </c>
      <c r="U2408" s="10">
        <f t="shared" si="1363"/>
        <v>0</v>
      </c>
      <c r="V2408" s="7"/>
      <c r="W2408" s="1">
        <v>2015</v>
      </c>
      <c r="X2408" s="62">
        <v>7.11</v>
      </c>
    </row>
    <row r="2409" spans="1:24" s="13" customFormat="1" ht="76.5" customHeight="1" outlineLevel="1" x14ac:dyDescent="0.2">
      <c r="A2409" s="1" t="s">
        <v>7802</v>
      </c>
      <c r="B2409" s="2" t="s">
        <v>5277</v>
      </c>
      <c r="C2409" s="2" t="s">
        <v>314</v>
      </c>
      <c r="D2409" s="2" t="s">
        <v>313</v>
      </c>
      <c r="E2409" s="6" t="s">
        <v>312</v>
      </c>
      <c r="F2409" s="2"/>
      <c r="G2409" s="4" t="s">
        <v>3190</v>
      </c>
      <c r="H2409" s="5">
        <v>0</v>
      </c>
      <c r="I2409" s="6">
        <v>710000000</v>
      </c>
      <c r="J2409" s="4" t="s">
        <v>1931</v>
      </c>
      <c r="K2409" s="4" t="s">
        <v>756</v>
      </c>
      <c r="L2409" s="3" t="s">
        <v>1165</v>
      </c>
      <c r="M2409" s="8" t="s">
        <v>3195</v>
      </c>
      <c r="N2409" s="3" t="s">
        <v>1890</v>
      </c>
      <c r="O2409" s="8" t="s">
        <v>1935</v>
      </c>
      <c r="P2409" s="60">
        <v>166</v>
      </c>
      <c r="Q2409" s="3" t="s">
        <v>3324</v>
      </c>
      <c r="R2409" s="69">
        <v>3</v>
      </c>
      <c r="S2409" s="69">
        <v>616.21</v>
      </c>
      <c r="T2409" s="10">
        <f t="shared" ref="T2409" si="1377">S2409*R2409</f>
        <v>1848.63</v>
      </c>
      <c r="U2409" s="10">
        <f t="shared" ref="U2409" si="1378">T2409*1.12</f>
        <v>2070.4656000000004</v>
      </c>
      <c r="V2409" s="7"/>
      <c r="W2409" s="1">
        <v>2015</v>
      </c>
      <c r="X2409" s="62"/>
    </row>
    <row r="2410" spans="1:24" s="13" customFormat="1" ht="76.5" customHeight="1" outlineLevel="1" x14ac:dyDescent="0.2">
      <c r="A2410" s="1" t="s">
        <v>4030</v>
      </c>
      <c r="B2410" s="2" t="s">
        <v>5277</v>
      </c>
      <c r="C2410" s="6" t="s">
        <v>311</v>
      </c>
      <c r="D2410" s="6" t="s">
        <v>3891</v>
      </c>
      <c r="E2410" s="6" t="s">
        <v>310</v>
      </c>
      <c r="F2410" s="2"/>
      <c r="G2410" s="4" t="s">
        <v>1888</v>
      </c>
      <c r="H2410" s="5">
        <v>0</v>
      </c>
      <c r="I2410" s="6">
        <v>710000000</v>
      </c>
      <c r="J2410" s="4" t="s">
        <v>1931</v>
      </c>
      <c r="K2410" s="4" t="s">
        <v>5297</v>
      </c>
      <c r="L2410" s="3" t="s">
        <v>1165</v>
      </c>
      <c r="M2410" s="8" t="s">
        <v>3195</v>
      </c>
      <c r="N2410" s="3" t="s">
        <v>1890</v>
      </c>
      <c r="O2410" s="8" t="s">
        <v>1935</v>
      </c>
      <c r="P2410" s="60" t="s">
        <v>3010</v>
      </c>
      <c r="Q2410" s="3" t="s">
        <v>3009</v>
      </c>
      <c r="R2410" s="69">
        <f>100+500+2000</f>
        <v>2600</v>
      </c>
      <c r="S2410" s="69">
        <v>124</v>
      </c>
      <c r="T2410" s="10">
        <v>0</v>
      </c>
      <c r="U2410" s="10">
        <f t="shared" si="1363"/>
        <v>0</v>
      </c>
      <c r="V2410" s="7"/>
      <c r="W2410" s="1">
        <v>2015</v>
      </c>
      <c r="X2410" s="62" t="s">
        <v>7678</v>
      </c>
    </row>
    <row r="2411" spans="1:24" s="13" customFormat="1" ht="76.5" customHeight="1" outlineLevel="1" x14ac:dyDescent="0.2">
      <c r="A2411" s="1" t="s">
        <v>7803</v>
      </c>
      <c r="B2411" s="2" t="s">
        <v>5277</v>
      </c>
      <c r="C2411" s="6" t="s">
        <v>311</v>
      </c>
      <c r="D2411" s="6" t="s">
        <v>3891</v>
      </c>
      <c r="E2411" s="6" t="s">
        <v>310</v>
      </c>
      <c r="F2411" s="2"/>
      <c r="G2411" s="4" t="s">
        <v>3190</v>
      </c>
      <c r="H2411" s="5">
        <v>0</v>
      </c>
      <c r="I2411" s="6">
        <v>710000000</v>
      </c>
      <c r="J2411" s="4" t="s">
        <v>1931</v>
      </c>
      <c r="K2411" s="4" t="s">
        <v>756</v>
      </c>
      <c r="L2411" s="3" t="s">
        <v>1165</v>
      </c>
      <c r="M2411" s="8" t="s">
        <v>3195</v>
      </c>
      <c r="N2411" s="3" t="s">
        <v>1890</v>
      </c>
      <c r="O2411" s="8" t="s">
        <v>1935</v>
      </c>
      <c r="P2411" s="60" t="s">
        <v>3010</v>
      </c>
      <c r="Q2411" s="3" t="s">
        <v>3009</v>
      </c>
      <c r="R2411" s="69">
        <f>400+800</f>
        <v>1200</v>
      </c>
      <c r="S2411" s="69">
        <v>124</v>
      </c>
      <c r="T2411" s="10">
        <f t="shared" ref="T2411" si="1379">S2411*R2411</f>
        <v>148800</v>
      </c>
      <c r="U2411" s="10">
        <f t="shared" ref="U2411" si="1380">T2411*1.12</f>
        <v>166656.00000000003</v>
      </c>
      <c r="V2411" s="7"/>
      <c r="W2411" s="1">
        <v>2015</v>
      </c>
      <c r="X2411" s="62"/>
    </row>
    <row r="2412" spans="1:24" s="13" customFormat="1" ht="76.5" customHeight="1" outlineLevel="1" x14ac:dyDescent="0.2">
      <c r="A2412" s="1" t="s">
        <v>4031</v>
      </c>
      <c r="B2412" s="2" t="s">
        <v>5277</v>
      </c>
      <c r="C2412" s="6" t="s">
        <v>3097</v>
      </c>
      <c r="D2412" s="6" t="s">
        <v>5239</v>
      </c>
      <c r="E2412" s="6" t="s">
        <v>5240</v>
      </c>
      <c r="F2412" s="6" t="s">
        <v>5228</v>
      </c>
      <c r="G2412" s="4" t="s">
        <v>1888</v>
      </c>
      <c r="H2412" s="5">
        <v>0</v>
      </c>
      <c r="I2412" s="6">
        <v>710000000</v>
      </c>
      <c r="J2412" s="4" t="s">
        <v>1931</v>
      </c>
      <c r="K2412" s="4" t="s">
        <v>5297</v>
      </c>
      <c r="L2412" s="3" t="s">
        <v>1165</v>
      </c>
      <c r="M2412" s="8" t="s">
        <v>3195</v>
      </c>
      <c r="N2412" s="3" t="s">
        <v>1890</v>
      </c>
      <c r="O2412" s="8" t="s">
        <v>1935</v>
      </c>
      <c r="P2412" s="60" t="s">
        <v>3010</v>
      </c>
      <c r="Q2412" s="3" t="s">
        <v>3009</v>
      </c>
      <c r="R2412" s="69">
        <f>500+100+500</f>
        <v>1100</v>
      </c>
      <c r="S2412" s="69">
        <v>110</v>
      </c>
      <c r="T2412" s="10">
        <v>0</v>
      </c>
      <c r="U2412" s="10">
        <f t="shared" si="1363"/>
        <v>0</v>
      </c>
      <c r="V2412" s="7"/>
      <c r="W2412" s="1">
        <v>2015</v>
      </c>
      <c r="X2412" s="62" t="s">
        <v>7678</v>
      </c>
    </row>
    <row r="2413" spans="1:24" s="13" customFormat="1" ht="76.5" customHeight="1" outlineLevel="1" x14ac:dyDescent="0.2">
      <c r="A2413" s="1" t="s">
        <v>7804</v>
      </c>
      <c r="B2413" s="2" t="s">
        <v>5277</v>
      </c>
      <c r="C2413" s="6" t="s">
        <v>3097</v>
      </c>
      <c r="D2413" s="6" t="s">
        <v>5239</v>
      </c>
      <c r="E2413" s="6" t="s">
        <v>5240</v>
      </c>
      <c r="F2413" s="6" t="s">
        <v>5228</v>
      </c>
      <c r="G2413" s="4" t="s">
        <v>3190</v>
      </c>
      <c r="H2413" s="5">
        <v>0</v>
      </c>
      <c r="I2413" s="6">
        <v>710000000</v>
      </c>
      <c r="J2413" s="4" t="s">
        <v>1931</v>
      </c>
      <c r="K2413" s="4" t="s">
        <v>756</v>
      </c>
      <c r="L2413" s="3" t="s">
        <v>1165</v>
      </c>
      <c r="M2413" s="8" t="s">
        <v>3195</v>
      </c>
      <c r="N2413" s="3" t="s">
        <v>1890</v>
      </c>
      <c r="O2413" s="8" t="s">
        <v>1935</v>
      </c>
      <c r="P2413" s="60" t="s">
        <v>3010</v>
      </c>
      <c r="Q2413" s="3" t="s">
        <v>3009</v>
      </c>
      <c r="R2413" s="69">
        <f>400+400</f>
        <v>800</v>
      </c>
      <c r="S2413" s="69">
        <v>110</v>
      </c>
      <c r="T2413" s="10">
        <f t="shared" ref="T2413" si="1381">S2413*R2413</f>
        <v>88000</v>
      </c>
      <c r="U2413" s="10">
        <f t="shared" ref="U2413" si="1382">T2413*1.12</f>
        <v>98560.000000000015</v>
      </c>
      <c r="V2413" s="7"/>
      <c r="W2413" s="1">
        <v>2015</v>
      </c>
      <c r="X2413" s="62"/>
    </row>
    <row r="2414" spans="1:24" s="13" customFormat="1" ht="76.5" customHeight="1" outlineLevel="1" x14ac:dyDescent="0.2">
      <c r="A2414" s="1" t="s">
        <v>4032</v>
      </c>
      <c r="B2414" s="2" t="s">
        <v>5277</v>
      </c>
      <c r="C2414" s="6" t="s">
        <v>5141</v>
      </c>
      <c r="D2414" s="6" t="s">
        <v>5252</v>
      </c>
      <c r="E2414" s="6" t="s">
        <v>5253</v>
      </c>
      <c r="F2414" s="2"/>
      <c r="G2414" s="4" t="s">
        <v>1888</v>
      </c>
      <c r="H2414" s="5">
        <v>0</v>
      </c>
      <c r="I2414" s="6">
        <v>710000000</v>
      </c>
      <c r="J2414" s="4" t="s">
        <v>1931</v>
      </c>
      <c r="K2414" s="4" t="s">
        <v>5297</v>
      </c>
      <c r="L2414" s="3" t="s">
        <v>1165</v>
      </c>
      <c r="M2414" s="8" t="s">
        <v>3195</v>
      </c>
      <c r="N2414" s="3" t="s">
        <v>1890</v>
      </c>
      <c r="O2414" s="8" t="s">
        <v>1935</v>
      </c>
      <c r="P2414" s="8">
        <v>796</v>
      </c>
      <c r="Q2414" s="8" t="s">
        <v>3196</v>
      </c>
      <c r="R2414" s="69">
        <v>10</v>
      </c>
      <c r="S2414" s="69">
        <v>714</v>
      </c>
      <c r="T2414" s="10">
        <v>0</v>
      </c>
      <c r="U2414" s="10">
        <f t="shared" si="1363"/>
        <v>0</v>
      </c>
      <c r="V2414" s="7"/>
      <c r="W2414" s="1">
        <v>2015</v>
      </c>
      <c r="X2414" s="62">
        <v>7.11</v>
      </c>
    </row>
    <row r="2415" spans="1:24" s="13" customFormat="1" ht="76.5" customHeight="1" outlineLevel="1" x14ac:dyDescent="0.2">
      <c r="A2415" s="1" t="s">
        <v>7805</v>
      </c>
      <c r="B2415" s="2" t="s">
        <v>5277</v>
      </c>
      <c r="C2415" s="6" t="s">
        <v>5141</v>
      </c>
      <c r="D2415" s="6" t="s">
        <v>5252</v>
      </c>
      <c r="E2415" s="6" t="s">
        <v>5253</v>
      </c>
      <c r="F2415" s="2"/>
      <c r="G2415" s="4" t="s">
        <v>3190</v>
      </c>
      <c r="H2415" s="5">
        <v>0</v>
      </c>
      <c r="I2415" s="6">
        <v>710000000</v>
      </c>
      <c r="J2415" s="4" t="s">
        <v>1931</v>
      </c>
      <c r="K2415" s="4" t="s">
        <v>756</v>
      </c>
      <c r="L2415" s="3" t="s">
        <v>1165</v>
      </c>
      <c r="M2415" s="8" t="s">
        <v>3195</v>
      </c>
      <c r="N2415" s="3" t="s">
        <v>1890</v>
      </c>
      <c r="O2415" s="8" t="s">
        <v>1935</v>
      </c>
      <c r="P2415" s="8">
        <v>796</v>
      </c>
      <c r="Q2415" s="8" t="s">
        <v>3196</v>
      </c>
      <c r="R2415" s="69">
        <v>10</v>
      </c>
      <c r="S2415" s="69">
        <v>714</v>
      </c>
      <c r="T2415" s="10">
        <f t="shared" ref="T2415" si="1383">S2415*R2415</f>
        <v>7140</v>
      </c>
      <c r="U2415" s="10">
        <f t="shared" ref="U2415" si="1384">T2415*1.12</f>
        <v>7996.8000000000011</v>
      </c>
      <c r="V2415" s="7"/>
      <c r="W2415" s="1">
        <v>2015</v>
      </c>
      <c r="X2415" s="62"/>
    </row>
    <row r="2416" spans="1:24" s="13" customFormat="1" ht="76.5" customHeight="1" outlineLevel="1" x14ac:dyDescent="0.2">
      <c r="A2416" s="1" t="s">
        <v>4033</v>
      </c>
      <c r="B2416" s="2" t="s">
        <v>5277</v>
      </c>
      <c r="C2416" s="2" t="s">
        <v>3089</v>
      </c>
      <c r="D2416" s="2" t="s">
        <v>5465</v>
      </c>
      <c r="E2416" s="6" t="s">
        <v>5213</v>
      </c>
      <c r="F2416" s="52" t="s">
        <v>309</v>
      </c>
      <c r="G2416" s="4" t="s">
        <v>1888</v>
      </c>
      <c r="H2416" s="5">
        <v>0</v>
      </c>
      <c r="I2416" s="6">
        <v>710000000</v>
      </c>
      <c r="J2416" s="4" t="s">
        <v>1931</v>
      </c>
      <c r="K2416" s="4" t="s">
        <v>5297</v>
      </c>
      <c r="L2416" s="3" t="s">
        <v>1165</v>
      </c>
      <c r="M2416" s="8" t="s">
        <v>3195</v>
      </c>
      <c r="N2416" s="3" t="s">
        <v>1890</v>
      </c>
      <c r="O2416" s="8" t="s">
        <v>1935</v>
      </c>
      <c r="P2416" s="60">
        <v>166</v>
      </c>
      <c r="Q2416" s="3" t="s">
        <v>3324</v>
      </c>
      <c r="R2416" s="69">
        <f>8+20</f>
        <v>28</v>
      </c>
      <c r="S2416" s="69">
        <v>1258</v>
      </c>
      <c r="T2416" s="10">
        <v>0</v>
      </c>
      <c r="U2416" s="10">
        <f t="shared" si="1363"/>
        <v>0</v>
      </c>
      <c r="V2416" s="7"/>
      <c r="W2416" s="1">
        <v>2015</v>
      </c>
      <c r="X2416" s="62" t="s">
        <v>7678</v>
      </c>
    </row>
    <row r="2417" spans="1:24" s="13" customFormat="1" ht="76.5" customHeight="1" outlineLevel="1" x14ac:dyDescent="0.2">
      <c r="A2417" s="1" t="s">
        <v>7806</v>
      </c>
      <c r="B2417" s="2" t="s">
        <v>5277</v>
      </c>
      <c r="C2417" s="2" t="s">
        <v>3089</v>
      </c>
      <c r="D2417" s="2" t="s">
        <v>5465</v>
      </c>
      <c r="E2417" s="6" t="s">
        <v>5213</v>
      </c>
      <c r="F2417" s="52" t="s">
        <v>309</v>
      </c>
      <c r="G2417" s="4" t="s">
        <v>3190</v>
      </c>
      <c r="H2417" s="5">
        <v>0</v>
      </c>
      <c r="I2417" s="6">
        <v>710000000</v>
      </c>
      <c r="J2417" s="4" t="s">
        <v>1931</v>
      </c>
      <c r="K2417" s="4" t="s">
        <v>756</v>
      </c>
      <c r="L2417" s="3" t="s">
        <v>1165</v>
      </c>
      <c r="M2417" s="8" t="s">
        <v>3195</v>
      </c>
      <c r="N2417" s="3" t="s">
        <v>1890</v>
      </c>
      <c r="O2417" s="8" t="s">
        <v>1935</v>
      </c>
      <c r="P2417" s="60">
        <v>166</v>
      </c>
      <c r="Q2417" s="3" t="s">
        <v>3324</v>
      </c>
      <c r="R2417" s="69">
        <f>5+15</f>
        <v>20</v>
      </c>
      <c r="S2417" s="69">
        <v>1258</v>
      </c>
      <c r="T2417" s="10">
        <f t="shared" ref="T2417" si="1385">S2417*R2417</f>
        <v>25160</v>
      </c>
      <c r="U2417" s="10">
        <f t="shared" ref="U2417" si="1386">T2417*1.12</f>
        <v>28179.200000000004</v>
      </c>
      <c r="V2417" s="7"/>
      <c r="W2417" s="1">
        <v>2015</v>
      </c>
      <c r="X2417" s="62"/>
    </row>
    <row r="2418" spans="1:24" s="13" customFormat="1" ht="76.5" customHeight="1" outlineLevel="1" x14ac:dyDescent="0.2">
      <c r="A2418" s="1" t="s">
        <v>4034</v>
      </c>
      <c r="B2418" s="2" t="s">
        <v>5277</v>
      </c>
      <c r="C2418" s="2" t="s">
        <v>3089</v>
      </c>
      <c r="D2418" s="2" t="s">
        <v>5465</v>
      </c>
      <c r="E2418" s="6" t="s">
        <v>5213</v>
      </c>
      <c r="F2418" s="52"/>
      <c r="G2418" s="4" t="s">
        <v>1888</v>
      </c>
      <c r="H2418" s="5">
        <v>0</v>
      </c>
      <c r="I2418" s="6">
        <v>710000000</v>
      </c>
      <c r="J2418" s="4" t="s">
        <v>1931</v>
      </c>
      <c r="K2418" s="4" t="s">
        <v>5297</v>
      </c>
      <c r="L2418" s="3" t="s">
        <v>1165</v>
      </c>
      <c r="M2418" s="8" t="s">
        <v>3195</v>
      </c>
      <c r="N2418" s="3" t="s">
        <v>1890</v>
      </c>
      <c r="O2418" s="8" t="s">
        <v>1935</v>
      </c>
      <c r="P2418" s="60">
        <v>166</v>
      </c>
      <c r="Q2418" s="3" t="s">
        <v>3324</v>
      </c>
      <c r="R2418" s="69">
        <f>125+8+75</f>
        <v>208</v>
      </c>
      <c r="S2418" s="69">
        <v>1258</v>
      </c>
      <c r="T2418" s="10">
        <v>0</v>
      </c>
      <c r="U2418" s="10">
        <f t="shared" si="1363"/>
        <v>0</v>
      </c>
      <c r="V2418" s="7"/>
      <c r="W2418" s="1">
        <v>2015</v>
      </c>
      <c r="X2418" s="62" t="s">
        <v>7678</v>
      </c>
    </row>
    <row r="2419" spans="1:24" s="13" customFormat="1" ht="76.5" customHeight="1" outlineLevel="1" x14ac:dyDescent="0.2">
      <c r="A2419" s="1" t="s">
        <v>7807</v>
      </c>
      <c r="B2419" s="2" t="s">
        <v>5277</v>
      </c>
      <c r="C2419" s="2" t="s">
        <v>3089</v>
      </c>
      <c r="D2419" s="2" t="s">
        <v>5465</v>
      </c>
      <c r="E2419" s="6" t="s">
        <v>5213</v>
      </c>
      <c r="F2419" s="52"/>
      <c r="G2419" s="4" t="s">
        <v>3190</v>
      </c>
      <c r="H2419" s="5">
        <v>0</v>
      </c>
      <c r="I2419" s="6">
        <v>710000000</v>
      </c>
      <c r="J2419" s="4" t="s">
        <v>1931</v>
      </c>
      <c r="K2419" s="4" t="s">
        <v>756</v>
      </c>
      <c r="L2419" s="3" t="s">
        <v>1165</v>
      </c>
      <c r="M2419" s="8" t="s">
        <v>3195</v>
      </c>
      <c r="N2419" s="3" t="s">
        <v>1890</v>
      </c>
      <c r="O2419" s="8" t="s">
        <v>1935</v>
      </c>
      <c r="P2419" s="60">
        <v>166</v>
      </c>
      <c r="Q2419" s="3" t="s">
        <v>3324</v>
      </c>
      <c r="R2419" s="69">
        <f>125</f>
        <v>125</v>
      </c>
      <c r="S2419" s="69">
        <v>1258</v>
      </c>
      <c r="T2419" s="10">
        <v>0</v>
      </c>
      <c r="U2419" s="10">
        <f t="shared" ref="U2419" si="1387">T2419*1.12</f>
        <v>0</v>
      </c>
      <c r="V2419" s="7"/>
      <c r="W2419" s="1">
        <v>2015</v>
      </c>
      <c r="X2419" s="62" t="s">
        <v>7518</v>
      </c>
    </row>
    <row r="2420" spans="1:24" s="13" customFormat="1" ht="76.5" customHeight="1" outlineLevel="1" x14ac:dyDescent="0.2">
      <c r="A2420" s="1" t="s">
        <v>9520</v>
      </c>
      <c r="B2420" s="2" t="s">
        <v>5277</v>
      </c>
      <c r="C2420" s="2" t="s">
        <v>3089</v>
      </c>
      <c r="D2420" s="2" t="s">
        <v>5465</v>
      </c>
      <c r="E2420" s="6" t="s">
        <v>5213</v>
      </c>
      <c r="F2420" s="52"/>
      <c r="G2420" s="4" t="s">
        <v>3190</v>
      </c>
      <c r="H2420" s="5">
        <v>0</v>
      </c>
      <c r="I2420" s="6">
        <v>710000000</v>
      </c>
      <c r="J2420" s="4" t="s">
        <v>1931</v>
      </c>
      <c r="K2420" s="4" t="s">
        <v>9276</v>
      </c>
      <c r="L2420" s="3" t="s">
        <v>1165</v>
      </c>
      <c r="M2420" s="8" t="s">
        <v>3195</v>
      </c>
      <c r="N2420" s="3" t="s">
        <v>1890</v>
      </c>
      <c r="O2420" s="8" t="s">
        <v>1935</v>
      </c>
      <c r="P2420" s="60">
        <v>166</v>
      </c>
      <c r="Q2420" s="3" t="s">
        <v>3324</v>
      </c>
      <c r="R2420" s="69">
        <f>125+17</f>
        <v>142</v>
      </c>
      <c r="S2420" s="69">
        <v>1258</v>
      </c>
      <c r="T2420" s="10">
        <f t="shared" ref="T2420" si="1388">S2420*R2420</f>
        <v>178636</v>
      </c>
      <c r="U2420" s="10">
        <f t="shared" ref="U2420" si="1389">T2420*1.12</f>
        <v>200072.32000000001</v>
      </c>
      <c r="V2420" s="7"/>
      <c r="W2420" s="1">
        <v>2015</v>
      </c>
      <c r="X2420" s="62"/>
    </row>
    <row r="2421" spans="1:24" s="13" customFormat="1" ht="76.5" customHeight="1" outlineLevel="1" x14ac:dyDescent="0.2">
      <c r="A2421" s="1" t="s">
        <v>4035</v>
      </c>
      <c r="B2421" s="2" t="s">
        <v>5277</v>
      </c>
      <c r="C2421" s="2" t="s">
        <v>3089</v>
      </c>
      <c r="D2421" s="2" t="s">
        <v>5465</v>
      </c>
      <c r="E2421" s="6" t="s">
        <v>5213</v>
      </c>
      <c r="F2421" s="52" t="s">
        <v>308</v>
      </c>
      <c r="G2421" s="4" t="s">
        <v>1888</v>
      </c>
      <c r="H2421" s="5">
        <v>0</v>
      </c>
      <c r="I2421" s="6">
        <v>710000000</v>
      </c>
      <c r="J2421" s="4" t="s">
        <v>1931</v>
      </c>
      <c r="K2421" s="4" t="s">
        <v>5297</v>
      </c>
      <c r="L2421" s="3" t="s">
        <v>1165</v>
      </c>
      <c r="M2421" s="8" t="s">
        <v>3195</v>
      </c>
      <c r="N2421" s="3" t="s">
        <v>1890</v>
      </c>
      <c r="O2421" s="8" t="s">
        <v>1935</v>
      </c>
      <c r="P2421" s="60">
        <v>166</v>
      </c>
      <c r="Q2421" s="3" t="s">
        <v>3324</v>
      </c>
      <c r="R2421" s="69">
        <v>20</v>
      </c>
      <c r="S2421" s="69">
        <v>1959.82</v>
      </c>
      <c r="T2421" s="10">
        <v>0</v>
      </c>
      <c r="U2421" s="10">
        <f t="shared" si="1363"/>
        <v>0</v>
      </c>
      <c r="V2421" s="7"/>
      <c r="W2421" s="1">
        <v>2015</v>
      </c>
      <c r="X2421" s="62">
        <v>7.11</v>
      </c>
    </row>
    <row r="2422" spans="1:24" s="13" customFormat="1" ht="76.5" outlineLevel="1" x14ac:dyDescent="0.2">
      <c r="A2422" s="1" t="s">
        <v>7808</v>
      </c>
      <c r="B2422" s="2" t="s">
        <v>5277</v>
      </c>
      <c r="C2422" s="2" t="s">
        <v>3089</v>
      </c>
      <c r="D2422" s="2" t="s">
        <v>5465</v>
      </c>
      <c r="E2422" s="6" t="s">
        <v>5213</v>
      </c>
      <c r="F2422" s="52" t="s">
        <v>308</v>
      </c>
      <c r="G2422" s="4" t="s">
        <v>3190</v>
      </c>
      <c r="H2422" s="5">
        <v>0</v>
      </c>
      <c r="I2422" s="6">
        <v>710000000</v>
      </c>
      <c r="J2422" s="4" t="s">
        <v>1931</v>
      </c>
      <c r="K2422" s="4" t="s">
        <v>756</v>
      </c>
      <c r="L2422" s="3" t="s">
        <v>1165</v>
      </c>
      <c r="M2422" s="8" t="s">
        <v>3195</v>
      </c>
      <c r="N2422" s="3" t="s">
        <v>1890</v>
      </c>
      <c r="O2422" s="8" t="s">
        <v>1935</v>
      </c>
      <c r="P2422" s="60">
        <v>166</v>
      </c>
      <c r="Q2422" s="3" t="s">
        <v>3324</v>
      </c>
      <c r="R2422" s="69">
        <v>20</v>
      </c>
      <c r="S2422" s="69">
        <v>1959.82</v>
      </c>
      <c r="T2422" s="10">
        <v>0</v>
      </c>
      <c r="U2422" s="10">
        <f t="shared" ref="U2422" si="1390">T2422*1.12</f>
        <v>0</v>
      </c>
      <c r="V2422" s="7"/>
      <c r="W2422" s="1">
        <v>2015</v>
      </c>
      <c r="X2422" s="62" t="s">
        <v>7518</v>
      </c>
    </row>
    <row r="2423" spans="1:24" s="13" customFormat="1" ht="76.5" outlineLevel="1" x14ac:dyDescent="0.2">
      <c r="A2423" s="1" t="s">
        <v>9277</v>
      </c>
      <c r="B2423" s="2" t="s">
        <v>5277</v>
      </c>
      <c r="C2423" s="2" t="s">
        <v>3089</v>
      </c>
      <c r="D2423" s="2" t="s">
        <v>5465</v>
      </c>
      <c r="E2423" s="6" t="s">
        <v>5213</v>
      </c>
      <c r="F2423" s="52" t="s">
        <v>308</v>
      </c>
      <c r="G2423" s="4" t="s">
        <v>3190</v>
      </c>
      <c r="H2423" s="5">
        <v>0</v>
      </c>
      <c r="I2423" s="6">
        <v>710000000</v>
      </c>
      <c r="J2423" s="4" t="s">
        <v>1931</v>
      </c>
      <c r="K2423" s="4" t="s">
        <v>9278</v>
      </c>
      <c r="L2423" s="3" t="s">
        <v>1165</v>
      </c>
      <c r="M2423" s="8" t="s">
        <v>3195</v>
      </c>
      <c r="N2423" s="3" t="s">
        <v>1890</v>
      </c>
      <c r="O2423" s="8" t="s">
        <v>1935</v>
      </c>
      <c r="P2423" s="60">
        <v>166</v>
      </c>
      <c r="Q2423" s="3" t="s">
        <v>3324</v>
      </c>
      <c r="R2423" s="69">
        <f>20+25+10</f>
        <v>55</v>
      </c>
      <c r="S2423" s="69">
        <v>1959.82</v>
      </c>
      <c r="T2423" s="10">
        <f t="shared" ref="T2423" si="1391">S2423*R2423</f>
        <v>107790.09999999999</v>
      </c>
      <c r="U2423" s="10">
        <f t="shared" ref="U2423" si="1392">T2423*1.12</f>
        <v>120724.912</v>
      </c>
      <c r="V2423" s="7"/>
      <c r="W2423" s="1">
        <v>2015</v>
      </c>
      <c r="X2423" s="62"/>
    </row>
    <row r="2424" spans="1:24" s="13" customFormat="1" ht="76.5" customHeight="1" outlineLevel="1" x14ac:dyDescent="0.2">
      <c r="A2424" s="1" t="s">
        <v>4036</v>
      </c>
      <c r="B2424" s="2" t="s">
        <v>5277</v>
      </c>
      <c r="C2424" s="2" t="s">
        <v>3326</v>
      </c>
      <c r="D2424" s="2" t="s">
        <v>5469</v>
      </c>
      <c r="E2424" s="6" t="s">
        <v>5470</v>
      </c>
      <c r="F2424" s="52" t="s">
        <v>307</v>
      </c>
      <c r="G2424" s="4" t="s">
        <v>1888</v>
      </c>
      <c r="H2424" s="5">
        <v>0</v>
      </c>
      <c r="I2424" s="6">
        <v>710000000</v>
      </c>
      <c r="J2424" s="4" t="s">
        <v>1931</v>
      </c>
      <c r="K2424" s="4" t="s">
        <v>5297</v>
      </c>
      <c r="L2424" s="3" t="s">
        <v>1165</v>
      </c>
      <c r="M2424" s="8" t="s">
        <v>3195</v>
      </c>
      <c r="N2424" s="3" t="s">
        <v>1890</v>
      </c>
      <c r="O2424" s="8" t="s">
        <v>1935</v>
      </c>
      <c r="P2424" s="60">
        <v>778</v>
      </c>
      <c r="Q2424" s="3" t="s">
        <v>3327</v>
      </c>
      <c r="R2424" s="69">
        <f>10+5+30</f>
        <v>45</v>
      </c>
      <c r="S2424" s="69">
        <v>984.97</v>
      </c>
      <c r="T2424" s="10">
        <v>0</v>
      </c>
      <c r="U2424" s="10">
        <f t="shared" si="1363"/>
        <v>0</v>
      </c>
      <c r="V2424" s="7"/>
      <c r="W2424" s="1">
        <v>2015</v>
      </c>
      <c r="X2424" s="62" t="s">
        <v>7678</v>
      </c>
    </row>
    <row r="2425" spans="1:24" s="13" customFormat="1" ht="76.5" customHeight="1" outlineLevel="1" x14ac:dyDescent="0.2">
      <c r="A2425" s="1" t="s">
        <v>7809</v>
      </c>
      <c r="B2425" s="2" t="s">
        <v>5277</v>
      </c>
      <c r="C2425" s="2" t="s">
        <v>3326</v>
      </c>
      <c r="D2425" s="2" t="s">
        <v>5469</v>
      </c>
      <c r="E2425" s="6" t="s">
        <v>5470</v>
      </c>
      <c r="F2425" s="52" t="s">
        <v>307</v>
      </c>
      <c r="G2425" s="4" t="s">
        <v>3190</v>
      </c>
      <c r="H2425" s="5">
        <v>0</v>
      </c>
      <c r="I2425" s="6">
        <v>710000000</v>
      </c>
      <c r="J2425" s="4" t="s">
        <v>1931</v>
      </c>
      <c r="K2425" s="4" t="s">
        <v>756</v>
      </c>
      <c r="L2425" s="3" t="s">
        <v>1165</v>
      </c>
      <c r="M2425" s="8" t="s">
        <v>3195</v>
      </c>
      <c r="N2425" s="3" t="s">
        <v>1890</v>
      </c>
      <c r="O2425" s="8" t="s">
        <v>1935</v>
      </c>
      <c r="P2425" s="60">
        <v>778</v>
      </c>
      <c r="Q2425" s="3" t="s">
        <v>3327</v>
      </c>
      <c r="R2425" s="69">
        <f>5+20</f>
        <v>25</v>
      </c>
      <c r="S2425" s="69">
        <v>984.97</v>
      </c>
      <c r="T2425" s="10">
        <v>0</v>
      </c>
      <c r="U2425" s="10">
        <f t="shared" ref="U2425" si="1393">T2425*1.12</f>
        <v>0</v>
      </c>
      <c r="V2425" s="7"/>
      <c r="W2425" s="1">
        <v>2015</v>
      </c>
      <c r="X2425" s="62" t="s">
        <v>7518</v>
      </c>
    </row>
    <row r="2426" spans="1:24" s="13" customFormat="1" ht="76.5" customHeight="1" outlineLevel="1" x14ac:dyDescent="0.2">
      <c r="A2426" s="1" t="s">
        <v>9526</v>
      </c>
      <c r="B2426" s="2" t="s">
        <v>5277</v>
      </c>
      <c r="C2426" s="2" t="s">
        <v>3326</v>
      </c>
      <c r="D2426" s="2" t="s">
        <v>5469</v>
      </c>
      <c r="E2426" s="6" t="s">
        <v>5470</v>
      </c>
      <c r="F2426" s="52" t="s">
        <v>307</v>
      </c>
      <c r="G2426" s="4" t="s">
        <v>3190</v>
      </c>
      <c r="H2426" s="5">
        <v>0</v>
      </c>
      <c r="I2426" s="6">
        <v>710000000</v>
      </c>
      <c r="J2426" s="4" t="s">
        <v>1931</v>
      </c>
      <c r="K2426" s="4" t="s">
        <v>9276</v>
      </c>
      <c r="L2426" s="3" t="s">
        <v>1165</v>
      </c>
      <c r="M2426" s="8" t="s">
        <v>3195</v>
      </c>
      <c r="N2426" s="3" t="s">
        <v>1890</v>
      </c>
      <c r="O2426" s="8" t="s">
        <v>1935</v>
      </c>
      <c r="P2426" s="60">
        <v>778</v>
      </c>
      <c r="Q2426" s="3" t="s">
        <v>3327</v>
      </c>
      <c r="R2426" s="69">
        <f>5+20+10+20</f>
        <v>55</v>
      </c>
      <c r="S2426" s="69">
        <v>984.97</v>
      </c>
      <c r="T2426" s="10">
        <f t="shared" ref="T2426" si="1394">S2426*R2426</f>
        <v>54173.35</v>
      </c>
      <c r="U2426" s="10">
        <f t="shared" ref="U2426" si="1395">T2426*1.12</f>
        <v>60674.152000000002</v>
      </c>
      <c r="V2426" s="7"/>
      <c r="W2426" s="1">
        <v>2015</v>
      </c>
      <c r="X2426" s="62"/>
    </row>
    <row r="2427" spans="1:24" s="13" customFormat="1" ht="76.5" customHeight="1" outlineLevel="1" x14ac:dyDescent="0.2">
      <c r="A2427" s="1" t="s">
        <v>4037</v>
      </c>
      <c r="B2427" s="2" t="s">
        <v>5277</v>
      </c>
      <c r="C2427" s="2" t="s">
        <v>3326</v>
      </c>
      <c r="D2427" s="2" t="s">
        <v>5469</v>
      </c>
      <c r="E2427" s="6" t="s">
        <v>5470</v>
      </c>
      <c r="F2427" s="52" t="s">
        <v>306</v>
      </c>
      <c r="G2427" s="4" t="s">
        <v>1888</v>
      </c>
      <c r="H2427" s="5">
        <v>0</v>
      </c>
      <c r="I2427" s="6">
        <v>710000000</v>
      </c>
      <c r="J2427" s="4" t="s">
        <v>1931</v>
      </c>
      <c r="K2427" s="4" t="s">
        <v>5297</v>
      </c>
      <c r="L2427" s="3" t="s">
        <v>1165</v>
      </c>
      <c r="M2427" s="8" t="s">
        <v>3195</v>
      </c>
      <c r="N2427" s="3" t="s">
        <v>1890</v>
      </c>
      <c r="O2427" s="8" t="s">
        <v>1935</v>
      </c>
      <c r="P2427" s="60">
        <v>778</v>
      </c>
      <c r="Q2427" s="3" t="s">
        <v>3327</v>
      </c>
      <c r="R2427" s="69">
        <f>10+5+7+5</f>
        <v>27</v>
      </c>
      <c r="S2427" s="69">
        <v>2000</v>
      </c>
      <c r="T2427" s="10">
        <v>0</v>
      </c>
      <c r="U2427" s="10">
        <f t="shared" si="1363"/>
        <v>0</v>
      </c>
      <c r="V2427" s="7"/>
      <c r="W2427" s="1">
        <v>2015</v>
      </c>
      <c r="X2427" s="62" t="s">
        <v>7678</v>
      </c>
    </row>
    <row r="2428" spans="1:24" s="13" customFormat="1" ht="76.5" customHeight="1" outlineLevel="1" x14ac:dyDescent="0.2">
      <c r="A2428" s="1" t="s">
        <v>7810</v>
      </c>
      <c r="B2428" s="2" t="s">
        <v>5277</v>
      </c>
      <c r="C2428" s="2" t="s">
        <v>3326</v>
      </c>
      <c r="D2428" s="2" t="s">
        <v>5469</v>
      </c>
      <c r="E2428" s="6" t="s">
        <v>5470</v>
      </c>
      <c r="F2428" s="52" t="s">
        <v>306</v>
      </c>
      <c r="G2428" s="4" t="s">
        <v>3190</v>
      </c>
      <c r="H2428" s="5">
        <v>0</v>
      </c>
      <c r="I2428" s="6">
        <v>710000000</v>
      </c>
      <c r="J2428" s="4" t="s">
        <v>1931</v>
      </c>
      <c r="K2428" s="4" t="s">
        <v>756</v>
      </c>
      <c r="L2428" s="3" t="s">
        <v>1165</v>
      </c>
      <c r="M2428" s="8" t="s">
        <v>3195</v>
      </c>
      <c r="N2428" s="3" t="s">
        <v>1890</v>
      </c>
      <c r="O2428" s="8" t="s">
        <v>1935</v>
      </c>
      <c r="P2428" s="60">
        <v>778</v>
      </c>
      <c r="Q2428" s="3" t="s">
        <v>3327</v>
      </c>
      <c r="R2428" s="69">
        <f>5+2+2+2</f>
        <v>11</v>
      </c>
      <c r="S2428" s="69">
        <v>2000</v>
      </c>
      <c r="T2428" s="10">
        <f t="shared" ref="T2428" si="1396">S2428*R2428</f>
        <v>22000</v>
      </c>
      <c r="U2428" s="10">
        <f t="shared" ref="U2428" si="1397">T2428*1.12</f>
        <v>24640.000000000004</v>
      </c>
      <c r="V2428" s="7"/>
      <c r="W2428" s="1">
        <v>2015</v>
      </c>
      <c r="X2428" s="62"/>
    </row>
    <row r="2429" spans="1:24" s="13" customFormat="1" ht="76.5" customHeight="1" outlineLevel="1" x14ac:dyDescent="0.2">
      <c r="A2429" s="1" t="s">
        <v>4038</v>
      </c>
      <c r="B2429" s="2" t="s">
        <v>5277</v>
      </c>
      <c r="C2429" s="2" t="s">
        <v>3100</v>
      </c>
      <c r="D2429" s="2" t="s">
        <v>5236</v>
      </c>
      <c r="E2429" s="6" t="s">
        <v>5237</v>
      </c>
      <c r="F2429" s="52" t="s">
        <v>5238</v>
      </c>
      <c r="G2429" s="4" t="s">
        <v>1888</v>
      </c>
      <c r="H2429" s="5">
        <v>0</v>
      </c>
      <c r="I2429" s="6">
        <v>710000000</v>
      </c>
      <c r="J2429" s="4" t="s">
        <v>1931</v>
      </c>
      <c r="K2429" s="4" t="s">
        <v>5297</v>
      </c>
      <c r="L2429" s="3" t="s">
        <v>1165</v>
      </c>
      <c r="M2429" s="8" t="s">
        <v>3195</v>
      </c>
      <c r="N2429" s="3" t="s">
        <v>1890</v>
      </c>
      <c r="O2429" s="8" t="s">
        <v>1935</v>
      </c>
      <c r="P2429" s="60">
        <v>166</v>
      </c>
      <c r="Q2429" s="3" t="s">
        <v>3324</v>
      </c>
      <c r="R2429" s="69">
        <v>45</v>
      </c>
      <c r="S2429" s="69">
        <v>6295</v>
      </c>
      <c r="T2429" s="10">
        <v>0</v>
      </c>
      <c r="U2429" s="10">
        <f t="shared" si="1363"/>
        <v>0</v>
      </c>
      <c r="V2429" s="7"/>
      <c r="W2429" s="1">
        <v>2015</v>
      </c>
      <c r="X2429" s="62" t="s">
        <v>7678</v>
      </c>
    </row>
    <row r="2430" spans="1:24" s="13" customFormat="1" ht="76.5" customHeight="1" outlineLevel="1" x14ac:dyDescent="0.2">
      <c r="A2430" s="1" t="s">
        <v>7811</v>
      </c>
      <c r="B2430" s="2" t="s">
        <v>5277</v>
      </c>
      <c r="C2430" s="2" t="s">
        <v>3100</v>
      </c>
      <c r="D2430" s="2" t="s">
        <v>5236</v>
      </c>
      <c r="E2430" s="6" t="s">
        <v>5237</v>
      </c>
      <c r="F2430" s="52" t="s">
        <v>5238</v>
      </c>
      <c r="G2430" s="4" t="s">
        <v>3190</v>
      </c>
      <c r="H2430" s="5">
        <v>0</v>
      </c>
      <c r="I2430" s="6">
        <v>710000000</v>
      </c>
      <c r="J2430" s="4" t="s">
        <v>1931</v>
      </c>
      <c r="K2430" s="4" t="s">
        <v>756</v>
      </c>
      <c r="L2430" s="3" t="s">
        <v>1165</v>
      </c>
      <c r="M2430" s="8" t="s">
        <v>3195</v>
      </c>
      <c r="N2430" s="3" t="s">
        <v>1890</v>
      </c>
      <c r="O2430" s="8" t="s">
        <v>1935</v>
      </c>
      <c r="P2430" s="60">
        <v>166</v>
      </c>
      <c r="Q2430" s="3" t="s">
        <v>3324</v>
      </c>
      <c r="R2430" s="69">
        <v>20</v>
      </c>
      <c r="S2430" s="69">
        <v>6295</v>
      </c>
      <c r="T2430" s="10">
        <v>0</v>
      </c>
      <c r="U2430" s="10">
        <f t="shared" ref="U2430" si="1398">T2430*1.12</f>
        <v>0</v>
      </c>
      <c r="V2430" s="7"/>
      <c r="W2430" s="1">
        <v>2015</v>
      </c>
      <c r="X2430" s="62" t="s">
        <v>7518</v>
      </c>
    </row>
    <row r="2431" spans="1:24" s="13" customFormat="1" ht="76.5" outlineLevel="1" x14ac:dyDescent="0.2">
      <c r="A2431" s="1" t="s">
        <v>9202</v>
      </c>
      <c r="B2431" s="2" t="s">
        <v>5277</v>
      </c>
      <c r="C2431" s="2" t="s">
        <v>3100</v>
      </c>
      <c r="D2431" s="2" t="s">
        <v>5236</v>
      </c>
      <c r="E2431" s="6" t="s">
        <v>5237</v>
      </c>
      <c r="F2431" s="52" t="s">
        <v>5238</v>
      </c>
      <c r="G2431" s="4" t="s">
        <v>3190</v>
      </c>
      <c r="H2431" s="5">
        <v>0</v>
      </c>
      <c r="I2431" s="6">
        <v>710000000</v>
      </c>
      <c r="J2431" s="4" t="s">
        <v>1931</v>
      </c>
      <c r="K2431" s="4" t="s">
        <v>9142</v>
      </c>
      <c r="L2431" s="3" t="s">
        <v>1165</v>
      </c>
      <c r="M2431" s="8" t="s">
        <v>3195</v>
      </c>
      <c r="N2431" s="3" t="s">
        <v>1890</v>
      </c>
      <c r="O2431" s="8" t="s">
        <v>1935</v>
      </c>
      <c r="P2431" s="60">
        <v>166</v>
      </c>
      <c r="Q2431" s="3" t="s">
        <v>3324</v>
      </c>
      <c r="R2431" s="69">
        <f>20+25+2</f>
        <v>47</v>
      </c>
      <c r="S2431" s="69">
        <v>6295</v>
      </c>
      <c r="T2431" s="10">
        <v>0</v>
      </c>
      <c r="U2431" s="10">
        <f t="shared" ref="U2431" si="1399">T2431*1.12</f>
        <v>0</v>
      </c>
      <c r="V2431" s="7"/>
      <c r="W2431" s="1">
        <v>2015</v>
      </c>
      <c r="X2431" s="62" t="s">
        <v>6562</v>
      </c>
    </row>
    <row r="2432" spans="1:24" s="13" customFormat="1" ht="76.5" outlineLevel="1" x14ac:dyDescent="0.2">
      <c r="A2432" s="1" t="s">
        <v>9293</v>
      </c>
      <c r="B2432" s="2" t="s">
        <v>5277</v>
      </c>
      <c r="C2432" s="2" t="s">
        <v>3100</v>
      </c>
      <c r="D2432" s="2" t="s">
        <v>5236</v>
      </c>
      <c r="E2432" s="6" t="s">
        <v>5237</v>
      </c>
      <c r="F2432" s="52" t="s">
        <v>5238</v>
      </c>
      <c r="G2432" s="4" t="s">
        <v>3190</v>
      </c>
      <c r="H2432" s="5">
        <v>0</v>
      </c>
      <c r="I2432" s="6">
        <v>710000000</v>
      </c>
      <c r="J2432" s="4" t="s">
        <v>1931</v>
      </c>
      <c r="K2432" s="4" t="s">
        <v>9142</v>
      </c>
      <c r="L2432" s="3" t="s">
        <v>1165</v>
      </c>
      <c r="M2432" s="8" t="s">
        <v>3195</v>
      </c>
      <c r="N2432" s="3" t="s">
        <v>1890</v>
      </c>
      <c r="O2432" s="8" t="s">
        <v>1935</v>
      </c>
      <c r="P2432" s="60">
        <v>166</v>
      </c>
      <c r="Q2432" s="3" t="s">
        <v>3324</v>
      </c>
      <c r="R2432" s="69">
        <f>20+25+2+10+5</f>
        <v>62</v>
      </c>
      <c r="S2432" s="69">
        <v>6295</v>
      </c>
      <c r="T2432" s="10">
        <v>0</v>
      </c>
      <c r="U2432" s="10">
        <f t="shared" ref="U2432" si="1400">T2432*1.12</f>
        <v>0</v>
      </c>
      <c r="V2432" s="7"/>
      <c r="W2432" s="1">
        <v>2015</v>
      </c>
      <c r="X2432" s="62" t="s">
        <v>6562</v>
      </c>
    </row>
    <row r="2433" spans="1:24" s="13" customFormat="1" ht="76.5" outlineLevel="1" x14ac:dyDescent="0.2">
      <c r="A2433" s="1" t="s">
        <v>9521</v>
      </c>
      <c r="B2433" s="2" t="s">
        <v>5277</v>
      </c>
      <c r="C2433" s="2" t="s">
        <v>3100</v>
      </c>
      <c r="D2433" s="2" t="s">
        <v>5236</v>
      </c>
      <c r="E2433" s="6" t="s">
        <v>5237</v>
      </c>
      <c r="F2433" s="52" t="s">
        <v>5238</v>
      </c>
      <c r="G2433" s="4" t="s">
        <v>3190</v>
      </c>
      <c r="H2433" s="5">
        <v>0</v>
      </c>
      <c r="I2433" s="6">
        <v>710000000</v>
      </c>
      <c r="J2433" s="4" t="s">
        <v>1931</v>
      </c>
      <c r="K2433" s="4" t="s">
        <v>9142</v>
      </c>
      <c r="L2433" s="3" t="s">
        <v>1165</v>
      </c>
      <c r="M2433" s="8" t="s">
        <v>3195</v>
      </c>
      <c r="N2433" s="3" t="s">
        <v>1890</v>
      </c>
      <c r="O2433" s="8" t="s">
        <v>1935</v>
      </c>
      <c r="P2433" s="60">
        <v>166</v>
      </c>
      <c r="Q2433" s="3" t="s">
        <v>3324</v>
      </c>
      <c r="R2433" s="69">
        <f>20+25+2+10+5+19</f>
        <v>81</v>
      </c>
      <c r="S2433" s="69">
        <v>6295</v>
      </c>
      <c r="T2433" s="10">
        <f t="shared" ref="T2433" si="1401">S2433*R2433</f>
        <v>509895</v>
      </c>
      <c r="U2433" s="10">
        <f t="shared" ref="U2433" si="1402">T2433*1.12</f>
        <v>571082.4</v>
      </c>
      <c r="V2433" s="7"/>
      <c r="W2433" s="1">
        <v>2015</v>
      </c>
      <c r="X2433" s="62"/>
    </row>
    <row r="2434" spans="1:24" s="13" customFormat="1" ht="76.5" customHeight="1" outlineLevel="1" x14ac:dyDescent="0.2">
      <c r="A2434" s="1" t="s">
        <v>4039</v>
      </c>
      <c r="B2434" s="2" t="s">
        <v>5277</v>
      </c>
      <c r="C2434" s="2" t="s">
        <v>3329</v>
      </c>
      <c r="D2434" s="2" t="s">
        <v>3330</v>
      </c>
      <c r="E2434" s="6" t="s">
        <v>305</v>
      </c>
      <c r="F2434" s="52" t="s">
        <v>304</v>
      </c>
      <c r="G2434" s="4" t="s">
        <v>1888</v>
      </c>
      <c r="H2434" s="5">
        <v>0</v>
      </c>
      <c r="I2434" s="6">
        <v>710000000</v>
      </c>
      <c r="J2434" s="4" t="s">
        <v>1931</v>
      </c>
      <c r="K2434" s="4" t="s">
        <v>5297</v>
      </c>
      <c r="L2434" s="3" t="s">
        <v>1165</v>
      </c>
      <c r="M2434" s="8" t="s">
        <v>3195</v>
      </c>
      <c r="N2434" s="3" t="s">
        <v>1890</v>
      </c>
      <c r="O2434" s="8" t="s">
        <v>1935</v>
      </c>
      <c r="P2434" s="60">
        <v>778</v>
      </c>
      <c r="Q2434" s="3" t="s">
        <v>3327</v>
      </c>
      <c r="R2434" s="69">
        <f>20+70</f>
        <v>90</v>
      </c>
      <c r="S2434" s="69">
        <v>391.07</v>
      </c>
      <c r="T2434" s="10">
        <v>0</v>
      </c>
      <c r="U2434" s="10">
        <f t="shared" si="1363"/>
        <v>0</v>
      </c>
      <c r="V2434" s="7"/>
      <c r="W2434" s="1">
        <v>2015</v>
      </c>
      <c r="X2434" s="62" t="s">
        <v>7678</v>
      </c>
    </row>
    <row r="2435" spans="1:24" s="13" customFormat="1" ht="76.5" customHeight="1" outlineLevel="1" x14ac:dyDescent="0.2">
      <c r="A2435" s="1" t="s">
        <v>7812</v>
      </c>
      <c r="B2435" s="2" t="s">
        <v>5277</v>
      </c>
      <c r="C2435" s="2" t="s">
        <v>3329</v>
      </c>
      <c r="D2435" s="2" t="s">
        <v>3330</v>
      </c>
      <c r="E2435" s="6" t="s">
        <v>305</v>
      </c>
      <c r="F2435" s="52" t="s">
        <v>304</v>
      </c>
      <c r="G2435" s="4" t="s">
        <v>3190</v>
      </c>
      <c r="H2435" s="5">
        <v>0</v>
      </c>
      <c r="I2435" s="6">
        <v>710000000</v>
      </c>
      <c r="J2435" s="4" t="s">
        <v>1931</v>
      </c>
      <c r="K2435" s="4" t="s">
        <v>756</v>
      </c>
      <c r="L2435" s="3" t="s">
        <v>1165</v>
      </c>
      <c r="M2435" s="8" t="s">
        <v>3195</v>
      </c>
      <c r="N2435" s="3" t="s">
        <v>1890</v>
      </c>
      <c r="O2435" s="8" t="s">
        <v>1935</v>
      </c>
      <c r="P2435" s="60">
        <v>778</v>
      </c>
      <c r="Q2435" s="3" t="s">
        <v>3327</v>
      </c>
      <c r="R2435" s="69">
        <f>10+50</f>
        <v>60</v>
      </c>
      <c r="S2435" s="69">
        <v>391.07</v>
      </c>
      <c r="T2435" s="10">
        <v>0</v>
      </c>
      <c r="U2435" s="10">
        <f t="shared" ref="U2435" si="1403">T2435*1.12</f>
        <v>0</v>
      </c>
      <c r="V2435" s="7"/>
      <c r="W2435" s="1">
        <v>2015</v>
      </c>
      <c r="X2435" s="62" t="s">
        <v>7518</v>
      </c>
    </row>
    <row r="2436" spans="1:24" s="13" customFormat="1" ht="76.5" customHeight="1" outlineLevel="1" x14ac:dyDescent="0.2">
      <c r="A2436" s="1" t="s">
        <v>8999</v>
      </c>
      <c r="B2436" s="2" t="s">
        <v>5277</v>
      </c>
      <c r="C2436" s="2" t="s">
        <v>3329</v>
      </c>
      <c r="D2436" s="2" t="s">
        <v>3330</v>
      </c>
      <c r="E2436" s="6" t="s">
        <v>305</v>
      </c>
      <c r="F2436" s="52" t="s">
        <v>304</v>
      </c>
      <c r="G2436" s="4" t="s">
        <v>3190</v>
      </c>
      <c r="H2436" s="5">
        <v>0</v>
      </c>
      <c r="I2436" s="6">
        <v>710000000</v>
      </c>
      <c r="J2436" s="4" t="s">
        <v>1931</v>
      </c>
      <c r="K2436" s="4" t="s">
        <v>8946</v>
      </c>
      <c r="L2436" s="3" t="s">
        <v>1165</v>
      </c>
      <c r="M2436" s="8" t="s">
        <v>3195</v>
      </c>
      <c r="N2436" s="3" t="s">
        <v>1890</v>
      </c>
      <c r="O2436" s="8" t="s">
        <v>1935</v>
      </c>
      <c r="P2436" s="60">
        <v>778</v>
      </c>
      <c r="Q2436" s="3" t="s">
        <v>3327</v>
      </c>
      <c r="R2436" s="69">
        <f>10+50+4</f>
        <v>64</v>
      </c>
      <c r="S2436" s="69">
        <v>391.07</v>
      </c>
      <c r="T2436" s="10">
        <v>0</v>
      </c>
      <c r="U2436" s="10">
        <f t="shared" ref="U2436" si="1404">T2436*1.12</f>
        <v>0</v>
      </c>
      <c r="V2436" s="7"/>
      <c r="W2436" s="1">
        <v>2015</v>
      </c>
      <c r="X2436" s="62" t="s">
        <v>7518</v>
      </c>
    </row>
    <row r="2437" spans="1:24" s="13" customFormat="1" ht="76.5" outlineLevel="1" x14ac:dyDescent="0.2">
      <c r="A2437" s="1" t="s">
        <v>9199</v>
      </c>
      <c r="B2437" s="2" t="s">
        <v>5277</v>
      </c>
      <c r="C2437" s="52" t="s">
        <v>9201</v>
      </c>
      <c r="D2437" s="52" t="s">
        <v>3330</v>
      </c>
      <c r="E2437" s="52" t="s">
        <v>305</v>
      </c>
      <c r="F2437" s="52" t="s">
        <v>304</v>
      </c>
      <c r="G2437" s="4" t="s">
        <v>3190</v>
      </c>
      <c r="H2437" s="5">
        <v>0</v>
      </c>
      <c r="I2437" s="6">
        <v>710000000</v>
      </c>
      <c r="J2437" s="4" t="s">
        <v>1931</v>
      </c>
      <c r="K2437" s="4" t="s">
        <v>9200</v>
      </c>
      <c r="L2437" s="3" t="s">
        <v>1165</v>
      </c>
      <c r="M2437" s="8" t="s">
        <v>3195</v>
      </c>
      <c r="N2437" s="3" t="s">
        <v>1890</v>
      </c>
      <c r="O2437" s="8" t="s">
        <v>1935</v>
      </c>
      <c r="P2437" s="60">
        <v>796</v>
      </c>
      <c r="Q2437" s="3" t="s">
        <v>3196</v>
      </c>
      <c r="R2437" s="69">
        <f>10+50+4+40+3</f>
        <v>107</v>
      </c>
      <c r="S2437" s="69">
        <v>391.07</v>
      </c>
      <c r="T2437" s="10">
        <v>0</v>
      </c>
      <c r="U2437" s="10">
        <f t="shared" ref="U2437" si="1405">T2437*1.12</f>
        <v>0</v>
      </c>
      <c r="V2437" s="7"/>
      <c r="W2437" s="1">
        <v>2015</v>
      </c>
      <c r="X2437" s="62" t="s">
        <v>7518</v>
      </c>
    </row>
    <row r="2438" spans="1:24" s="13" customFormat="1" ht="76.5" outlineLevel="1" x14ac:dyDescent="0.2">
      <c r="A2438" s="1" t="s">
        <v>9298</v>
      </c>
      <c r="B2438" s="2" t="s">
        <v>5277</v>
      </c>
      <c r="C2438" s="52" t="s">
        <v>9201</v>
      </c>
      <c r="D2438" s="52" t="s">
        <v>3330</v>
      </c>
      <c r="E2438" s="52" t="s">
        <v>305</v>
      </c>
      <c r="F2438" s="52" t="s">
        <v>304</v>
      </c>
      <c r="G2438" s="4" t="s">
        <v>3190</v>
      </c>
      <c r="H2438" s="5">
        <v>0</v>
      </c>
      <c r="I2438" s="6">
        <v>710000000</v>
      </c>
      <c r="J2438" s="4" t="s">
        <v>1931</v>
      </c>
      <c r="K2438" s="4" t="s">
        <v>9200</v>
      </c>
      <c r="L2438" s="3" t="s">
        <v>1165</v>
      </c>
      <c r="M2438" s="8" t="s">
        <v>3195</v>
      </c>
      <c r="N2438" s="3" t="s">
        <v>1890</v>
      </c>
      <c r="O2438" s="8" t="s">
        <v>1935</v>
      </c>
      <c r="P2438" s="60">
        <v>796</v>
      </c>
      <c r="Q2438" s="3" t="s">
        <v>3196</v>
      </c>
      <c r="R2438" s="69">
        <f>10+50+4+40+3+10+10</f>
        <v>127</v>
      </c>
      <c r="S2438" s="69">
        <v>391.07</v>
      </c>
      <c r="T2438" s="10">
        <v>0</v>
      </c>
      <c r="U2438" s="10">
        <f t="shared" ref="U2438" si="1406">T2438*1.12</f>
        <v>0</v>
      </c>
      <c r="V2438" s="7"/>
      <c r="W2438" s="1">
        <v>2015</v>
      </c>
      <c r="X2438" s="62" t="s">
        <v>6562</v>
      </c>
    </row>
    <row r="2439" spans="1:24" s="13" customFormat="1" ht="76.5" outlineLevel="1" x14ac:dyDescent="0.2">
      <c r="A2439" s="1" t="s">
        <v>9531</v>
      </c>
      <c r="B2439" s="2" t="s">
        <v>5277</v>
      </c>
      <c r="C2439" s="52" t="s">
        <v>9201</v>
      </c>
      <c r="D2439" s="52" t="s">
        <v>3330</v>
      </c>
      <c r="E2439" s="52" t="s">
        <v>305</v>
      </c>
      <c r="F2439" s="52" t="s">
        <v>304</v>
      </c>
      <c r="G2439" s="4" t="s">
        <v>3190</v>
      </c>
      <c r="H2439" s="5">
        <v>0</v>
      </c>
      <c r="I2439" s="6">
        <v>710000000</v>
      </c>
      <c r="J2439" s="4" t="s">
        <v>1931</v>
      </c>
      <c r="K2439" s="4" t="s">
        <v>9200</v>
      </c>
      <c r="L2439" s="3" t="s">
        <v>1165</v>
      </c>
      <c r="M2439" s="8" t="s">
        <v>3195</v>
      </c>
      <c r="N2439" s="3" t="s">
        <v>1890</v>
      </c>
      <c r="O2439" s="8" t="s">
        <v>1935</v>
      </c>
      <c r="P2439" s="60">
        <v>796</v>
      </c>
      <c r="Q2439" s="3" t="s">
        <v>3196</v>
      </c>
      <c r="R2439" s="69">
        <f>10+50+4+40+3+10+10+30</f>
        <v>157</v>
      </c>
      <c r="S2439" s="69">
        <v>391.07</v>
      </c>
      <c r="T2439" s="10">
        <f t="shared" ref="T2439" si="1407">S2439*R2439</f>
        <v>61397.99</v>
      </c>
      <c r="U2439" s="10">
        <f t="shared" ref="U2439" si="1408">T2439*1.12</f>
        <v>68765.748800000001</v>
      </c>
      <c r="V2439" s="7"/>
      <c r="W2439" s="1">
        <v>2015</v>
      </c>
      <c r="X2439" s="62"/>
    </row>
    <row r="2440" spans="1:24" s="13" customFormat="1" ht="76.5" customHeight="1" outlineLevel="1" x14ac:dyDescent="0.2">
      <c r="A2440" s="1" t="s">
        <v>4040</v>
      </c>
      <c r="B2440" s="2" t="s">
        <v>5277</v>
      </c>
      <c r="C2440" s="6" t="s">
        <v>303</v>
      </c>
      <c r="D2440" s="6" t="s">
        <v>302</v>
      </c>
      <c r="E2440" s="6" t="s">
        <v>302</v>
      </c>
      <c r="F2440" s="2"/>
      <c r="G2440" s="4" t="s">
        <v>1888</v>
      </c>
      <c r="H2440" s="5">
        <v>0</v>
      </c>
      <c r="I2440" s="6">
        <v>710000000</v>
      </c>
      <c r="J2440" s="4" t="s">
        <v>1931</v>
      </c>
      <c r="K2440" s="4" t="s">
        <v>5297</v>
      </c>
      <c r="L2440" s="3" t="s">
        <v>1165</v>
      </c>
      <c r="M2440" s="8" t="s">
        <v>3195</v>
      </c>
      <c r="N2440" s="3" t="s">
        <v>1890</v>
      </c>
      <c r="O2440" s="8" t="s">
        <v>1935</v>
      </c>
      <c r="P2440" s="8">
        <v>796</v>
      </c>
      <c r="Q2440" s="8" t="s">
        <v>3196</v>
      </c>
      <c r="R2440" s="69">
        <f>20+5</f>
        <v>25</v>
      </c>
      <c r="S2440" s="69">
        <v>382.14</v>
      </c>
      <c r="T2440" s="10">
        <v>0</v>
      </c>
      <c r="U2440" s="10">
        <f t="shared" si="1363"/>
        <v>0</v>
      </c>
      <c r="V2440" s="7"/>
      <c r="W2440" s="1">
        <v>2015</v>
      </c>
      <c r="X2440" s="62" t="s">
        <v>7678</v>
      </c>
    </row>
    <row r="2441" spans="1:24" s="13" customFormat="1" ht="76.5" customHeight="1" outlineLevel="1" x14ac:dyDescent="0.2">
      <c r="A2441" s="1" t="s">
        <v>7813</v>
      </c>
      <c r="B2441" s="2" t="s">
        <v>5277</v>
      </c>
      <c r="C2441" s="6" t="s">
        <v>303</v>
      </c>
      <c r="D2441" s="6" t="s">
        <v>302</v>
      </c>
      <c r="E2441" s="6" t="s">
        <v>302</v>
      </c>
      <c r="F2441" s="2"/>
      <c r="G2441" s="4" t="s">
        <v>3190</v>
      </c>
      <c r="H2441" s="5">
        <v>0</v>
      </c>
      <c r="I2441" s="6">
        <v>710000000</v>
      </c>
      <c r="J2441" s="4" t="s">
        <v>1931</v>
      </c>
      <c r="K2441" s="4" t="s">
        <v>756</v>
      </c>
      <c r="L2441" s="3" t="s">
        <v>1165</v>
      </c>
      <c r="M2441" s="8" t="s">
        <v>3195</v>
      </c>
      <c r="N2441" s="3" t="s">
        <v>1890</v>
      </c>
      <c r="O2441" s="8" t="s">
        <v>1935</v>
      </c>
      <c r="P2441" s="8">
        <v>796</v>
      </c>
      <c r="Q2441" s="8" t="s">
        <v>3196</v>
      </c>
      <c r="R2441" s="69">
        <f>15+5</f>
        <v>20</v>
      </c>
      <c r="S2441" s="69">
        <v>382.14</v>
      </c>
      <c r="T2441" s="10">
        <f t="shared" ref="T2441" si="1409">S2441*R2441</f>
        <v>7642.7999999999993</v>
      </c>
      <c r="U2441" s="10">
        <f t="shared" ref="U2441" si="1410">T2441*1.12</f>
        <v>8559.9359999999997</v>
      </c>
      <c r="V2441" s="7"/>
      <c r="W2441" s="1">
        <v>2015</v>
      </c>
      <c r="X2441" s="62"/>
    </row>
    <row r="2442" spans="1:24" s="13" customFormat="1" ht="76.5" customHeight="1" outlineLevel="1" x14ac:dyDescent="0.2">
      <c r="A2442" s="1" t="s">
        <v>4041</v>
      </c>
      <c r="B2442" s="2" t="s">
        <v>5277</v>
      </c>
      <c r="C2442" s="6" t="s">
        <v>4220</v>
      </c>
      <c r="D2442" s="6" t="s">
        <v>5522</v>
      </c>
      <c r="E2442" s="6" t="s">
        <v>5523</v>
      </c>
      <c r="F2442" s="52" t="s">
        <v>5524</v>
      </c>
      <c r="G2442" s="4" t="s">
        <v>1888</v>
      </c>
      <c r="H2442" s="5">
        <v>0</v>
      </c>
      <c r="I2442" s="6">
        <v>710000000</v>
      </c>
      <c r="J2442" s="4" t="s">
        <v>1931</v>
      </c>
      <c r="K2442" s="4" t="s">
        <v>5297</v>
      </c>
      <c r="L2442" s="3" t="s">
        <v>1165</v>
      </c>
      <c r="M2442" s="8" t="s">
        <v>3195</v>
      </c>
      <c r="N2442" s="3" t="s">
        <v>1890</v>
      </c>
      <c r="O2442" s="8" t="s">
        <v>1935</v>
      </c>
      <c r="P2442" s="62">
        <v>168</v>
      </c>
      <c r="Q2442" s="3" t="s">
        <v>3444</v>
      </c>
      <c r="R2442" s="69">
        <f>1+4+3</f>
        <v>8</v>
      </c>
      <c r="S2442" s="69">
        <v>1528.57</v>
      </c>
      <c r="T2442" s="10">
        <v>0</v>
      </c>
      <c r="U2442" s="10">
        <f t="shared" si="1363"/>
        <v>0</v>
      </c>
      <c r="V2442" s="7"/>
      <c r="W2442" s="1">
        <v>2015</v>
      </c>
      <c r="X2442" s="62" t="s">
        <v>7678</v>
      </c>
    </row>
    <row r="2443" spans="1:24" s="13" customFormat="1" ht="76.5" customHeight="1" outlineLevel="1" x14ac:dyDescent="0.2">
      <c r="A2443" s="1" t="s">
        <v>7814</v>
      </c>
      <c r="B2443" s="2" t="s">
        <v>5277</v>
      </c>
      <c r="C2443" s="6" t="s">
        <v>4220</v>
      </c>
      <c r="D2443" s="6" t="s">
        <v>5522</v>
      </c>
      <c r="E2443" s="6" t="s">
        <v>5523</v>
      </c>
      <c r="F2443" s="52" t="s">
        <v>5524</v>
      </c>
      <c r="G2443" s="4" t="s">
        <v>3190</v>
      </c>
      <c r="H2443" s="5">
        <v>0</v>
      </c>
      <c r="I2443" s="6">
        <v>710000000</v>
      </c>
      <c r="J2443" s="4" t="s">
        <v>1931</v>
      </c>
      <c r="K2443" s="4" t="s">
        <v>756</v>
      </c>
      <c r="L2443" s="3" t="s">
        <v>1165</v>
      </c>
      <c r="M2443" s="8" t="s">
        <v>3195</v>
      </c>
      <c r="N2443" s="3" t="s">
        <v>1890</v>
      </c>
      <c r="O2443" s="8" t="s">
        <v>1935</v>
      </c>
      <c r="P2443" s="62">
        <v>168</v>
      </c>
      <c r="Q2443" s="3" t="s">
        <v>3444</v>
      </c>
      <c r="R2443" s="69">
        <f>1+2+2</f>
        <v>5</v>
      </c>
      <c r="S2443" s="69">
        <v>1528.57</v>
      </c>
      <c r="T2443" s="10">
        <v>0</v>
      </c>
      <c r="U2443" s="10">
        <f t="shared" ref="U2443" si="1411">T2443*1.12</f>
        <v>0</v>
      </c>
      <c r="V2443" s="7"/>
      <c r="W2443" s="1">
        <v>2015</v>
      </c>
      <c r="X2443" s="62" t="s">
        <v>7518</v>
      </c>
    </row>
    <row r="2444" spans="1:24" s="13" customFormat="1" ht="76.5" outlineLevel="1" x14ac:dyDescent="0.2">
      <c r="A2444" s="1" t="s">
        <v>8955</v>
      </c>
      <c r="B2444" s="2" t="s">
        <v>5277</v>
      </c>
      <c r="C2444" s="6" t="s">
        <v>4220</v>
      </c>
      <c r="D2444" s="6" t="s">
        <v>5522</v>
      </c>
      <c r="E2444" s="6" t="s">
        <v>5523</v>
      </c>
      <c r="F2444" s="52" t="s">
        <v>5524</v>
      </c>
      <c r="G2444" s="4" t="s">
        <v>3190</v>
      </c>
      <c r="H2444" s="5">
        <v>0</v>
      </c>
      <c r="I2444" s="6">
        <v>710000000</v>
      </c>
      <c r="J2444" s="4" t="s">
        <v>1931</v>
      </c>
      <c r="K2444" s="4" t="s">
        <v>8946</v>
      </c>
      <c r="L2444" s="3" t="s">
        <v>1165</v>
      </c>
      <c r="M2444" s="8" t="s">
        <v>3195</v>
      </c>
      <c r="N2444" s="3" t="s">
        <v>1890</v>
      </c>
      <c r="O2444" s="8" t="s">
        <v>1935</v>
      </c>
      <c r="P2444" s="62">
        <v>168</v>
      </c>
      <c r="Q2444" s="3" t="s">
        <v>3444</v>
      </c>
      <c r="R2444" s="69">
        <f>1+2+2+1</f>
        <v>6</v>
      </c>
      <c r="S2444" s="69">
        <v>1528.57</v>
      </c>
      <c r="T2444" s="10">
        <v>0</v>
      </c>
      <c r="U2444" s="10">
        <f t="shared" ref="U2444" si="1412">T2444*1.12</f>
        <v>0</v>
      </c>
      <c r="V2444" s="7"/>
      <c r="W2444" s="1">
        <v>2015</v>
      </c>
      <c r="X2444" s="62" t="s">
        <v>7518</v>
      </c>
    </row>
    <row r="2445" spans="1:24" s="13" customFormat="1" ht="76.5" outlineLevel="1" x14ac:dyDescent="0.2">
      <c r="A2445" s="1" t="s">
        <v>9302</v>
      </c>
      <c r="B2445" s="2" t="s">
        <v>5277</v>
      </c>
      <c r="C2445" s="6" t="s">
        <v>4220</v>
      </c>
      <c r="D2445" s="6" t="s">
        <v>5522</v>
      </c>
      <c r="E2445" s="6" t="s">
        <v>5523</v>
      </c>
      <c r="F2445" s="52" t="s">
        <v>5524</v>
      </c>
      <c r="G2445" s="4" t="s">
        <v>3190</v>
      </c>
      <c r="H2445" s="5">
        <v>0</v>
      </c>
      <c r="I2445" s="6">
        <v>710000000</v>
      </c>
      <c r="J2445" s="4" t="s">
        <v>1931</v>
      </c>
      <c r="K2445" s="4" t="s">
        <v>9303</v>
      </c>
      <c r="L2445" s="3" t="s">
        <v>1165</v>
      </c>
      <c r="M2445" s="8" t="s">
        <v>3195</v>
      </c>
      <c r="N2445" s="3" t="s">
        <v>1890</v>
      </c>
      <c r="O2445" s="8" t="s">
        <v>1935</v>
      </c>
      <c r="P2445" s="62">
        <v>168</v>
      </c>
      <c r="Q2445" s="3" t="s">
        <v>3444</v>
      </c>
      <c r="R2445" s="69">
        <f>1+2+2+1+2</f>
        <v>8</v>
      </c>
      <c r="S2445" s="69">
        <v>1528.57</v>
      </c>
      <c r="T2445" s="10">
        <f t="shared" ref="T2445" si="1413">S2445*R2445</f>
        <v>12228.56</v>
      </c>
      <c r="U2445" s="10">
        <f t="shared" ref="U2445" si="1414">T2445*1.12</f>
        <v>13695.987200000001</v>
      </c>
      <c r="V2445" s="7"/>
      <c r="W2445" s="1">
        <v>2015</v>
      </c>
      <c r="X2445" s="62"/>
    </row>
    <row r="2446" spans="1:24" s="13" customFormat="1" ht="76.5" customHeight="1" outlineLevel="1" x14ac:dyDescent="0.2">
      <c r="A2446" s="1" t="s">
        <v>4042</v>
      </c>
      <c r="B2446" s="2" t="s">
        <v>5277</v>
      </c>
      <c r="C2446" s="6" t="s">
        <v>3144</v>
      </c>
      <c r="D2446" s="6" t="s">
        <v>6016</v>
      </c>
      <c r="E2446" s="6" t="s">
        <v>6017</v>
      </c>
      <c r="F2446" s="2"/>
      <c r="G2446" s="4" t="s">
        <v>1888</v>
      </c>
      <c r="H2446" s="5">
        <v>0</v>
      </c>
      <c r="I2446" s="6">
        <v>710000000</v>
      </c>
      <c r="J2446" s="4" t="s">
        <v>1931</v>
      </c>
      <c r="K2446" s="4" t="s">
        <v>5297</v>
      </c>
      <c r="L2446" s="3" t="s">
        <v>1165</v>
      </c>
      <c r="M2446" s="8" t="s">
        <v>3195</v>
      </c>
      <c r="N2446" s="3" t="s">
        <v>1890</v>
      </c>
      <c r="O2446" s="8" t="s">
        <v>1935</v>
      </c>
      <c r="P2446" s="60">
        <v>166</v>
      </c>
      <c r="Q2446" s="3" t="s">
        <v>3324</v>
      </c>
      <c r="R2446" s="69">
        <f>1500+400</f>
        <v>1900</v>
      </c>
      <c r="S2446" s="69">
        <v>25.89</v>
      </c>
      <c r="T2446" s="10">
        <v>0</v>
      </c>
      <c r="U2446" s="10">
        <f t="shared" si="1363"/>
        <v>0</v>
      </c>
      <c r="V2446" s="7"/>
      <c r="W2446" s="1">
        <v>2015</v>
      </c>
      <c r="X2446" s="62" t="s">
        <v>7678</v>
      </c>
    </row>
    <row r="2447" spans="1:24" s="13" customFormat="1" ht="76.5" customHeight="1" outlineLevel="1" x14ac:dyDescent="0.2">
      <c r="A2447" s="1" t="s">
        <v>7815</v>
      </c>
      <c r="B2447" s="2" t="s">
        <v>5277</v>
      </c>
      <c r="C2447" s="6" t="s">
        <v>3144</v>
      </c>
      <c r="D2447" s="6" t="s">
        <v>6016</v>
      </c>
      <c r="E2447" s="6" t="s">
        <v>6017</v>
      </c>
      <c r="F2447" s="2"/>
      <c r="G2447" s="4" t="s">
        <v>3190</v>
      </c>
      <c r="H2447" s="5">
        <v>0</v>
      </c>
      <c r="I2447" s="6">
        <v>710000000</v>
      </c>
      <c r="J2447" s="4" t="s">
        <v>1931</v>
      </c>
      <c r="K2447" s="4" t="s">
        <v>756</v>
      </c>
      <c r="L2447" s="3" t="s">
        <v>1165</v>
      </c>
      <c r="M2447" s="8" t="s">
        <v>3195</v>
      </c>
      <c r="N2447" s="3" t="s">
        <v>1890</v>
      </c>
      <c r="O2447" s="8" t="s">
        <v>1935</v>
      </c>
      <c r="P2447" s="60">
        <v>166</v>
      </c>
      <c r="Q2447" s="3" t="s">
        <v>3324</v>
      </c>
      <c r="R2447" s="69">
        <f>1200+300</f>
        <v>1500</v>
      </c>
      <c r="S2447" s="69">
        <v>25.89</v>
      </c>
      <c r="T2447" s="10">
        <f t="shared" ref="T2447" si="1415">S2447*R2447</f>
        <v>38835</v>
      </c>
      <c r="U2447" s="10">
        <f t="shared" ref="U2447" si="1416">T2447*1.12</f>
        <v>43495.200000000004</v>
      </c>
      <c r="V2447" s="7"/>
      <c r="W2447" s="1">
        <v>2015</v>
      </c>
      <c r="X2447" s="62"/>
    </row>
    <row r="2448" spans="1:24" s="13" customFormat="1" ht="76.5" customHeight="1" outlineLevel="1" x14ac:dyDescent="0.2">
      <c r="A2448" s="1" t="s">
        <v>4043</v>
      </c>
      <c r="B2448" s="38" t="s">
        <v>5277</v>
      </c>
      <c r="C2448" s="6" t="s">
        <v>3144</v>
      </c>
      <c r="D2448" s="6" t="s">
        <v>6016</v>
      </c>
      <c r="E2448" s="6" t="s">
        <v>6017</v>
      </c>
      <c r="F2448" s="39" t="s">
        <v>301</v>
      </c>
      <c r="G2448" s="4" t="s">
        <v>1888</v>
      </c>
      <c r="H2448" s="5">
        <v>0</v>
      </c>
      <c r="I2448" s="6">
        <v>710000000</v>
      </c>
      <c r="J2448" s="4" t="s">
        <v>1931</v>
      </c>
      <c r="K2448" s="4" t="s">
        <v>5297</v>
      </c>
      <c r="L2448" s="3" t="s">
        <v>1165</v>
      </c>
      <c r="M2448" s="8" t="s">
        <v>3195</v>
      </c>
      <c r="N2448" s="3" t="s">
        <v>1890</v>
      </c>
      <c r="O2448" s="8" t="s">
        <v>1935</v>
      </c>
      <c r="P2448" s="60">
        <v>166</v>
      </c>
      <c r="Q2448" s="3" t="s">
        <v>3324</v>
      </c>
      <c r="R2448" s="9">
        <v>1960</v>
      </c>
      <c r="S2448" s="9">
        <v>107</v>
      </c>
      <c r="T2448" s="10">
        <v>0</v>
      </c>
      <c r="U2448" s="10">
        <f t="shared" si="1363"/>
        <v>0</v>
      </c>
      <c r="V2448" s="7"/>
      <c r="W2448" s="11">
        <v>2015</v>
      </c>
      <c r="X2448" s="12" t="s">
        <v>6562</v>
      </c>
    </row>
    <row r="2449" spans="1:24" s="13" customFormat="1" ht="76.5" customHeight="1" outlineLevel="1" x14ac:dyDescent="0.2">
      <c r="A2449" s="1" t="s">
        <v>6667</v>
      </c>
      <c r="B2449" s="2" t="s">
        <v>5277</v>
      </c>
      <c r="C2449" s="6" t="s">
        <v>3144</v>
      </c>
      <c r="D2449" s="6" t="s">
        <v>6016</v>
      </c>
      <c r="E2449" s="6" t="s">
        <v>6017</v>
      </c>
      <c r="F2449" s="2" t="s">
        <v>301</v>
      </c>
      <c r="G2449" s="4" t="s">
        <v>1888</v>
      </c>
      <c r="H2449" s="5">
        <v>0</v>
      </c>
      <c r="I2449" s="6">
        <v>710000000</v>
      </c>
      <c r="J2449" s="4" t="s">
        <v>1931</v>
      </c>
      <c r="K2449" s="4" t="s">
        <v>5297</v>
      </c>
      <c r="L2449" s="3" t="s">
        <v>1165</v>
      </c>
      <c r="M2449" s="8" t="s">
        <v>3195</v>
      </c>
      <c r="N2449" s="3" t="s">
        <v>1890</v>
      </c>
      <c r="O2449" s="8" t="s">
        <v>1935</v>
      </c>
      <c r="P2449" s="60">
        <v>166</v>
      </c>
      <c r="Q2449" s="3" t="s">
        <v>3324</v>
      </c>
      <c r="R2449" s="69">
        <v>980</v>
      </c>
      <c r="S2449" s="69">
        <v>107</v>
      </c>
      <c r="T2449" s="10">
        <v>0</v>
      </c>
      <c r="U2449" s="10">
        <f t="shared" si="1363"/>
        <v>0</v>
      </c>
      <c r="V2449" s="7"/>
      <c r="W2449" s="1">
        <v>2015</v>
      </c>
      <c r="X2449" s="62" t="s">
        <v>7678</v>
      </c>
    </row>
    <row r="2450" spans="1:24" s="13" customFormat="1" ht="76.5" customHeight="1" outlineLevel="1" x14ac:dyDescent="0.2">
      <c r="A2450" s="1" t="s">
        <v>7816</v>
      </c>
      <c r="B2450" s="2" t="s">
        <v>5277</v>
      </c>
      <c r="C2450" s="6" t="s">
        <v>3144</v>
      </c>
      <c r="D2450" s="6" t="s">
        <v>6016</v>
      </c>
      <c r="E2450" s="6" t="s">
        <v>6017</v>
      </c>
      <c r="F2450" s="2" t="s">
        <v>301</v>
      </c>
      <c r="G2450" s="4" t="s">
        <v>3190</v>
      </c>
      <c r="H2450" s="5">
        <v>0</v>
      </c>
      <c r="I2450" s="6">
        <v>710000000</v>
      </c>
      <c r="J2450" s="4" t="s">
        <v>1931</v>
      </c>
      <c r="K2450" s="4" t="s">
        <v>756</v>
      </c>
      <c r="L2450" s="3" t="s">
        <v>1165</v>
      </c>
      <c r="M2450" s="8" t="s">
        <v>3195</v>
      </c>
      <c r="N2450" s="3" t="s">
        <v>1890</v>
      </c>
      <c r="O2450" s="8" t="s">
        <v>1935</v>
      </c>
      <c r="P2450" s="60">
        <v>166</v>
      </c>
      <c r="Q2450" s="3" t="s">
        <v>3324</v>
      </c>
      <c r="R2450" s="69">
        <v>500</v>
      </c>
      <c r="S2450" s="69">
        <v>107</v>
      </c>
      <c r="T2450" s="10">
        <f t="shared" ref="T2450" si="1417">S2450*R2450</f>
        <v>53500</v>
      </c>
      <c r="U2450" s="10">
        <f t="shared" ref="U2450" si="1418">T2450*1.12</f>
        <v>59920.000000000007</v>
      </c>
      <c r="V2450" s="7"/>
      <c r="W2450" s="1">
        <v>2015</v>
      </c>
      <c r="X2450" s="62"/>
    </row>
    <row r="2451" spans="1:24" s="13" customFormat="1" ht="76.5" customHeight="1" outlineLevel="1" x14ac:dyDescent="0.2">
      <c r="A2451" s="1" t="s">
        <v>4044</v>
      </c>
      <c r="B2451" s="38" t="s">
        <v>5277</v>
      </c>
      <c r="C2451" s="2" t="s">
        <v>300</v>
      </c>
      <c r="D2451" s="2" t="s">
        <v>5143</v>
      </c>
      <c r="E2451" s="2" t="s">
        <v>299</v>
      </c>
      <c r="F2451" s="39"/>
      <c r="G2451" s="4" t="s">
        <v>1888</v>
      </c>
      <c r="H2451" s="5">
        <v>0</v>
      </c>
      <c r="I2451" s="6">
        <v>710000000</v>
      </c>
      <c r="J2451" s="4" t="s">
        <v>1931</v>
      </c>
      <c r="K2451" s="4" t="s">
        <v>5297</v>
      </c>
      <c r="L2451" s="3" t="s">
        <v>1165</v>
      </c>
      <c r="M2451" s="8" t="s">
        <v>3195</v>
      </c>
      <c r="N2451" s="3" t="s">
        <v>1890</v>
      </c>
      <c r="O2451" s="8" t="s">
        <v>1935</v>
      </c>
      <c r="P2451" s="62">
        <v>881</v>
      </c>
      <c r="Q2451" s="3" t="s">
        <v>2746</v>
      </c>
      <c r="R2451" s="9">
        <f>3+17</f>
        <v>20</v>
      </c>
      <c r="S2451" s="9">
        <v>1518</v>
      </c>
      <c r="T2451" s="10">
        <v>0</v>
      </c>
      <c r="U2451" s="10">
        <f t="shared" si="1363"/>
        <v>0</v>
      </c>
      <c r="V2451" s="7"/>
      <c r="W2451" s="11">
        <v>2015</v>
      </c>
      <c r="X2451" s="12" t="s">
        <v>6562</v>
      </c>
    </row>
    <row r="2452" spans="1:24" s="13" customFormat="1" ht="76.5" customHeight="1" outlineLevel="1" x14ac:dyDescent="0.2">
      <c r="A2452" s="1" t="s">
        <v>6668</v>
      </c>
      <c r="B2452" s="2" t="s">
        <v>5277</v>
      </c>
      <c r="C2452" s="2" t="s">
        <v>300</v>
      </c>
      <c r="D2452" s="2" t="s">
        <v>5143</v>
      </c>
      <c r="E2452" s="2" t="s">
        <v>299</v>
      </c>
      <c r="F2452" s="2"/>
      <c r="G2452" s="4" t="s">
        <v>1888</v>
      </c>
      <c r="H2452" s="5">
        <v>0</v>
      </c>
      <c r="I2452" s="6">
        <v>710000000</v>
      </c>
      <c r="J2452" s="4" t="s">
        <v>1931</v>
      </c>
      <c r="K2452" s="4" t="s">
        <v>5297</v>
      </c>
      <c r="L2452" s="3" t="s">
        <v>1165</v>
      </c>
      <c r="M2452" s="8" t="s">
        <v>3195</v>
      </c>
      <c r="N2452" s="3" t="s">
        <v>1890</v>
      </c>
      <c r="O2452" s="8" t="s">
        <v>1935</v>
      </c>
      <c r="P2452" s="62">
        <v>881</v>
      </c>
      <c r="Q2452" s="3" t="s">
        <v>2746</v>
      </c>
      <c r="R2452" s="69">
        <f>3+13</f>
        <v>16</v>
      </c>
      <c r="S2452" s="69">
        <v>1518</v>
      </c>
      <c r="T2452" s="10">
        <f t="shared" ref="T2452:T2555" si="1419">S2452*R2452</f>
        <v>24288</v>
      </c>
      <c r="U2452" s="10">
        <f t="shared" si="1363"/>
        <v>27202.560000000001</v>
      </c>
      <c r="V2452" s="7"/>
      <c r="W2452" s="1">
        <v>2015</v>
      </c>
      <c r="X2452" s="62" t="s">
        <v>7678</v>
      </c>
    </row>
    <row r="2453" spans="1:24" s="13" customFormat="1" ht="76.5" customHeight="1" outlineLevel="1" x14ac:dyDescent="0.2">
      <c r="A2453" s="1" t="s">
        <v>7817</v>
      </c>
      <c r="B2453" s="2" t="s">
        <v>5277</v>
      </c>
      <c r="C2453" s="2" t="s">
        <v>300</v>
      </c>
      <c r="D2453" s="2" t="s">
        <v>5143</v>
      </c>
      <c r="E2453" s="2" t="s">
        <v>299</v>
      </c>
      <c r="F2453" s="2"/>
      <c r="G2453" s="4" t="s">
        <v>3190</v>
      </c>
      <c r="H2453" s="5">
        <v>0</v>
      </c>
      <c r="I2453" s="6">
        <v>710000000</v>
      </c>
      <c r="J2453" s="4" t="s">
        <v>1931</v>
      </c>
      <c r="K2453" s="4" t="s">
        <v>756</v>
      </c>
      <c r="L2453" s="3" t="s">
        <v>1165</v>
      </c>
      <c r="M2453" s="8" t="s">
        <v>3195</v>
      </c>
      <c r="N2453" s="3" t="s">
        <v>1890</v>
      </c>
      <c r="O2453" s="8" t="s">
        <v>1935</v>
      </c>
      <c r="P2453" s="62">
        <v>881</v>
      </c>
      <c r="Q2453" s="3" t="s">
        <v>2746</v>
      </c>
      <c r="R2453" s="69">
        <f>2+8</f>
        <v>10</v>
      </c>
      <c r="S2453" s="69">
        <v>1518</v>
      </c>
      <c r="T2453" s="10">
        <f t="shared" ref="T2453" si="1420">S2453*R2453</f>
        <v>15180</v>
      </c>
      <c r="U2453" s="10">
        <f t="shared" ref="U2453" si="1421">T2453*1.12</f>
        <v>17001.600000000002</v>
      </c>
      <c r="V2453" s="7"/>
      <c r="W2453" s="1">
        <v>2015</v>
      </c>
      <c r="X2453" s="62"/>
    </row>
    <row r="2454" spans="1:24" s="13" customFormat="1" ht="76.5" customHeight="1" outlineLevel="1" x14ac:dyDescent="0.2">
      <c r="A2454" s="1" t="s">
        <v>4045</v>
      </c>
      <c r="B2454" s="2" t="s">
        <v>5277</v>
      </c>
      <c r="C2454" s="2" t="s">
        <v>298</v>
      </c>
      <c r="D2454" s="2" t="s">
        <v>5143</v>
      </c>
      <c r="E2454" s="2" t="s">
        <v>297</v>
      </c>
      <c r="F2454" s="2" t="s">
        <v>296</v>
      </c>
      <c r="G2454" s="4" t="s">
        <v>1888</v>
      </c>
      <c r="H2454" s="5">
        <v>0</v>
      </c>
      <c r="I2454" s="6">
        <v>710000000</v>
      </c>
      <c r="J2454" s="4" t="s">
        <v>1931</v>
      </c>
      <c r="K2454" s="4" t="s">
        <v>5297</v>
      </c>
      <c r="L2454" s="3" t="s">
        <v>1165</v>
      </c>
      <c r="M2454" s="8" t="s">
        <v>3195</v>
      </c>
      <c r="N2454" s="3" t="s">
        <v>1890</v>
      </c>
      <c r="O2454" s="8" t="s">
        <v>1935</v>
      </c>
      <c r="P2454" s="60" t="s">
        <v>3331</v>
      </c>
      <c r="Q2454" s="3" t="s">
        <v>3819</v>
      </c>
      <c r="R2454" s="69">
        <v>200</v>
      </c>
      <c r="S2454" s="69">
        <v>1241.96</v>
      </c>
      <c r="T2454" s="10">
        <v>0</v>
      </c>
      <c r="U2454" s="10">
        <f t="shared" si="1363"/>
        <v>0</v>
      </c>
      <c r="V2454" s="7"/>
      <c r="W2454" s="1">
        <v>2015</v>
      </c>
      <c r="X2454" s="62" t="s">
        <v>7678</v>
      </c>
    </row>
    <row r="2455" spans="1:24" s="13" customFormat="1" ht="76.5" customHeight="1" outlineLevel="1" x14ac:dyDescent="0.2">
      <c r="A2455" s="1" t="s">
        <v>7818</v>
      </c>
      <c r="B2455" s="2" t="s">
        <v>5277</v>
      </c>
      <c r="C2455" s="2" t="s">
        <v>298</v>
      </c>
      <c r="D2455" s="2" t="s">
        <v>5143</v>
      </c>
      <c r="E2455" s="2" t="s">
        <v>297</v>
      </c>
      <c r="F2455" s="2" t="s">
        <v>296</v>
      </c>
      <c r="G2455" s="4" t="s">
        <v>3190</v>
      </c>
      <c r="H2455" s="5">
        <v>0</v>
      </c>
      <c r="I2455" s="6">
        <v>710000000</v>
      </c>
      <c r="J2455" s="4" t="s">
        <v>1931</v>
      </c>
      <c r="K2455" s="4" t="s">
        <v>756</v>
      </c>
      <c r="L2455" s="3" t="s">
        <v>1165</v>
      </c>
      <c r="M2455" s="8" t="s">
        <v>3195</v>
      </c>
      <c r="N2455" s="3" t="s">
        <v>1890</v>
      </c>
      <c r="O2455" s="8" t="s">
        <v>1935</v>
      </c>
      <c r="P2455" s="60" t="s">
        <v>3331</v>
      </c>
      <c r="Q2455" s="3" t="s">
        <v>3819</v>
      </c>
      <c r="R2455" s="69">
        <v>100</v>
      </c>
      <c r="S2455" s="69">
        <v>1241.96</v>
      </c>
      <c r="T2455" s="10">
        <f t="shared" ref="T2455" si="1422">S2455*R2455</f>
        <v>124196</v>
      </c>
      <c r="U2455" s="10">
        <f t="shared" ref="U2455" si="1423">T2455*1.12</f>
        <v>139099.52000000002</v>
      </c>
      <c r="V2455" s="7"/>
      <c r="W2455" s="1">
        <v>2015</v>
      </c>
      <c r="X2455" s="62"/>
    </row>
    <row r="2456" spans="1:24" s="13" customFormat="1" ht="76.5" customHeight="1" outlineLevel="1" x14ac:dyDescent="0.2">
      <c r="A2456" s="1" t="s">
        <v>4046</v>
      </c>
      <c r="B2456" s="38" t="s">
        <v>5277</v>
      </c>
      <c r="C2456" s="2" t="s">
        <v>295</v>
      </c>
      <c r="D2456" s="2" t="s">
        <v>5143</v>
      </c>
      <c r="E2456" s="2" t="s">
        <v>294</v>
      </c>
      <c r="F2456" s="39"/>
      <c r="G2456" s="4" t="s">
        <v>1888</v>
      </c>
      <c r="H2456" s="5">
        <v>0</v>
      </c>
      <c r="I2456" s="6">
        <v>710000000</v>
      </c>
      <c r="J2456" s="4" t="s">
        <v>1931</v>
      </c>
      <c r="K2456" s="4" t="s">
        <v>5297</v>
      </c>
      <c r="L2456" s="3" t="s">
        <v>1165</v>
      </c>
      <c r="M2456" s="8" t="s">
        <v>3195</v>
      </c>
      <c r="N2456" s="3" t="s">
        <v>1890</v>
      </c>
      <c r="O2456" s="8" t="s">
        <v>1935</v>
      </c>
      <c r="P2456" s="60" t="s">
        <v>3331</v>
      </c>
      <c r="Q2456" s="3" t="s">
        <v>3819</v>
      </c>
      <c r="R2456" s="9">
        <v>46</v>
      </c>
      <c r="S2456" s="9">
        <v>675</v>
      </c>
      <c r="T2456" s="10">
        <v>0</v>
      </c>
      <c r="U2456" s="10">
        <f t="shared" si="1363"/>
        <v>0</v>
      </c>
      <c r="V2456" s="7"/>
      <c r="W2456" s="11">
        <v>2015</v>
      </c>
      <c r="X2456" s="12" t="s">
        <v>6562</v>
      </c>
    </row>
    <row r="2457" spans="1:24" s="13" customFormat="1" ht="76.5" customHeight="1" outlineLevel="1" x14ac:dyDescent="0.2">
      <c r="A2457" s="1" t="s">
        <v>6669</v>
      </c>
      <c r="B2457" s="2" t="s">
        <v>5277</v>
      </c>
      <c r="C2457" s="2" t="s">
        <v>295</v>
      </c>
      <c r="D2457" s="2" t="s">
        <v>5143</v>
      </c>
      <c r="E2457" s="2" t="s">
        <v>294</v>
      </c>
      <c r="F2457" s="2"/>
      <c r="G2457" s="4" t="s">
        <v>1888</v>
      </c>
      <c r="H2457" s="5">
        <v>0</v>
      </c>
      <c r="I2457" s="6">
        <v>710000000</v>
      </c>
      <c r="J2457" s="4" t="s">
        <v>1931</v>
      </c>
      <c r="K2457" s="4" t="s">
        <v>5297</v>
      </c>
      <c r="L2457" s="3" t="s">
        <v>1165</v>
      </c>
      <c r="M2457" s="8" t="s">
        <v>3195</v>
      </c>
      <c r="N2457" s="3" t="s">
        <v>1890</v>
      </c>
      <c r="O2457" s="8" t="s">
        <v>1935</v>
      </c>
      <c r="P2457" s="60" t="s">
        <v>3331</v>
      </c>
      <c r="Q2457" s="3" t="s">
        <v>3819</v>
      </c>
      <c r="R2457" s="69">
        <v>41</v>
      </c>
      <c r="S2457" s="69">
        <v>675</v>
      </c>
      <c r="T2457" s="10">
        <v>0</v>
      </c>
      <c r="U2457" s="10">
        <f t="shared" si="1363"/>
        <v>0</v>
      </c>
      <c r="V2457" s="7"/>
      <c r="W2457" s="1">
        <v>2015</v>
      </c>
      <c r="X2457" s="62" t="s">
        <v>7678</v>
      </c>
    </row>
    <row r="2458" spans="1:24" s="13" customFormat="1" ht="76.5" customHeight="1" outlineLevel="1" x14ac:dyDescent="0.2">
      <c r="A2458" s="1" t="s">
        <v>7819</v>
      </c>
      <c r="B2458" s="2" t="s">
        <v>5277</v>
      </c>
      <c r="C2458" s="2" t="s">
        <v>295</v>
      </c>
      <c r="D2458" s="2" t="s">
        <v>5143</v>
      </c>
      <c r="E2458" s="2" t="s">
        <v>294</v>
      </c>
      <c r="F2458" s="2"/>
      <c r="G2458" s="4" t="s">
        <v>3190</v>
      </c>
      <c r="H2458" s="5">
        <v>0</v>
      </c>
      <c r="I2458" s="6">
        <v>710000000</v>
      </c>
      <c r="J2458" s="4" t="s">
        <v>1931</v>
      </c>
      <c r="K2458" s="4" t="s">
        <v>756</v>
      </c>
      <c r="L2458" s="3" t="s">
        <v>1165</v>
      </c>
      <c r="M2458" s="8" t="s">
        <v>3195</v>
      </c>
      <c r="N2458" s="3" t="s">
        <v>1890</v>
      </c>
      <c r="O2458" s="8" t="s">
        <v>1935</v>
      </c>
      <c r="P2458" s="60" t="s">
        <v>3331</v>
      </c>
      <c r="Q2458" s="3" t="s">
        <v>3819</v>
      </c>
      <c r="R2458" s="69">
        <v>20</v>
      </c>
      <c r="S2458" s="69">
        <v>675</v>
      </c>
      <c r="T2458" s="10">
        <f>R2458*S2458</f>
        <v>13500</v>
      </c>
      <c r="U2458" s="10">
        <f t="shared" ref="U2458" si="1424">T2458*1.12</f>
        <v>15120.000000000002</v>
      </c>
      <c r="V2458" s="7"/>
      <c r="W2458" s="1">
        <v>2015</v>
      </c>
      <c r="X2458" s="62"/>
    </row>
    <row r="2459" spans="1:24" s="13" customFormat="1" ht="76.5" customHeight="1" outlineLevel="1" x14ac:dyDescent="0.2">
      <c r="A2459" s="1" t="s">
        <v>4047</v>
      </c>
      <c r="B2459" s="2" t="s">
        <v>5277</v>
      </c>
      <c r="C2459" s="2" t="s">
        <v>293</v>
      </c>
      <c r="D2459" s="2" t="s">
        <v>5143</v>
      </c>
      <c r="E2459" s="2" t="s">
        <v>5474</v>
      </c>
      <c r="F2459" s="2" t="s">
        <v>292</v>
      </c>
      <c r="G2459" s="4" t="s">
        <v>1888</v>
      </c>
      <c r="H2459" s="5">
        <v>0</v>
      </c>
      <c r="I2459" s="6">
        <v>710000000</v>
      </c>
      <c r="J2459" s="4" t="s">
        <v>1931</v>
      </c>
      <c r="K2459" s="4" t="s">
        <v>5297</v>
      </c>
      <c r="L2459" s="3" t="s">
        <v>1165</v>
      </c>
      <c r="M2459" s="8" t="s">
        <v>3195</v>
      </c>
      <c r="N2459" s="3" t="s">
        <v>1890</v>
      </c>
      <c r="O2459" s="8" t="s">
        <v>1935</v>
      </c>
      <c r="P2459" s="60">
        <v>881</v>
      </c>
      <c r="Q2459" s="3" t="s">
        <v>2746</v>
      </c>
      <c r="R2459" s="69">
        <v>300</v>
      </c>
      <c r="S2459" s="69">
        <v>1518.75</v>
      </c>
      <c r="T2459" s="10">
        <v>0</v>
      </c>
      <c r="U2459" s="10">
        <f t="shared" si="1363"/>
        <v>0</v>
      </c>
      <c r="V2459" s="7"/>
      <c r="W2459" s="1">
        <v>2015</v>
      </c>
      <c r="X2459" s="62" t="s">
        <v>7678</v>
      </c>
    </row>
    <row r="2460" spans="1:24" s="13" customFormat="1" ht="76.5" customHeight="1" outlineLevel="1" x14ac:dyDescent="0.2">
      <c r="A2460" s="1" t="s">
        <v>7820</v>
      </c>
      <c r="B2460" s="2" t="s">
        <v>5277</v>
      </c>
      <c r="C2460" s="2" t="s">
        <v>293</v>
      </c>
      <c r="D2460" s="2" t="s">
        <v>5143</v>
      </c>
      <c r="E2460" s="2" t="s">
        <v>5474</v>
      </c>
      <c r="F2460" s="2" t="s">
        <v>292</v>
      </c>
      <c r="G2460" s="4" t="s">
        <v>3190</v>
      </c>
      <c r="H2460" s="5">
        <v>0</v>
      </c>
      <c r="I2460" s="6">
        <v>710000000</v>
      </c>
      <c r="J2460" s="4" t="s">
        <v>1931</v>
      </c>
      <c r="K2460" s="4" t="s">
        <v>756</v>
      </c>
      <c r="L2460" s="3" t="s">
        <v>1165</v>
      </c>
      <c r="M2460" s="8" t="s">
        <v>3195</v>
      </c>
      <c r="N2460" s="3" t="s">
        <v>1890</v>
      </c>
      <c r="O2460" s="8" t="s">
        <v>1935</v>
      </c>
      <c r="P2460" s="60">
        <v>881</v>
      </c>
      <c r="Q2460" s="3" t="s">
        <v>2746</v>
      </c>
      <c r="R2460" s="69">
        <v>150</v>
      </c>
      <c r="S2460" s="69">
        <v>1518.75</v>
      </c>
      <c r="T2460" s="10">
        <v>0</v>
      </c>
      <c r="U2460" s="10">
        <f t="shared" ref="U2460" si="1425">T2460*1.12</f>
        <v>0</v>
      </c>
      <c r="V2460" s="7"/>
      <c r="W2460" s="1">
        <v>2015</v>
      </c>
      <c r="X2460" s="62" t="s">
        <v>7518</v>
      </c>
    </row>
    <row r="2461" spans="1:24" s="13" customFormat="1" ht="76.5" customHeight="1" outlineLevel="1" x14ac:dyDescent="0.2">
      <c r="A2461" s="1" t="s">
        <v>9523</v>
      </c>
      <c r="B2461" s="2" t="s">
        <v>5277</v>
      </c>
      <c r="C2461" s="2" t="s">
        <v>293</v>
      </c>
      <c r="D2461" s="2" t="s">
        <v>5143</v>
      </c>
      <c r="E2461" s="2" t="s">
        <v>5474</v>
      </c>
      <c r="F2461" s="2" t="s">
        <v>292</v>
      </c>
      <c r="G2461" s="4" t="s">
        <v>3190</v>
      </c>
      <c r="H2461" s="5">
        <v>0</v>
      </c>
      <c r="I2461" s="6">
        <v>710000000</v>
      </c>
      <c r="J2461" s="4" t="s">
        <v>1931</v>
      </c>
      <c r="K2461" s="4" t="s">
        <v>9276</v>
      </c>
      <c r="L2461" s="3" t="s">
        <v>1165</v>
      </c>
      <c r="M2461" s="8" t="s">
        <v>3195</v>
      </c>
      <c r="N2461" s="3" t="s">
        <v>1890</v>
      </c>
      <c r="O2461" s="8" t="s">
        <v>1935</v>
      </c>
      <c r="P2461" s="60">
        <v>881</v>
      </c>
      <c r="Q2461" s="3" t="s">
        <v>2746</v>
      </c>
      <c r="R2461" s="69">
        <f>150+10</f>
        <v>160</v>
      </c>
      <c r="S2461" s="69">
        <v>1518.75</v>
      </c>
      <c r="T2461" s="10">
        <f t="shared" ref="T2461" si="1426">S2461*R2461</f>
        <v>243000</v>
      </c>
      <c r="U2461" s="10">
        <f t="shared" ref="U2461" si="1427">T2461*1.12</f>
        <v>272160</v>
      </c>
      <c r="V2461" s="7"/>
      <c r="W2461" s="1">
        <v>2015</v>
      </c>
      <c r="X2461" s="62"/>
    </row>
    <row r="2462" spans="1:24" s="13" customFormat="1" ht="76.5" customHeight="1" outlineLevel="1" x14ac:dyDescent="0.2">
      <c r="A2462" s="1" t="s">
        <v>4048</v>
      </c>
      <c r="B2462" s="38" t="s">
        <v>5277</v>
      </c>
      <c r="C2462" s="2" t="s">
        <v>3147</v>
      </c>
      <c r="D2462" s="2" t="s">
        <v>5490</v>
      </c>
      <c r="E2462" s="6" t="s">
        <v>5491</v>
      </c>
      <c r="F2462" s="52" t="s">
        <v>291</v>
      </c>
      <c r="G2462" s="4" t="s">
        <v>1888</v>
      </c>
      <c r="H2462" s="5">
        <v>0</v>
      </c>
      <c r="I2462" s="6">
        <v>710000000</v>
      </c>
      <c r="J2462" s="4" t="s">
        <v>1931</v>
      </c>
      <c r="K2462" s="4" t="s">
        <v>5297</v>
      </c>
      <c r="L2462" s="3" t="s">
        <v>1165</v>
      </c>
      <c r="M2462" s="8" t="s">
        <v>3195</v>
      </c>
      <c r="N2462" s="3" t="s">
        <v>1890</v>
      </c>
      <c r="O2462" s="8" t="s">
        <v>1935</v>
      </c>
      <c r="P2462" s="8">
        <v>796</v>
      </c>
      <c r="Q2462" s="8" t="s">
        <v>3196</v>
      </c>
      <c r="R2462" s="9">
        <f>52+27+24+24+150</f>
        <v>277</v>
      </c>
      <c r="S2462" s="9">
        <v>569</v>
      </c>
      <c r="T2462" s="10">
        <v>0</v>
      </c>
      <c r="U2462" s="10">
        <f t="shared" si="1363"/>
        <v>0</v>
      </c>
      <c r="V2462" s="7"/>
      <c r="W2462" s="11">
        <v>2015</v>
      </c>
      <c r="X2462" s="12" t="s">
        <v>6562</v>
      </c>
    </row>
    <row r="2463" spans="1:24" s="13" customFormat="1" ht="76.5" customHeight="1" outlineLevel="1" x14ac:dyDescent="0.2">
      <c r="A2463" s="1" t="s">
        <v>6670</v>
      </c>
      <c r="B2463" s="2" t="s">
        <v>5277</v>
      </c>
      <c r="C2463" s="2" t="s">
        <v>3147</v>
      </c>
      <c r="D2463" s="2" t="s">
        <v>5490</v>
      </c>
      <c r="E2463" s="6" t="s">
        <v>5491</v>
      </c>
      <c r="F2463" s="52" t="s">
        <v>291</v>
      </c>
      <c r="G2463" s="4" t="s">
        <v>1888</v>
      </c>
      <c r="H2463" s="5">
        <v>0</v>
      </c>
      <c r="I2463" s="6">
        <v>710000000</v>
      </c>
      <c r="J2463" s="4" t="s">
        <v>1931</v>
      </c>
      <c r="K2463" s="4" t="s">
        <v>5297</v>
      </c>
      <c r="L2463" s="3" t="s">
        <v>1165</v>
      </c>
      <c r="M2463" s="8" t="s">
        <v>3195</v>
      </c>
      <c r="N2463" s="3" t="s">
        <v>1890</v>
      </c>
      <c r="O2463" s="8" t="s">
        <v>1935</v>
      </c>
      <c r="P2463" s="8">
        <v>796</v>
      </c>
      <c r="Q2463" s="8" t="s">
        <v>3196</v>
      </c>
      <c r="R2463" s="69">
        <f>48+27+24+24+150</f>
        <v>273</v>
      </c>
      <c r="S2463" s="69">
        <v>569</v>
      </c>
      <c r="T2463" s="10">
        <v>0</v>
      </c>
      <c r="U2463" s="10">
        <f t="shared" si="1363"/>
        <v>0</v>
      </c>
      <c r="V2463" s="7"/>
      <c r="W2463" s="1">
        <v>2015</v>
      </c>
      <c r="X2463" s="62" t="s">
        <v>7678</v>
      </c>
    </row>
    <row r="2464" spans="1:24" s="13" customFormat="1" ht="76.5" customHeight="1" outlineLevel="1" x14ac:dyDescent="0.2">
      <c r="A2464" s="1" t="s">
        <v>7821</v>
      </c>
      <c r="B2464" s="2" t="s">
        <v>5277</v>
      </c>
      <c r="C2464" s="2" t="s">
        <v>3147</v>
      </c>
      <c r="D2464" s="2" t="s">
        <v>5490</v>
      </c>
      <c r="E2464" s="6" t="s">
        <v>5491</v>
      </c>
      <c r="F2464" s="52" t="s">
        <v>291</v>
      </c>
      <c r="G2464" s="4" t="s">
        <v>3190</v>
      </c>
      <c r="H2464" s="5">
        <v>0</v>
      </c>
      <c r="I2464" s="6">
        <v>710000000</v>
      </c>
      <c r="J2464" s="4" t="s">
        <v>1931</v>
      </c>
      <c r="K2464" s="4" t="s">
        <v>756</v>
      </c>
      <c r="L2464" s="3" t="s">
        <v>1165</v>
      </c>
      <c r="M2464" s="8" t="s">
        <v>3195</v>
      </c>
      <c r="N2464" s="3" t="s">
        <v>1890</v>
      </c>
      <c r="O2464" s="8" t="s">
        <v>1935</v>
      </c>
      <c r="P2464" s="8">
        <v>796</v>
      </c>
      <c r="Q2464" s="8" t="s">
        <v>3196</v>
      </c>
      <c r="R2464" s="69">
        <f>20+10+20+20+80</f>
        <v>150</v>
      </c>
      <c r="S2464" s="69">
        <v>569</v>
      </c>
      <c r="T2464" s="10">
        <v>0</v>
      </c>
      <c r="U2464" s="10">
        <f t="shared" ref="U2464" si="1428">T2464*1.12</f>
        <v>0</v>
      </c>
      <c r="V2464" s="7"/>
      <c r="W2464" s="1">
        <v>2015</v>
      </c>
      <c r="X2464" s="62" t="s">
        <v>7518</v>
      </c>
    </row>
    <row r="2465" spans="1:24" s="13" customFormat="1" ht="76.5" customHeight="1" outlineLevel="1" x14ac:dyDescent="0.2">
      <c r="A2465" s="1" t="s">
        <v>9204</v>
      </c>
      <c r="B2465" s="2" t="s">
        <v>5277</v>
      </c>
      <c r="C2465" s="2" t="s">
        <v>3147</v>
      </c>
      <c r="D2465" s="2" t="s">
        <v>5490</v>
      </c>
      <c r="E2465" s="6" t="s">
        <v>5491</v>
      </c>
      <c r="F2465" s="52" t="s">
        <v>291</v>
      </c>
      <c r="G2465" s="4" t="s">
        <v>3190</v>
      </c>
      <c r="H2465" s="5">
        <v>0</v>
      </c>
      <c r="I2465" s="6">
        <v>710000000</v>
      </c>
      <c r="J2465" s="4" t="s">
        <v>1931</v>
      </c>
      <c r="K2465" s="4" t="s">
        <v>9142</v>
      </c>
      <c r="L2465" s="3" t="s">
        <v>1165</v>
      </c>
      <c r="M2465" s="8" t="s">
        <v>3195</v>
      </c>
      <c r="N2465" s="3" t="s">
        <v>1890</v>
      </c>
      <c r="O2465" s="8" t="s">
        <v>1935</v>
      </c>
      <c r="P2465" s="8">
        <v>796</v>
      </c>
      <c r="Q2465" s="8" t="s">
        <v>3196</v>
      </c>
      <c r="R2465" s="69">
        <f>20+10+20+20+80+10</f>
        <v>160</v>
      </c>
      <c r="S2465" s="69">
        <v>569</v>
      </c>
      <c r="T2465" s="10">
        <v>0</v>
      </c>
      <c r="U2465" s="10">
        <f t="shared" ref="U2465" si="1429">T2465*1.12</f>
        <v>0</v>
      </c>
      <c r="V2465" s="7"/>
      <c r="W2465" s="1">
        <v>2015</v>
      </c>
      <c r="X2465" s="62" t="s">
        <v>6562</v>
      </c>
    </row>
    <row r="2466" spans="1:24" s="13" customFormat="1" ht="76.5" customHeight="1" outlineLevel="1" x14ac:dyDescent="0.2">
      <c r="A2466" s="1" t="s">
        <v>9532</v>
      </c>
      <c r="B2466" s="2" t="s">
        <v>5277</v>
      </c>
      <c r="C2466" s="2" t="s">
        <v>3147</v>
      </c>
      <c r="D2466" s="2" t="s">
        <v>5490</v>
      </c>
      <c r="E2466" s="6" t="s">
        <v>5491</v>
      </c>
      <c r="F2466" s="52" t="s">
        <v>291</v>
      </c>
      <c r="G2466" s="4" t="s">
        <v>3190</v>
      </c>
      <c r="H2466" s="5">
        <v>0</v>
      </c>
      <c r="I2466" s="6">
        <v>710000000</v>
      </c>
      <c r="J2466" s="4" t="s">
        <v>1931</v>
      </c>
      <c r="K2466" s="4" t="s">
        <v>9142</v>
      </c>
      <c r="L2466" s="3" t="s">
        <v>1165</v>
      </c>
      <c r="M2466" s="8" t="s">
        <v>3195</v>
      </c>
      <c r="N2466" s="3" t="s">
        <v>1890</v>
      </c>
      <c r="O2466" s="8" t="s">
        <v>1935</v>
      </c>
      <c r="P2466" s="8">
        <v>796</v>
      </c>
      <c r="Q2466" s="8" t="s">
        <v>3196</v>
      </c>
      <c r="R2466" s="69">
        <f>20+10+20+20+80+10+60</f>
        <v>220</v>
      </c>
      <c r="S2466" s="69">
        <v>569</v>
      </c>
      <c r="T2466" s="10">
        <v>0</v>
      </c>
      <c r="U2466" s="10">
        <f t="shared" ref="U2466" si="1430">T2466*1.12</f>
        <v>0</v>
      </c>
      <c r="V2466" s="7"/>
      <c r="W2466" s="1">
        <v>2015</v>
      </c>
      <c r="X2466" s="62" t="s">
        <v>7518</v>
      </c>
    </row>
    <row r="2467" spans="1:24" s="13" customFormat="1" ht="76.5" customHeight="1" outlineLevel="1" x14ac:dyDescent="0.2">
      <c r="A2467" s="1" t="s">
        <v>10168</v>
      </c>
      <c r="B2467" s="2" t="s">
        <v>5277</v>
      </c>
      <c r="C2467" s="2" t="s">
        <v>3147</v>
      </c>
      <c r="D2467" s="2" t="s">
        <v>5490</v>
      </c>
      <c r="E2467" s="6" t="s">
        <v>5491</v>
      </c>
      <c r="F2467" s="52" t="s">
        <v>291</v>
      </c>
      <c r="G2467" s="4" t="s">
        <v>3190</v>
      </c>
      <c r="H2467" s="5">
        <v>0</v>
      </c>
      <c r="I2467" s="6">
        <v>710000000</v>
      </c>
      <c r="J2467" s="4" t="s">
        <v>1931</v>
      </c>
      <c r="K2467" s="4" t="s">
        <v>10169</v>
      </c>
      <c r="L2467" s="3" t="s">
        <v>1165</v>
      </c>
      <c r="M2467" s="8" t="s">
        <v>3195</v>
      </c>
      <c r="N2467" s="3" t="s">
        <v>1890</v>
      </c>
      <c r="O2467" s="8" t="s">
        <v>1935</v>
      </c>
      <c r="P2467" s="8">
        <v>796</v>
      </c>
      <c r="Q2467" s="8" t="s">
        <v>3196</v>
      </c>
      <c r="R2467" s="69">
        <f>20+10+20+20+80+10+60+72</f>
        <v>292</v>
      </c>
      <c r="S2467" s="69">
        <v>569</v>
      </c>
      <c r="T2467" s="10">
        <f t="shared" ref="T2467" si="1431">S2467*R2467</f>
        <v>166148</v>
      </c>
      <c r="U2467" s="10">
        <f t="shared" ref="U2467" si="1432">T2467*1.12</f>
        <v>186085.76000000001</v>
      </c>
      <c r="V2467" s="7"/>
      <c r="W2467" s="1">
        <v>2015</v>
      </c>
      <c r="X2467" s="62"/>
    </row>
    <row r="2468" spans="1:24" s="13" customFormat="1" ht="76.5" customHeight="1" outlineLevel="1" x14ac:dyDescent="0.2">
      <c r="A2468" s="1" t="s">
        <v>4049</v>
      </c>
      <c r="B2468" s="2" t="s">
        <v>5277</v>
      </c>
      <c r="C2468" s="2" t="s">
        <v>290</v>
      </c>
      <c r="D2468" s="2" t="s">
        <v>5492</v>
      </c>
      <c r="E2468" s="2" t="s">
        <v>5493</v>
      </c>
      <c r="F2468" s="52" t="s">
        <v>289</v>
      </c>
      <c r="G2468" s="4" t="s">
        <v>1888</v>
      </c>
      <c r="H2468" s="5">
        <v>0</v>
      </c>
      <c r="I2468" s="6">
        <v>710000000</v>
      </c>
      <c r="J2468" s="4" t="s">
        <v>1931</v>
      </c>
      <c r="K2468" s="4" t="s">
        <v>5297</v>
      </c>
      <c r="L2468" s="3" t="s">
        <v>1165</v>
      </c>
      <c r="M2468" s="8" t="s">
        <v>3195</v>
      </c>
      <c r="N2468" s="3" t="s">
        <v>1890</v>
      </c>
      <c r="O2468" s="8" t="s">
        <v>1935</v>
      </c>
      <c r="P2468" s="62">
        <v>5108</v>
      </c>
      <c r="Q2468" s="3" t="s">
        <v>6034</v>
      </c>
      <c r="R2468" s="69">
        <f>7+60+3+2+30</f>
        <v>102</v>
      </c>
      <c r="S2468" s="69">
        <v>1016</v>
      </c>
      <c r="T2468" s="10">
        <v>0</v>
      </c>
      <c r="U2468" s="10">
        <f t="shared" si="1363"/>
        <v>0</v>
      </c>
      <c r="V2468" s="7"/>
      <c r="W2468" s="1">
        <v>2015</v>
      </c>
      <c r="X2468" s="62" t="s">
        <v>7678</v>
      </c>
    </row>
    <row r="2469" spans="1:24" s="13" customFormat="1" ht="76.5" customHeight="1" outlineLevel="1" x14ac:dyDescent="0.2">
      <c r="A2469" s="1" t="s">
        <v>7822</v>
      </c>
      <c r="B2469" s="2" t="s">
        <v>5277</v>
      </c>
      <c r="C2469" s="2" t="s">
        <v>290</v>
      </c>
      <c r="D2469" s="2" t="s">
        <v>5492</v>
      </c>
      <c r="E2469" s="2" t="s">
        <v>5493</v>
      </c>
      <c r="F2469" s="52" t="s">
        <v>289</v>
      </c>
      <c r="G2469" s="4" t="s">
        <v>3190</v>
      </c>
      <c r="H2469" s="5">
        <v>0</v>
      </c>
      <c r="I2469" s="6">
        <v>710000000</v>
      </c>
      <c r="J2469" s="4" t="s">
        <v>1931</v>
      </c>
      <c r="K2469" s="4" t="s">
        <v>756</v>
      </c>
      <c r="L2469" s="3" t="s">
        <v>1165</v>
      </c>
      <c r="M2469" s="8" t="s">
        <v>3195</v>
      </c>
      <c r="N2469" s="3" t="s">
        <v>1890</v>
      </c>
      <c r="O2469" s="8" t="s">
        <v>1935</v>
      </c>
      <c r="P2469" s="62">
        <v>5108</v>
      </c>
      <c r="Q2469" s="3" t="s">
        <v>6034</v>
      </c>
      <c r="R2469" s="69">
        <f>5+30+5</f>
        <v>40</v>
      </c>
      <c r="S2469" s="69">
        <v>1016</v>
      </c>
      <c r="T2469" s="10">
        <v>0</v>
      </c>
      <c r="U2469" s="10">
        <f t="shared" ref="U2469" si="1433">T2469*1.12</f>
        <v>0</v>
      </c>
      <c r="V2469" s="7"/>
      <c r="W2469" s="1">
        <v>2015</v>
      </c>
      <c r="X2469" s="62" t="s">
        <v>6562</v>
      </c>
    </row>
    <row r="2470" spans="1:24" s="13" customFormat="1" ht="76.5" customHeight="1" outlineLevel="1" x14ac:dyDescent="0.2">
      <c r="A2470" s="1" t="s">
        <v>9530</v>
      </c>
      <c r="B2470" s="2" t="s">
        <v>5277</v>
      </c>
      <c r="C2470" s="2" t="s">
        <v>290</v>
      </c>
      <c r="D2470" s="2" t="s">
        <v>5492</v>
      </c>
      <c r="E2470" s="2" t="s">
        <v>5493</v>
      </c>
      <c r="F2470" s="52" t="s">
        <v>289</v>
      </c>
      <c r="G2470" s="4" t="s">
        <v>3190</v>
      </c>
      <c r="H2470" s="5">
        <v>0</v>
      </c>
      <c r="I2470" s="6">
        <v>710000000</v>
      </c>
      <c r="J2470" s="4" t="s">
        <v>1931</v>
      </c>
      <c r="K2470" s="4" t="s">
        <v>9276</v>
      </c>
      <c r="L2470" s="3" t="s">
        <v>1165</v>
      </c>
      <c r="M2470" s="8" t="s">
        <v>3195</v>
      </c>
      <c r="N2470" s="3" t="s">
        <v>1890</v>
      </c>
      <c r="O2470" s="8" t="s">
        <v>1935</v>
      </c>
      <c r="P2470" s="62">
        <v>5108</v>
      </c>
      <c r="Q2470" s="3" t="s">
        <v>6034</v>
      </c>
      <c r="R2470" s="69">
        <f>5+30+5+10</f>
        <v>50</v>
      </c>
      <c r="S2470" s="69">
        <v>1016</v>
      </c>
      <c r="T2470" s="10">
        <f t="shared" ref="T2470" si="1434">S2470*R2470</f>
        <v>50800</v>
      </c>
      <c r="U2470" s="10">
        <f t="shared" ref="U2470" si="1435">T2470*1.12</f>
        <v>56896.000000000007</v>
      </c>
      <c r="V2470" s="7"/>
      <c r="W2470" s="1">
        <v>2015</v>
      </c>
      <c r="X2470" s="62"/>
    </row>
    <row r="2471" spans="1:24" s="13" customFormat="1" ht="76.5" customHeight="1" outlineLevel="1" x14ac:dyDescent="0.2">
      <c r="A2471" s="1" t="s">
        <v>4050</v>
      </c>
      <c r="B2471" s="2" t="s">
        <v>5277</v>
      </c>
      <c r="C2471" s="2" t="s">
        <v>288</v>
      </c>
      <c r="D2471" s="2" t="s">
        <v>5147</v>
      </c>
      <c r="E2471" s="2" t="s">
        <v>287</v>
      </c>
      <c r="F2471" s="52" t="s">
        <v>286</v>
      </c>
      <c r="G2471" s="4" t="s">
        <v>1888</v>
      </c>
      <c r="H2471" s="5">
        <v>0</v>
      </c>
      <c r="I2471" s="6">
        <v>710000000</v>
      </c>
      <c r="J2471" s="4" t="s">
        <v>1931</v>
      </c>
      <c r="K2471" s="4" t="s">
        <v>5297</v>
      </c>
      <c r="L2471" s="3" t="s">
        <v>1165</v>
      </c>
      <c r="M2471" s="8" t="s">
        <v>3195</v>
      </c>
      <c r="N2471" s="3" t="s">
        <v>1890</v>
      </c>
      <c r="O2471" s="8" t="s">
        <v>1935</v>
      </c>
      <c r="P2471" s="62">
        <v>778</v>
      </c>
      <c r="Q2471" s="3" t="s">
        <v>3327</v>
      </c>
      <c r="R2471" s="69">
        <f>12+30</f>
        <v>42</v>
      </c>
      <c r="S2471" s="69">
        <v>498</v>
      </c>
      <c r="T2471" s="10">
        <v>0</v>
      </c>
      <c r="U2471" s="10">
        <f t="shared" si="1363"/>
        <v>0</v>
      </c>
      <c r="V2471" s="7"/>
      <c r="W2471" s="1">
        <v>2015</v>
      </c>
      <c r="X2471" s="62" t="s">
        <v>7678</v>
      </c>
    </row>
    <row r="2472" spans="1:24" s="13" customFormat="1" ht="76.5" customHeight="1" outlineLevel="1" x14ac:dyDescent="0.2">
      <c r="A2472" s="1" t="s">
        <v>7823</v>
      </c>
      <c r="B2472" s="2" t="s">
        <v>5277</v>
      </c>
      <c r="C2472" s="2" t="s">
        <v>288</v>
      </c>
      <c r="D2472" s="2" t="s">
        <v>5147</v>
      </c>
      <c r="E2472" s="2" t="s">
        <v>287</v>
      </c>
      <c r="F2472" s="52" t="s">
        <v>286</v>
      </c>
      <c r="G2472" s="4" t="s">
        <v>3190</v>
      </c>
      <c r="H2472" s="5">
        <v>0</v>
      </c>
      <c r="I2472" s="6">
        <v>710000000</v>
      </c>
      <c r="J2472" s="4" t="s">
        <v>1931</v>
      </c>
      <c r="K2472" s="4" t="s">
        <v>756</v>
      </c>
      <c r="L2472" s="3" t="s">
        <v>1165</v>
      </c>
      <c r="M2472" s="8" t="s">
        <v>3195</v>
      </c>
      <c r="N2472" s="3" t="s">
        <v>1890</v>
      </c>
      <c r="O2472" s="8" t="s">
        <v>1935</v>
      </c>
      <c r="P2472" s="62">
        <v>778</v>
      </c>
      <c r="Q2472" s="3" t="s">
        <v>3327</v>
      </c>
      <c r="R2472" s="69">
        <f>5+20</f>
        <v>25</v>
      </c>
      <c r="S2472" s="69">
        <v>498</v>
      </c>
      <c r="T2472" s="10">
        <f t="shared" ref="T2472" si="1436">S2472*R2472</f>
        <v>12450</v>
      </c>
      <c r="U2472" s="10">
        <f t="shared" ref="U2472" si="1437">T2472*1.12</f>
        <v>13944.000000000002</v>
      </c>
      <c r="V2472" s="7"/>
      <c r="W2472" s="1">
        <v>2015</v>
      </c>
      <c r="X2472" s="62"/>
    </row>
    <row r="2473" spans="1:24" s="13" customFormat="1" ht="76.5" customHeight="1" outlineLevel="1" x14ac:dyDescent="0.2">
      <c r="A2473" s="1" t="s">
        <v>4051</v>
      </c>
      <c r="B2473" s="38" t="s">
        <v>5277</v>
      </c>
      <c r="C2473" s="2" t="s">
        <v>3150</v>
      </c>
      <c r="D2473" s="2" t="s">
        <v>5518</v>
      </c>
      <c r="E2473" s="6" t="s">
        <v>5519</v>
      </c>
      <c r="F2473" s="39"/>
      <c r="G2473" s="4" t="s">
        <v>1888</v>
      </c>
      <c r="H2473" s="5">
        <v>0</v>
      </c>
      <c r="I2473" s="6">
        <v>710000000</v>
      </c>
      <c r="J2473" s="4" t="s">
        <v>1931</v>
      </c>
      <c r="K2473" s="4" t="s">
        <v>5297</v>
      </c>
      <c r="L2473" s="3" t="s">
        <v>1165</v>
      </c>
      <c r="M2473" s="8" t="s">
        <v>3195</v>
      </c>
      <c r="N2473" s="3" t="s">
        <v>1890</v>
      </c>
      <c r="O2473" s="8" t="s">
        <v>1935</v>
      </c>
      <c r="P2473" s="8">
        <v>796</v>
      </c>
      <c r="Q2473" s="8" t="s">
        <v>3196</v>
      </c>
      <c r="R2473" s="9">
        <f>66+40</f>
        <v>106</v>
      </c>
      <c r="S2473" s="9">
        <v>235.71</v>
      </c>
      <c r="T2473" s="10">
        <v>0</v>
      </c>
      <c r="U2473" s="10">
        <f t="shared" si="1363"/>
        <v>0</v>
      </c>
      <c r="V2473" s="7"/>
      <c r="W2473" s="11">
        <v>2015</v>
      </c>
      <c r="X2473" s="12" t="s">
        <v>6562</v>
      </c>
    </row>
    <row r="2474" spans="1:24" s="13" customFormat="1" ht="76.5" customHeight="1" outlineLevel="1" x14ac:dyDescent="0.2">
      <c r="A2474" s="1" t="s">
        <v>6671</v>
      </c>
      <c r="B2474" s="2" t="s">
        <v>5277</v>
      </c>
      <c r="C2474" s="2" t="s">
        <v>3150</v>
      </c>
      <c r="D2474" s="2" t="s">
        <v>5518</v>
      </c>
      <c r="E2474" s="6" t="s">
        <v>5519</v>
      </c>
      <c r="F2474" s="2"/>
      <c r="G2474" s="4" t="s">
        <v>1888</v>
      </c>
      <c r="H2474" s="5">
        <v>0</v>
      </c>
      <c r="I2474" s="6">
        <v>710000000</v>
      </c>
      <c r="J2474" s="4" t="s">
        <v>1931</v>
      </c>
      <c r="K2474" s="4" t="s">
        <v>5297</v>
      </c>
      <c r="L2474" s="3" t="s">
        <v>1165</v>
      </c>
      <c r="M2474" s="8" t="s">
        <v>3195</v>
      </c>
      <c r="N2474" s="3" t="s">
        <v>1890</v>
      </c>
      <c r="O2474" s="8" t="s">
        <v>1935</v>
      </c>
      <c r="P2474" s="8">
        <v>796</v>
      </c>
      <c r="Q2474" s="8" t="s">
        <v>3196</v>
      </c>
      <c r="R2474" s="69">
        <f>46+40</f>
        <v>86</v>
      </c>
      <c r="S2474" s="69">
        <v>235.71</v>
      </c>
      <c r="T2474" s="10">
        <v>0</v>
      </c>
      <c r="U2474" s="10">
        <f t="shared" si="1363"/>
        <v>0</v>
      </c>
      <c r="V2474" s="7"/>
      <c r="W2474" s="1">
        <v>2015</v>
      </c>
      <c r="X2474" s="62" t="s">
        <v>7678</v>
      </c>
    </row>
    <row r="2475" spans="1:24" s="13" customFormat="1" ht="76.5" customHeight="1" outlineLevel="1" x14ac:dyDescent="0.2">
      <c r="A2475" s="1" t="s">
        <v>7824</v>
      </c>
      <c r="B2475" s="2" t="s">
        <v>5277</v>
      </c>
      <c r="C2475" s="2" t="s">
        <v>3150</v>
      </c>
      <c r="D2475" s="2" t="s">
        <v>5518</v>
      </c>
      <c r="E2475" s="6" t="s">
        <v>5519</v>
      </c>
      <c r="F2475" s="2"/>
      <c r="G2475" s="4" t="s">
        <v>3190</v>
      </c>
      <c r="H2475" s="5">
        <v>0</v>
      </c>
      <c r="I2475" s="6">
        <v>710000000</v>
      </c>
      <c r="J2475" s="4" t="s">
        <v>1931</v>
      </c>
      <c r="K2475" s="4" t="s">
        <v>756</v>
      </c>
      <c r="L2475" s="3" t="s">
        <v>1165</v>
      </c>
      <c r="M2475" s="8" t="s">
        <v>3195</v>
      </c>
      <c r="N2475" s="3" t="s">
        <v>1890</v>
      </c>
      <c r="O2475" s="8" t="s">
        <v>1935</v>
      </c>
      <c r="P2475" s="8">
        <v>796</v>
      </c>
      <c r="Q2475" s="8" t="s">
        <v>3196</v>
      </c>
      <c r="R2475" s="69">
        <f>20+30</f>
        <v>50</v>
      </c>
      <c r="S2475" s="69">
        <v>235.71</v>
      </c>
      <c r="T2475" s="10">
        <f t="shared" ref="T2475" si="1438">S2475*R2475</f>
        <v>11785.5</v>
      </c>
      <c r="U2475" s="10">
        <f t="shared" ref="U2475" si="1439">T2475*1.12</f>
        <v>13199.760000000002</v>
      </c>
      <c r="V2475" s="7"/>
      <c r="W2475" s="1">
        <v>2015</v>
      </c>
      <c r="X2475" s="62"/>
    </row>
    <row r="2476" spans="1:24" s="13" customFormat="1" ht="76.5" customHeight="1" outlineLevel="1" x14ac:dyDescent="0.2">
      <c r="A2476" s="1" t="s">
        <v>4052</v>
      </c>
      <c r="B2476" s="2" t="s">
        <v>5277</v>
      </c>
      <c r="C2476" s="2" t="s">
        <v>3807</v>
      </c>
      <c r="D2476" s="2" t="s">
        <v>5233</v>
      </c>
      <c r="E2476" s="2" t="s">
        <v>7611</v>
      </c>
      <c r="F2476" s="2" t="s">
        <v>5234</v>
      </c>
      <c r="G2476" s="4" t="s">
        <v>1888</v>
      </c>
      <c r="H2476" s="5">
        <v>0</v>
      </c>
      <c r="I2476" s="6">
        <v>710000000</v>
      </c>
      <c r="J2476" s="4" t="s">
        <v>1931</v>
      </c>
      <c r="K2476" s="4" t="s">
        <v>5297</v>
      </c>
      <c r="L2476" s="3" t="s">
        <v>1165</v>
      </c>
      <c r="M2476" s="8" t="s">
        <v>3195</v>
      </c>
      <c r="N2476" s="3" t="s">
        <v>1890</v>
      </c>
      <c r="O2476" s="8" t="s">
        <v>1935</v>
      </c>
      <c r="P2476" s="8">
        <v>796</v>
      </c>
      <c r="Q2476" s="8" t="s">
        <v>3196</v>
      </c>
      <c r="R2476" s="69">
        <f>10+20</f>
        <v>30</v>
      </c>
      <c r="S2476" s="69">
        <v>516.07000000000005</v>
      </c>
      <c r="T2476" s="10">
        <v>0</v>
      </c>
      <c r="U2476" s="10">
        <f t="shared" si="1363"/>
        <v>0</v>
      </c>
      <c r="V2476" s="7"/>
      <c r="W2476" s="1">
        <v>2015</v>
      </c>
      <c r="X2476" s="62" t="s">
        <v>7678</v>
      </c>
    </row>
    <row r="2477" spans="1:24" s="13" customFormat="1" ht="76.5" customHeight="1" outlineLevel="1" x14ac:dyDescent="0.2">
      <c r="A2477" s="1" t="s">
        <v>7825</v>
      </c>
      <c r="B2477" s="2" t="s">
        <v>5277</v>
      </c>
      <c r="C2477" s="2" t="s">
        <v>3807</v>
      </c>
      <c r="D2477" s="2" t="s">
        <v>5233</v>
      </c>
      <c r="E2477" s="2" t="s">
        <v>7611</v>
      </c>
      <c r="F2477" s="2" t="s">
        <v>5234</v>
      </c>
      <c r="G2477" s="4" t="s">
        <v>3190</v>
      </c>
      <c r="H2477" s="5">
        <v>0</v>
      </c>
      <c r="I2477" s="6">
        <v>710000000</v>
      </c>
      <c r="J2477" s="4" t="s">
        <v>1931</v>
      </c>
      <c r="K2477" s="4" t="s">
        <v>756</v>
      </c>
      <c r="L2477" s="3" t="s">
        <v>1165</v>
      </c>
      <c r="M2477" s="8" t="s">
        <v>3195</v>
      </c>
      <c r="N2477" s="3" t="s">
        <v>1890</v>
      </c>
      <c r="O2477" s="8" t="s">
        <v>1935</v>
      </c>
      <c r="P2477" s="8">
        <v>796</v>
      </c>
      <c r="Q2477" s="8" t="s">
        <v>3196</v>
      </c>
      <c r="R2477" s="69">
        <f>10+10</f>
        <v>20</v>
      </c>
      <c r="S2477" s="69">
        <v>516.07000000000005</v>
      </c>
      <c r="T2477" s="10">
        <f t="shared" ref="T2477" si="1440">S2477*R2477</f>
        <v>10321.400000000001</v>
      </c>
      <c r="U2477" s="10">
        <f t="shared" ref="U2477" si="1441">T2477*1.12</f>
        <v>11559.968000000003</v>
      </c>
      <c r="V2477" s="7"/>
      <c r="W2477" s="1">
        <v>2015</v>
      </c>
      <c r="X2477" s="62"/>
    </row>
    <row r="2478" spans="1:24" s="13" customFormat="1" ht="76.5" customHeight="1" outlineLevel="1" x14ac:dyDescent="0.2">
      <c r="A2478" s="1" t="s">
        <v>4053</v>
      </c>
      <c r="B2478" s="2" t="s">
        <v>5277</v>
      </c>
      <c r="C2478" s="2" t="s">
        <v>3150</v>
      </c>
      <c r="D2478" s="2" t="s">
        <v>5147</v>
      </c>
      <c r="E2478" s="2" t="s">
        <v>5519</v>
      </c>
      <c r="F2478" s="2" t="s">
        <v>285</v>
      </c>
      <c r="G2478" s="4" t="s">
        <v>1888</v>
      </c>
      <c r="H2478" s="5">
        <v>0</v>
      </c>
      <c r="I2478" s="6">
        <v>710000000</v>
      </c>
      <c r="J2478" s="4" t="s">
        <v>1931</v>
      </c>
      <c r="K2478" s="4" t="s">
        <v>5297</v>
      </c>
      <c r="L2478" s="3" t="s">
        <v>1165</v>
      </c>
      <c r="M2478" s="8" t="s">
        <v>3195</v>
      </c>
      <c r="N2478" s="3" t="s">
        <v>1890</v>
      </c>
      <c r="O2478" s="8" t="s">
        <v>1935</v>
      </c>
      <c r="P2478" s="62">
        <v>778</v>
      </c>
      <c r="Q2478" s="3" t="s">
        <v>3327</v>
      </c>
      <c r="R2478" s="69">
        <v>50</v>
      </c>
      <c r="S2478" s="69">
        <v>510.71</v>
      </c>
      <c r="T2478" s="10">
        <v>0</v>
      </c>
      <c r="U2478" s="10">
        <f t="shared" si="1363"/>
        <v>0</v>
      </c>
      <c r="V2478" s="7"/>
      <c r="W2478" s="1">
        <v>2015</v>
      </c>
      <c r="X2478" s="62">
        <v>7.11</v>
      </c>
    </row>
    <row r="2479" spans="1:24" s="13" customFormat="1" ht="76.5" customHeight="1" outlineLevel="1" x14ac:dyDescent="0.2">
      <c r="A2479" s="1" t="s">
        <v>7826</v>
      </c>
      <c r="B2479" s="2" t="s">
        <v>5277</v>
      </c>
      <c r="C2479" s="2" t="s">
        <v>3150</v>
      </c>
      <c r="D2479" s="2" t="s">
        <v>5147</v>
      </c>
      <c r="E2479" s="2" t="s">
        <v>5519</v>
      </c>
      <c r="F2479" s="2" t="s">
        <v>285</v>
      </c>
      <c r="G2479" s="4" t="s">
        <v>3190</v>
      </c>
      <c r="H2479" s="5">
        <v>0</v>
      </c>
      <c r="I2479" s="6">
        <v>710000000</v>
      </c>
      <c r="J2479" s="4" t="s">
        <v>1931</v>
      </c>
      <c r="K2479" s="4" t="s">
        <v>756</v>
      </c>
      <c r="L2479" s="3" t="s">
        <v>1165</v>
      </c>
      <c r="M2479" s="8" t="s">
        <v>3195</v>
      </c>
      <c r="N2479" s="3" t="s">
        <v>1890</v>
      </c>
      <c r="O2479" s="8" t="s">
        <v>1935</v>
      </c>
      <c r="P2479" s="62">
        <v>778</v>
      </c>
      <c r="Q2479" s="3" t="s">
        <v>3327</v>
      </c>
      <c r="R2479" s="69">
        <v>50</v>
      </c>
      <c r="S2479" s="69">
        <v>510.71</v>
      </c>
      <c r="T2479" s="10">
        <f t="shared" ref="T2479" si="1442">S2479*R2479</f>
        <v>25535.5</v>
      </c>
      <c r="U2479" s="10">
        <f t="shared" ref="U2479" si="1443">T2479*1.12</f>
        <v>28599.760000000002</v>
      </c>
      <c r="V2479" s="7"/>
      <c r="W2479" s="1">
        <v>2015</v>
      </c>
      <c r="X2479" s="62"/>
    </row>
    <row r="2480" spans="1:24" s="13" customFormat="1" ht="76.5" customHeight="1" outlineLevel="1" x14ac:dyDescent="0.2">
      <c r="A2480" s="1" t="s">
        <v>4054</v>
      </c>
      <c r="B2480" s="38" t="s">
        <v>5277</v>
      </c>
      <c r="C2480" s="2" t="s">
        <v>3145</v>
      </c>
      <c r="D2480" s="2" t="s">
        <v>6014</v>
      </c>
      <c r="E2480" s="6" t="s">
        <v>6015</v>
      </c>
      <c r="F2480" s="39"/>
      <c r="G2480" s="4" t="s">
        <v>1888</v>
      </c>
      <c r="H2480" s="5">
        <v>0</v>
      </c>
      <c r="I2480" s="6">
        <v>710000000</v>
      </c>
      <c r="J2480" s="4" t="s">
        <v>1931</v>
      </c>
      <c r="K2480" s="4" t="s">
        <v>5297</v>
      </c>
      <c r="L2480" s="3" t="s">
        <v>1165</v>
      </c>
      <c r="M2480" s="8" t="s">
        <v>3195</v>
      </c>
      <c r="N2480" s="3" t="s">
        <v>1890</v>
      </c>
      <c r="O2480" s="8" t="s">
        <v>1935</v>
      </c>
      <c r="P2480" s="60" t="s">
        <v>3331</v>
      </c>
      <c r="Q2480" s="3" t="s">
        <v>3324</v>
      </c>
      <c r="R2480" s="9">
        <f>320+200</f>
        <v>520</v>
      </c>
      <c r="S2480" s="9">
        <v>238</v>
      </c>
      <c r="T2480" s="10">
        <v>0</v>
      </c>
      <c r="U2480" s="10">
        <f t="shared" si="1363"/>
        <v>0</v>
      </c>
      <c r="V2480" s="7"/>
      <c r="W2480" s="11">
        <v>2015</v>
      </c>
      <c r="X2480" s="12" t="s">
        <v>6562</v>
      </c>
    </row>
    <row r="2481" spans="1:24" s="13" customFormat="1" ht="76.5" customHeight="1" outlineLevel="1" x14ac:dyDescent="0.2">
      <c r="A2481" s="1" t="s">
        <v>6672</v>
      </c>
      <c r="B2481" s="2" t="s">
        <v>5277</v>
      </c>
      <c r="C2481" s="2" t="s">
        <v>3145</v>
      </c>
      <c r="D2481" s="2" t="s">
        <v>6014</v>
      </c>
      <c r="E2481" s="6" t="s">
        <v>6015</v>
      </c>
      <c r="F2481" s="2"/>
      <c r="G2481" s="4" t="s">
        <v>1888</v>
      </c>
      <c r="H2481" s="5">
        <v>0</v>
      </c>
      <c r="I2481" s="6">
        <v>710000000</v>
      </c>
      <c r="J2481" s="4" t="s">
        <v>1931</v>
      </c>
      <c r="K2481" s="4" t="s">
        <v>5297</v>
      </c>
      <c r="L2481" s="3" t="s">
        <v>1165</v>
      </c>
      <c r="M2481" s="8" t="s">
        <v>3195</v>
      </c>
      <c r="N2481" s="3" t="s">
        <v>1890</v>
      </c>
      <c r="O2481" s="8" t="s">
        <v>1935</v>
      </c>
      <c r="P2481" s="60" t="s">
        <v>3331</v>
      </c>
      <c r="Q2481" s="3" t="s">
        <v>3324</v>
      </c>
      <c r="R2481" s="69">
        <f>240+120</f>
        <v>360</v>
      </c>
      <c r="S2481" s="69">
        <v>238</v>
      </c>
      <c r="T2481" s="10">
        <v>0</v>
      </c>
      <c r="U2481" s="10">
        <f t="shared" si="1363"/>
        <v>0</v>
      </c>
      <c r="V2481" s="7"/>
      <c r="W2481" s="1">
        <v>2015</v>
      </c>
      <c r="X2481" s="62">
        <v>7.11</v>
      </c>
    </row>
    <row r="2482" spans="1:24" s="13" customFormat="1" ht="76.5" customHeight="1" outlineLevel="1" x14ac:dyDescent="0.2">
      <c r="A2482" s="1" t="s">
        <v>7827</v>
      </c>
      <c r="B2482" s="2" t="s">
        <v>5277</v>
      </c>
      <c r="C2482" s="2" t="s">
        <v>3145</v>
      </c>
      <c r="D2482" s="2" t="s">
        <v>6014</v>
      </c>
      <c r="E2482" s="6" t="s">
        <v>6015</v>
      </c>
      <c r="F2482" s="2"/>
      <c r="G2482" s="4" t="s">
        <v>3190</v>
      </c>
      <c r="H2482" s="5">
        <v>0</v>
      </c>
      <c r="I2482" s="6">
        <v>710000000</v>
      </c>
      <c r="J2482" s="4" t="s">
        <v>1931</v>
      </c>
      <c r="K2482" s="4" t="s">
        <v>756</v>
      </c>
      <c r="L2482" s="3" t="s">
        <v>1165</v>
      </c>
      <c r="M2482" s="8" t="s">
        <v>3195</v>
      </c>
      <c r="N2482" s="3" t="s">
        <v>1890</v>
      </c>
      <c r="O2482" s="8" t="s">
        <v>1935</v>
      </c>
      <c r="P2482" s="60" t="s">
        <v>3331</v>
      </c>
      <c r="Q2482" s="3" t="s">
        <v>3324</v>
      </c>
      <c r="R2482" s="69">
        <f>240+120</f>
        <v>360</v>
      </c>
      <c r="S2482" s="69">
        <v>238</v>
      </c>
      <c r="T2482" s="10">
        <f t="shared" ref="T2482" si="1444">S2482*R2482</f>
        <v>85680</v>
      </c>
      <c r="U2482" s="10">
        <f t="shared" ref="U2482" si="1445">T2482*1.12</f>
        <v>95961.600000000006</v>
      </c>
      <c r="V2482" s="7"/>
      <c r="W2482" s="1">
        <v>2015</v>
      </c>
      <c r="X2482" s="62"/>
    </row>
    <row r="2483" spans="1:24" s="13" customFormat="1" ht="76.5" customHeight="1" outlineLevel="1" x14ac:dyDescent="0.2">
      <c r="A2483" s="1" t="s">
        <v>4055</v>
      </c>
      <c r="B2483" s="38" t="s">
        <v>5277</v>
      </c>
      <c r="C2483" s="2" t="s">
        <v>5138</v>
      </c>
      <c r="D2483" s="2" t="s">
        <v>3004</v>
      </c>
      <c r="E2483" s="2" t="s">
        <v>5244</v>
      </c>
      <c r="F2483" s="39"/>
      <c r="G2483" s="4" t="s">
        <v>1888</v>
      </c>
      <c r="H2483" s="5">
        <v>0</v>
      </c>
      <c r="I2483" s="6">
        <v>710000000</v>
      </c>
      <c r="J2483" s="4" t="s">
        <v>1931</v>
      </c>
      <c r="K2483" s="4" t="s">
        <v>5297</v>
      </c>
      <c r="L2483" s="3" t="s">
        <v>1165</v>
      </c>
      <c r="M2483" s="8" t="s">
        <v>3195</v>
      </c>
      <c r="N2483" s="3" t="s">
        <v>1890</v>
      </c>
      <c r="O2483" s="8" t="s">
        <v>1935</v>
      </c>
      <c r="P2483" s="8">
        <v>796</v>
      </c>
      <c r="Q2483" s="8" t="s">
        <v>3196</v>
      </c>
      <c r="R2483" s="9">
        <f>25+24+10+20</f>
        <v>79</v>
      </c>
      <c r="S2483" s="9">
        <v>540.17999999999995</v>
      </c>
      <c r="T2483" s="10">
        <v>0</v>
      </c>
      <c r="U2483" s="10">
        <f t="shared" si="1363"/>
        <v>0</v>
      </c>
      <c r="V2483" s="7"/>
      <c r="W2483" s="11">
        <v>2015</v>
      </c>
      <c r="X2483" s="12" t="s">
        <v>6562</v>
      </c>
    </row>
    <row r="2484" spans="1:24" s="13" customFormat="1" ht="76.5" customHeight="1" outlineLevel="1" x14ac:dyDescent="0.2">
      <c r="A2484" s="1" t="s">
        <v>6673</v>
      </c>
      <c r="B2484" s="2" t="s">
        <v>5277</v>
      </c>
      <c r="C2484" s="2" t="s">
        <v>5138</v>
      </c>
      <c r="D2484" s="2" t="s">
        <v>3004</v>
      </c>
      <c r="E2484" s="2" t="s">
        <v>5244</v>
      </c>
      <c r="F2484" s="2"/>
      <c r="G2484" s="4" t="s">
        <v>1888</v>
      </c>
      <c r="H2484" s="5">
        <v>0</v>
      </c>
      <c r="I2484" s="6">
        <v>710000000</v>
      </c>
      <c r="J2484" s="4" t="s">
        <v>1931</v>
      </c>
      <c r="K2484" s="4" t="s">
        <v>5297</v>
      </c>
      <c r="L2484" s="3" t="s">
        <v>1165</v>
      </c>
      <c r="M2484" s="8" t="s">
        <v>3195</v>
      </c>
      <c r="N2484" s="3" t="s">
        <v>1890</v>
      </c>
      <c r="O2484" s="8" t="s">
        <v>1935</v>
      </c>
      <c r="P2484" s="8">
        <v>796</v>
      </c>
      <c r="Q2484" s="8" t="s">
        <v>3196</v>
      </c>
      <c r="R2484" s="69">
        <f>15+24+10+20</f>
        <v>69</v>
      </c>
      <c r="S2484" s="69">
        <v>540.17999999999995</v>
      </c>
      <c r="T2484" s="10">
        <v>0</v>
      </c>
      <c r="U2484" s="10">
        <f t="shared" si="1363"/>
        <v>0</v>
      </c>
      <c r="V2484" s="7"/>
      <c r="W2484" s="1">
        <v>2015</v>
      </c>
      <c r="X2484" s="62" t="s">
        <v>7678</v>
      </c>
    </row>
    <row r="2485" spans="1:24" s="13" customFormat="1" ht="76.5" customHeight="1" outlineLevel="1" x14ac:dyDescent="0.2">
      <c r="A2485" s="1" t="s">
        <v>7828</v>
      </c>
      <c r="B2485" s="2" t="s">
        <v>5277</v>
      </c>
      <c r="C2485" s="2" t="s">
        <v>5138</v>
      </c>
      <c r="D2485" s="2" t="s">
        <v>3004</v>
      </c>
      <c r="E2485" s="2" t="s">
        <v>5244</v>
      </c>
      <c r="F2485" s="2"/>
      <c r="G2485" s="4" t="s">
        <v>3190</v>
      </c>
      <c r="H2485" s="5">
        <v>0</v>
      </c>
      <c r="I2485" s="6">
        <v>710000000</v>
      </c>
      <c r="J2485" s="4" t="s">
        <v>1931</v>
      </c>
      <c r="K2485" s="4" t="s">
        <v>756</v>
      </c>
      <c r="L2485" s="3" t="s">
        <v>1165</v>
      </c>
      <c r="M2485" s="8" t="s">
        <v>3195</v>
      </c>
      <c r="N2485" s="3" t="s">
        <v>1890</v>
      </c>
      <c r="O2485" s="8" t="s">
        <v>1935</v>
      </c>
      <c r="P2485" s="8">
        <v>796</v>
      </c>
      <c r="Q2485" s="8" t="s">
        <v>3196</v>
      </c>
      <c r="R2485" s="69">
        <f>10+15+5+10</f>
        <v>40</v>
      </c>
      <c r="S2485" s="69">
        <v>540.17999999999995</v>
      </c>
      <c r="T2485" s="10">
        <v>0</v>
      </c>
      <c r="U2485" s="10">
        <f t="shared" ref="U2485" si="1446">T2485*1.12</f>
        <v>0</v>
      </c>
      <c r="V2485" s="7"/>
      <c r="W2485" s="1">
        <v>2015</v>
      </c>
      <c r="X2485" s="62" t="s">
        <v>7518</v>
      </c>
    </row>
    <row r="2486" spans="1:24" s="13" customFormat="1" ht="76.5" customHeight="1" outlineLevel="1" x14ac:dyDescent="0.2">
      <c r="A2486" s="1" t="s">
        <v>9537</v>
      </c>
      <c r="B2486" s="2" t="s">
        <v>5277</v>
      </c>
      <c r="C2486" s="2" t="s">
        <v>5138</v>
      </c>
      <c r="D2486" s="2" t="s">
        <v>3004</v>
      </c>
      <c r="E2486" s="2" t="s">
        <v>5244</v>
      </c>
      <c r="F2486" s="2"/>
      <c r="G2486" s="4" t="s">
        <v>3190</v>
      </c>
      <c r="H2486" s="5">
        <v>0</v>
      </c>
      <c r="I2486" s="6">
        <v>710000000</v>
      </c>
      <c r="J2486" s="4" t="s">
        <v>1931</v>
      </c>
      <c r="K2486" s="4" t="s">
        <v>9276</v>
      </c>
      <c r="L2486" s="3" t="s">
        <v>1165</v>
      </c>
      <c r="M2486" s="8" t="s">
        <v>3195</v>
      </c>
      <c r="N2486" s="3" t="s">
        <v>1890</v>
      </c>
      <c r="O2486" s="8" t="s">
        <v>1935</v>
      </c>
      <c r="P2486" s="8">
        <v>796</v>
      </c>
      <c r="Q2486" s="8" t="s">
        <v>3196</v>
      </c>
      <c r="R2486" s="69">
        <f>10+15+5+10+30</f>
        <v>70</v>
      </c>
      <c r="S2486" s="69">
        <v>540.17999999999995</v>
      </c>
      <c r="T2486" s="10">
        <f t="shared" ref="T2486" si="1447">S2486*R2486</f>
        <v>37812.6</v>
      </c>
      <c r="U2486" s="10">
        <f t="shared" ref="U2486" si="1448">T2486*1.12</f>
        <v>42350.112000000001</v>
      </c>
      <c r="V2486" s="7"/>
      <c r="W2486" s="1">
        <v>2015</v>
      </c>
      <c r="X2486" s="62"/>
    </row>
    <row r="2487" spans="1:24" s="13" customFormat="1" ht="76.5" customHeight="1" outlineLevel="1" x14ac:dyDescent="0.2">
      <c r="A2487" s="1" t="s">
        <v>4056</v>
      </c>
      <c r="B2487" s="2" t="s">
        <v>5277</v>
      </c>
      <c r="C2487" s="2" t="s">
        <v>3003</v>
      </c>
      <c r="D2487" s="2" t="s">
        <v>3004</v>
      </c>
      <c r="E2487" s="2" t="s">
        <v>5166</v>
      </c>
      <c r="F2487" s="2"/>
      <c r="G2487" s="4" t="s">
        <v>1888</v>
      </c>
      <c r="H2487" s="5">
        <v>0</v>
      </c>
      <c r="I2487" s="6">
        <v>710000000</v>
      </c>
      <c r="J2487" s="4" t="s">
        <v>1931</v>
      </c>
      <c r="K2487" s="4" t="s">
        <v>5297</v>
      </c>
      <c r="L2487" s="3" t="s">
        <v>1165</v>
      </c>
      <c r="M2487" s="8" t="s">
        <v>3195</v>
      </c>
      <c r="N2487" s="3" t="s">
        <v>1890</v>
      </c>
      <c r="O2487" s="8" t="s">
        <v>1935</v>
      </c>
      <c r="P2487" s="8">
        <v>796</v>
      </c>
      <c r="Q2487" s="8" t="s">
        <v>3196</v>
      </c>
      <c r="R2487" s="69">
        <v>50</v>
      </c>
      <c r="S2487" s="69">
        <v>409.82</v>
      </c>
      <c r="T2487" s="10">
        <v>0</v>
      </c>
      <c r="U2487" s="10">
        <f t="shared" si="1363"/>
        <v>0</v>
      </c>
      <c r="V2487" s="7"/>
      <c r="W2487" s="1">
        <v>2015</v>
      </c>
      <c r="X2487" s="62" t="s">
        <v>7678</v>
      </c>
    </row>
    <row r="2488" spans="1:24" s="13" customFormat="1" ht="76.5" customHeight="1" outlineLevel="1" x14ac:dyDescent="0.2">
      <c r="A2488" s="1" t="s">
        <v>7829</v>
      </c>
      <c r="B2488" s="2" t="s">
        <v>5277</v>
      </c>
      <c r="C2488" s="2" t="s">
        <v>3003</v>
      </c>
      <c r="D2488" s="2" t="s">
        <v>3004</v>
      </c>
      <c r="E2488" s="2" t="s">
        <v>5166</v>
      </c>
      <c r="F2488" s="2"/>
      <c r="G2488" s="4" t="s">
        <v>3190</v>
      </c>
      <c r="H2488" s="5">
        <v>0</v>
      </c>
      <c r="I2488" s="6">
        <v>710000000</v>
      </c>
      <c r="J2488" s="4" t="s">
        <v>1931</v>
      </c>
      <c r="K2488" s="4" t="s">
        <v>756</v>
      </c>
      <c r="L2488" s="3" t="s">
        <v>1165</v>
      </c>
      <c r="M2488" s="8" t="s">
        <v>3195</v>
      </c>
      <c r="N2488" s="3" t="s">
        <v>1890</v>
      </c>
      <c r="O2488" s="8" t="s">
        <v>1935</v>
      </c>
      <c r="P2488" s="8">
        <v>796</v>
      </c>
      <c r="Q2488" s="8" t="s">
        <v>3196</v>
      </c>
      <c r="R2488" s="69">
        <v>35</v>
      </c>
      <c r="S2488" s="69">
        <v>409.82</v>
      </c>
      <c r="T2488" s="10">
        <f t="shared" ref="T2488" si="1449">S2488*R2488</f>
        <v>14343.699999999999</v>
      </c>
      <c r="U2488" s="10">
        <f t="shared" ref="U2488" si="1450">T2488*1.12</f>
        <v>16064.944</v>
      </c>
      <c r="V2488" s="7"/>
      <c r="W2488" s="1">
        <v>2015</v>
      </c>
      <c r="X2488" s="62"/>
    </row>
    <row r="2489" spans="1:24" s="13" customFormat="1" ht="76.5" customHeight="1" outlineLevel="1" x14ac:dyDescent="0.2">
      <c r="A2489" s="1" t="s">
        <v>4057</v>
      </c>
      <c r="B2489" s="2" t="s">
        <v>5277</v>
      </c>
      <c r="C2489" s="2" t="s">
        <v>2232</v>
      </c>
      <c r="D2489" s="2" t="s">
        <v>3004</v>
      </c>
      <c r="E2489" s="2" t="s">
        <v>2233</v>
      </c>
      <c r="F2489" s="2"/>
      <c r="G2489" s="4" t="s">
        <v>1888</v>
      </c>
      <c r="H2489" s="5">
        <v>0</v>
      </c>
      <c r="I2489" s="6">
        <v>710000000</v>
      </c>
      <c r="J2489" s="4" t="s">
        <v>1931</v>
      </c>
      <c r="K2489" s="4" t="s">
        <v>5297</v>
      </c>
      <c r="L2489" s="3" t="s">
        <v>1165</v>
      </c>
      <c r="M2489" s="8" t="s">
        <v>3195</v>
      </c>
      <c r="N2489" s="3" t="s">
        <v>1890</v>
      </c>
      <c r="O2489" s="8" t="s">
        <v>1935</v>
      </c>
      <c r="P2489" s="8">
        <v>796</v>
      </c>
      <c r="Q2489" s="8" t="s">
        <v>3196</v>
      </c>
      <c r="R2489" s="69">
        <v>30</v>
      </c>
      <c r="S2489" s="69">
        <v>343</v>
      </c>
      <c r="T2489" s="10">
        <v>0</v>
      </c>
      <c r="U2489" s="10">
        <f t="shared" si="1363"/>
        <v>0</v>
      </c>
      <c r="V2489" s="7"/>
      <c r="W2489" s="1">
        <v>2015</v>
      </c>
      <c r="X2489" s="62" t="s">
        <v>7678</v>
      </c>
    </row>
    <row r="2490" spans="1:24" s="13" customFormat="1" ht="76.5" customHeight="1" outlineLevel="1" x14ac:dyDescent="0.2">
      <c r="A2490" s="1" t="s">
        <v>7830</v>
      </c>
      <c r="B2490" s="2" t="s">
        <v>5277</v>
      </c>
      <c r="C2490" s="2" t="s">
        <v>2232</v>
      </c>
      <c r="D2490" s="2" t="s">
        <v>3004</v>
      </c>
      <c r="E2490" s="2" t="s">
        <v>2233</v>
      </c>
      <c r="F2490" s="2"/>
      <c r="G2490" s="4" t="s">
        <v>3190</v>
      </c>
      <c r="H2490" s="5">
        <v>0</v>
      </c>
      <c r="I2490" s="6">
        <v>710000000</v>
      </c>
      <c r="J2490" s="4" t="s">
        <v>1931</v>
      </c>
      <c r="K2490" s="4" t="s">
        <v>756</v>
      </c>
      <c r="L2490" s="3" t="s">
        <v>1165</v>
      </c>
      <c r="M2490" s="8" t="s">
        <v>3195</v>
      </c>
      <c r="N2490" s="3" t="s">
        <v>1890</v>
      </c>
      <c r="O2490" s="8" t="s">
        <v>1935</v>
      </c>
      <c r="P2490" s="8">
        <v>796</v>
      </c>
      <c r="Q2490" s="8" t="s">
        <v>3196</v>
      </c>
      <c r="R2490" s="69">
        <v>20</v>
      </c>
      <c r="S2490" s="69">
        <v>343</v>
      </c>
      <c r="T2490" s="10">
        <f t="shared" ref="T2490" si="1451">S2490*R2490</f>
        <v>6860</v>
      </c>
      <c r="U2490" s="10">
        <f t="shared" ref="U2490" si="1452">T2490*1.12</f>
        <v>7683.2000000000007</v>
      </c>
      <c r="V2490" s="7"/>
      <c r="W2490" s="1">
        <v>2015</v>
      </c>
      <c r="X2490" s="62"/>
    </row>
    <row r="2491" spans="1:24" s="13" customFormat="1" ht="76.5" customHeight="1" outlineLevel="1" x14ac:dyDescent="0.2">
      <c r="A2491" s="1" t="s">
        <v>4058</v>
      </c>
      <c r="B2491" s="2" t="s">
        <v>5277</v>
      </c>
      <c r="C2491" s="2" t="s">
        <v>3411</v>
      </c>
      <c r="D2491" s="2" t="s">
        <v>284</v>
      </c>
      <c r="E2491" s="2" t="s">
        <v>6059</v>
      </c>
      <c r="F2491" s="2"/>
      <c r="G2491" s="4" t="s">
        <v>1888</v>
      </c>
      <c r="H2491" s="5">
        <v>0</v>
      </c>
      <c r="I2491" s="6">
        <v>710000000</v>
      </c>
      <c r="J2491" s="4" t="s">
        <v>1931</v>
      </c>
      <c r="K2491" s="4" t="s">
        <v>5297</v>
      </c>
      <c r="L2491" s="3" t="s">
        <v>1165</v>
      </c>
      <c r="M2491" s="8" t="s">
        <v>3195</v>
      </c>
      <c r="N2491" s="3" t="s">
        <v>1890</v>
      </c>
      <c r="O2491" s="8" t="s">
        <v>1935</v>
      </c>
      <c r="P2491" s="62">
        <v>736</v>
      </c>
      <c r="Q2491" s="3" t="s">
        <v>5475</v>
      </c>
      <c r="R2491" s="69">
        <v>8</v>
      </c>
      <c r="S2491" s="69">
        <v>45</v>
      </c>
      <c r="T2491" s="10">
        <v>0</v>
      </c>
      <c r="U2491" s="10">
        <f t="shared" si="1363"/>
        <v>0</v>
      </c>
      <c r="V2491" s="7"/>
      <c r="W2491" s="1">
        <v>2015</v>
      </c>
      <c r="X2491" s="62" t="s">
        <v>7678</v>
      </c>
    </row>
    <row r="2492" spans="1:24" s="13" customFormat="1" ht="76.5" customHeight="1" outlineLevel="1" x14ac:dyDescent="0.2">
      <c r="A2492" s="1" t="s">
        <v>7831</v>
      </c>
      <c r="B2492" s="2" t="s">
        <v>5277</v>
      </c>
      <c r="C2492" s="2" t="s">
        <v>3411</v>
      </c>
      <c r="D2492" s="2" t="s">
        <v>284</v>
      </c>
      <c r="E2492" s="2" t="s">
        <v>6059</v>
      </c>
      <c r="F2492" s="2"/>
      <c r="G2492" s="4" t="s">
        <v>3190</v>
      </c>
      <c r="H2492" s="5">
        <v>0</v>
      </c>
      <c r="I2492" s="6">
        <v>710000000</v>
      </c>
      <c r="J2492" s="4" t="s">
        <v>1931</v>
      </c>
      <c r="K2492" s="4" t="s">
        <v>756</v>
      </c>
      <c r="L2492" s="3" t="s">
        <v>1165</v>
      </c>
      <c r="M2492" s="8" t="s">
        <v>3195</v>
      </c>
      <c r="N2492" s="3" t="s">
        <v>1890</v>
      </c>
      <c r="O2492" s="8" t="s">
        <v>1935</v>
      </c>
      <c r="P2492" s="62">
        <v>736</v>
      </c>
      <c r="Q2492" s="3" t="s">
        <v>5475</v>
      </c>
      <c r="R2492" s="69">
        <v>4</v>
      </c>
      <c r="S2492" s="69">
        <v>45</v>
      </c>
      <c r="T2492" s="10">
        <f t="shared" ref="T2492" si="1453">S2492*R2492</f>
        <v>180</v>
      </c>
      <c r="U2492" s="10">
        <f t="shared" ref="U2492" si="1454">T2492*1.12</f>
        <v>201.60000000000002</v>
      </c>
      <c r="V2492" s="7"/>
      <c r="W2492" s="1">
        <v>2015</v>
      </c>
      <c r="X2492" s="62"/>
    </row>
    <row r="2493" spans="1:24" s="13" customFormat="1" ht="76.5" customHeight="1" outlineLevel="1" x14ac:dyDescent="0.2">
      <c r="A2493" s="1" t="s">
        <v>4059</v>
      </c>
      <c r="B2493" s="2" t="s">
        <v>5277</v>
      </c>
      <c r="C2493" s="2" t="s">
        <v>283</v>
      </c>
      <c r="D2493" s="2" t="s">
        <v>5136</v>
      </c>
      <c r="E2493" s="2" t="s">
        <v>282</v>
      </c>
      <c r="F2493" s="2"/>
      <c r="G2493" s="4" t="s">
        <v>1888</v>
      </c>
      <c r="H2493" s="5">
        <v>0</v>
      </c>
      <c r="I2493" s="6">
        <v>710000000</v>
      </c>
      <c r="J2493" s="4" t="s">
        <v>1931</v>
      </c>
      <c r="K2493" s="4" t="s">
        <v>5297</v>
      </c>
      <c r="L2493" s="2" t="s">
        <v>1940</v>
      </c>
      <c r="M2493" s="8" t="s">
        <v>3195</v>
      </c>
      <c r="N2493" s="3" t="s">
        <v>1890</v>
      </c>
      <c r="O2493" s="8" t="s">
        <v>1935</v>
      </c>
      <c r="P2493" s="62">
        <v>166</v>
      </c>
      <c r="Q2493" s="3" t="s">
        <v>3324</v>
      </c>
      <c r="R2493" s="69">
        <f>5+5</f>
        <v>10</v>
      </c>
      <c r="S2493" s="69">
        <v>23.21</v>
      </c>
      <c r="T2493" s="10">
        <v>0</v>
      </c>
      <c r="U2493" s="10">
        <f t="shared" si="1363"/>
        <v>0</v>
      </c>
      <c r="V2493" s="7"/>
      <c r="W2493" s="1">
        <v>2015</v>
      </c>
      <c r="X2493" s="62">
        <v>7.11</v>
      </c>
    </row>
    <row r="2494" spans="1:24" s="13" customFormat="1" ht="76.5" customHeight="1" outlineLevel="1" x14ac:dyDescent="0.2">
      <c r="A2494" s="1" t="s">
        <v>7832</v>
      </c>
      <c r="B2494" s="2" t="s">
        <v>5277</v>
      </c>
      <c r="C2494" s="2" t="s">
        <v>283</v>
      </c>
      <c r="D2494" s="2" t="s">
        <v>5136</v>
      </c>
      <c r="E2494" s="2" t="s">
        <v>282</v>
      </c>
      <c r="F2494" s="2"/>
      <c r="G2494" s="4" t="s">
        <v>3190</v>
      </c>
      <c r="H2494" s="5">
        <v>0</v>
      </c>
      <c r="I2494" s="6">
        <v>710000000</v>
      </c>
      <c r="J2494" s="4" t="s">
        <v>1931</v>
      </c>
      <c r="K2494" s="4" t="s">
        <v>756</v>
      </c>
      <c r="L2494" s="2" t="s">
        <v>1940</v>
      </c>
      <c r="M2494" s="8" t="s">
        <v>3195</v>
      </c>
      <c r="N2494" s="3" t="s">
        <v>1890</v>
      </c>
      <c r="O2494" s="8" t="s">
        <v>1935</v>
      </c>
      <c r="P2494" s="62">
        <v>166</v>
      </c>
      <c r="Q2494" s="3" t="s">
        <v>3324</v>
      </c>
      <c r="R2494" s="69">
        <f>5+5</f>
        <v>10</v>
      </c>
      <c r="S2494" s="69">
        <v>23.21</v>
      </c>
      <c r="T2494" s="10">
        <f t="shared" ref="T2494" si="1455">S2494*R2494</f>
        <v>232.10000000000002</v>
      </c>
      <c r="U2494" s="10">
        <f t="shared" ref="U2494" si="1456">T2494*1.12</f>
        <v>259.95200000000006</v>
      </c>
      <c r="V2494" s="7"/>
      <c r="W2494" s="1">
        <v>2015</v>
      </c>
      <c r="X2494" s="62" t="s">
        <v>7518</v>
      </c>
    </row>
    <row r="2495" spans="1:24" s="13" customFormat="1" ht="76.5" customHeight="1" outlineLevel="1" x14ac:dyDescent="0.2">
      <c r="A2495" s="1" t="s">
        <v>8954</v>
      </c>
      <c r="B2495" s="2" t="s">
        <v>5277</v>
      </c>
      <c r="C2495" s="2" t="s">
        <v>283</v>
      </c>
      <c r="D2495" s="2" t="s">
        <v>5136</v>
      </c>
      <c r="E2495" s="2" t="s">
        <v>282</v>
      </c>
      <c r="F2495" s="2"/>
      <c r="G2495" s="4" t="s">
        <v>3190</v>
      </c>
      <c r="H2495" s="5">
        <v>0</v>
      </c>
      <c r="I2495" s="6">
        <v>710000000</v>
      </c>
      <c r="J2495" s="4" t="s">
        <v>1931</v>
      </c>
      <c r="K2495" s="4" t="s">
        <v>8946</v>
      </c>
      <c r="L2495" s="2" t="s">
        <v>1940</v>
      </c>
      <c r="M2495" s="8" t="s">
        <v>3195</v>
      </c>
      <c r="N2495" s="3" t="s">
        <v>1890</v>
      </c>
      <c r="O2495" s="8" t="s">
        <v>1935</v>
      </c>
      <c r="P2495" s="62">
        <v>166</v>
      </c>
      <c r="Q2495" s="3" t="s">
        <v>3324</v>
      </c>
      <c r="R2495" s="69">
        <v>310</v>
      </c>
      <c r="S2495" s="69">
        <v>23.21</v>
      </c>
      <c r="T2495" s="10">
        <f t="shared" ref="T2495" si="1457">S2495*R2495</f>
        <v>7195.1</v>
      </c>
      <c r="U2495" s="10">
        <f t="shared" ref="U2495" si="1458">T2495*1.12</f>
        <v>8058.5120000000015</v>
      </c>
      <c r="V2495" s="7"/>
      <c r="W2495" s="1">
        <v>2015</v>
      </c>
      <c r="X2495" s="62"/>
    </row>
    <row r="2496" spans="1:24" s="13" customFormat="1" ht="76.5" customHeight="1" outlineLevel="1" x14ac:dyDescent="0.2">
      <c r="A2496" s="1" t="s">
        <v>4060</v>
      </c>
      <c r="B2496" s="2" t="s">
        <v>5277</v>
      </c>
      <c r="C2496" s="2" t="s">
        <v>3325</v>
      </c>
      <c r="D2496" s="2" t="s">
        <v>5466</v>
      </c>
      <c r="E2496" s="6" t="s">
        <v>5467</v>
      </c>
      <c r="F2496" s="2"/>
      <c r="G2496" s="4" t="s">
        <v>1888</v>
      </c>
      <c r="H2496" s="5">
        <v>0</v>
      </c>
      <c r="I2496" s="6">
        <v>710000000</v>
      </c>
      <c r="J2496" s="4" t="s">
        <v>1931</v>
      </c>
      <c r="K2496" s="4" t="s">
        <v>5297</v>
      </c>
      <c r="L2496" s="2" t="s">
        <v>1940</v>
      </c>
      <c r="M2496" s="8" t="s">
        <v>3195</v>
      </c>
      <c r="N2496" s="3" t="s">
        <v>1890</v>
      </c>
      <c r="O2496" s="8" t="s">
        <v>1935</v>
      </c>
      <c r="P2496" s="60">
        <v>625</v>
      </c>
      <c r="Q2496" s="3" t="s">
        <v>5468</v>
      </c>
      <c r="R2496" s="69">
        <f>10+300</f>
        <v>310</v>
      </c>
      <c r="S2496" s="69">
        <v>1815.18</v>
      </c>
      <c r="T2496" s="10">
        <v>0</v>
      </c>
      <c r="U2496" s="10">
        <f t="shared" si="1363"/>
        <v>0</v>
      </c>
      <c r="V2496" s="7"/>
      <c r="W2496" s="1">
        <v>2015</v>
      </c>
      <c r="X2496" s="62" t="s">
        <v>7678</v>
      </c>
    </row>
    <row r="2497" spans="1:24" s="13" customFormat="1" ht="76.5" customHeight="1" outlineLevel="1" x14ac:dyDescent="0.2">
      <c r="A2497" s="1" t="s">
        <v>7833</v>
      </c>
      <c r="B2497" s="2" t="s">
        <v>5277</v>
      </c>
      <c r="C2497" s="2" t="s">
        <v>3325</v>
      </c>
      <c r="D2497" s="2" t="s">
        <v>5466</v>
      </c>
      <c r="E2497" s="6" t="s">
        <v>5467</v>
      </c>
      <c r="F2497" s="2"/>
      <c r="G2497" s="4" t="s">
        <v>3190</v>
      </c>
      <c r="H2497" s="5">
        <v>0</v>
      </c>
      <c r="I2497" s="6">
        <v>710000000</v>
      </c>
      <c r="J2497" s="4" t="s">
        <v>1931</v>
      </c>
      <c r="K2497" s="4" t="s">
        <v>756</v>
      </c>
      <c r="L2497" s="2" t="s">
        <v>1940</v>
      </c>
      <c r="M2497" s="8" t="s">
        <v>3195</v>
      </c>
      <c r="N2497" s="3" t="s">
        <v>1890</v>
      </c>
      <c r="O2497" s="8" t="s">
        <v>1935</v>
      </c>
      <c r="P2497" s="60">
        <v>625</v>
      </c>
      <c r="Q2497" s="3" t="s">
        <v>5468</v>
      </c>
      <c r="R2497" s="69">
        <v>200</v>
      </c>
      <c r="S2497" s="69">
        <v>1815.18</v>
      </c>
      <c r="T2497" s="10">
        <v>0</v>
      </c>
      <c r="U2497" s="10">
        <f t="shared" ref="U2497" si="1459">T2497*1.12</f>
        <v>0</v>
      </c>
      <c r="V2497" s="7"/>
      <c r="W2497" s="1">
        <v>2015</v>
      </c>
      <c r="X2497" s="62" t="s">
        <v>7518</v>
      </c>
    </row>
    <row r="2498" spans="1:24" s="13" customFormat="1" ht="76.5" customHeight="1" outlineLevel="1" x14ac:dyDescent="0.2">
      <c r="A2498" s="1" t="s">
        <v>9533</v>
      </c>
      <c r="B2498" s="2" t="s">
        <v>5277</v>
      </c>
      <c r="C2498" s="2" t="s">
        <v>3325</v>
      </c>
      <c r="D2498" s="2" t="s">
        <v>5466</v>
      </c>
      <c r="E2498" s="6" t="s">
        <v>5467</v>
      </c>
      <c r="F2498" s="2"/>
      <c r="G2498" s="4" t="s">
        <v>3190</v>
      </c>
      <c r="H2498" s="5">
        <v>0</v>
      </c>
      <c r="I2498" s="6">
        <v>710000000</v>
      </c>
      <c r="J2498" s="4" t="s">
        <v>1931</v>
      </c>
      <c r="K2498" s="4" t="s">
        <v>9276</v>
      </c>
      <c r="L2498" s="2" t="s">
        <v>1940</v>
      </c>
      <c r="M2498" s="8" t="s">
        <v>3195</v>
      </c>
      <c r="N2498" s="3" t="s">
        <v>1890</v>
      </c>
      <c r="O2498" s="8" t="s">
        <v>1935</v>
      </c>
      <c r="P2498" s="60">
        <v>625</v>
      </c>
      <c r="Q2498" s="3" t="s">
        <v>5468</v>
      </c>
      <c r="R2498" s="69">
        <f>200+20</f>
        <v>220</v>
      </c>
      <c r="S2498" s="69">
        <v>1815.18</v>
      </c>
      <c r="T2498" s="10">
        <v>0</v>
      </c>
      <c r="U2498" s="10">
        <f t="shared" ref="U2498" si="1460">T2498*1.12</f>
        <v>0</v>
      </c>
      <c r="V2498" s="7"/>
      <c r="W2498" s="1">
        <v>2015</v>
      </c>
      <c r="X2498" s="62" t="s">
        <v>7518</v>
      </c>
    </row>
    <row r="2499" spans="1:24" s="13" customFormat="1" ht="76.5" customHeight="1" outlineLevel="1" x14ac:dyDescent="0.2">
      <c r="A2499" s="1" t="s">
        <v>10163</v>
      </c>
      <c r="B2499" s="2" t="s">
        <v>5277</v>
      </c>
      <c r="C2499" s="2" t="s">
        <v>3325</v>
      </c>
      <c r="D2499" s="2" t="s">
        <v>5466</v>
      </c>
      <c r="E2499" s="6" t="s">
        <v>5467</v>
      </c>
      <c r="F2499" s="2"/>
      <c r="G2499" s="4" t="s">
        <v>3190</v>
      </c>
      <c r="H2499" s="5">
        <v>0</v>
      </c>
      <c r="I2499" s="6">
        <v>710000000</v>
      </c>
      <c r="J2499" s="4" t="s">
        <v>1931</v>
      </c>
      <c r="K2499" s="4" t="s">
        <v>10150</v>
      </c>
      <c r="L2499" s="2" t="s">
        <v>1940</v>
      </c>
      <c r="M2499" s="8" t="s">
        <v>3195</v>
      </c>
      <c r="N2499" s="3" t="s">
        <v>1890</v>
      </c>
      <c r="O2499" s="8" t="s">
        <v>1935</v>
      </c>
      <c r="P2499" s="60">
        <v>625</v>
      </c>
      <c r="Q2499" s="3" t="s">
        <v>5468</v>
      </c>
      <c r="R2499" s="69">
        <f>200+20+10</f>
        <v>230</v>
      </c>
      <c r="S2499" s="69">
        <v>1815.18</v>
      </c>
      <c r="T2499" s="10">
        <f t="shared" ref="T2499" si="1461">S2499*R2499</f>
        <v>417491.4</v>
      </c>
      <c r="U2499" s="10">
        <f t="shared" ref="U2499" si="1462">T2499*1.12</f>
        <v>467590.36800000007</v>
      </c>
      <c r="V2499" s="7"/>
      <c r="W2499" s="1">
        <v>2015</v>
      </c>
      <c r="X2499" s="62"/>
    </row>
    <row r="2500" spans="1:24" s="13" customFormat="1" ht="76.5" customHeight="1" outlineLevel="1" x14ac:dyDescent="0.2">
      <c r="A2500" s="1" t="s">
        <v>4061</v>
      </c>
      <c r="B2500" s="2" t="s">
        <v>5277</v>
      </c>
      <c r="C2500" s="6" t="s">
        <v>281</v>
      </c>
      <c r="D2500" s="6" t="s">
        <v>280</v>
      </c>
      <c r="E2500" s="6" t="s">
        <v>7612</v>
      </c>
      <c r="F2500" s="2"/>
      <c r="G2500" s="4" t="s">
        <v>1888</v>
      </c>
      <c r="H2500" s="5">
        <v>0</v>
      </c>
      <c r="I2500" s="6">
        <v>710000000</v>
      </c>
      <c r="J2500" s="4" t="s">
        <v>1931</v>
      </c>
      <c r="K2500" s="4" t="s">
        <v>5297</v>
      </c>
      <c r="L2500" s="2" t="s">
        <v>1940</v>
      </c>
      <c r="M2500" s="8" t="s">
        <v>3195</v>
      </c>
      <c r="N2500" s="3" t="s">
        <v>1890</v>
      </c>
      <c r="O2500" s="8" t="s">
        <v>1935</v>
      </c>
      <c r="P2500" s="60" t="s">
        <v>3010</v>
      </c>
      <c r="Q2500" s="3" t="s">
        <v>3009</v>
      </c>
      <c r="R2500" s="69">
        <v>120</v>
      </c>
      <c r="S2500" s="69">
        <v>388.39</v>
      </c>
      <c r="T2500" s="10">
        <v>0</v>
      </c>
      <c r="U2500" s="10">
        <f t="shared" si="1363"/>
        <v>0</v>
      </c>
      <c r="V2500" s="7"/>
      <c r="W2500" s="1">
        <v>2015</v>
      </c>
      <c r="X2500" s="62" t="s">
        <v>7678</v>
      </c>
    </row>
    <row r="2501" spans="1:24" s="13" customFormat="1" ht="76.5" customHeight="1" outlineLevel="1" x14ac:dyDescent="0.2">
      <c r="A2501" s="1" t="s">
        <v>7834</v>
      </c>
      <c r="B2501" s="2" t="s">
        <v>5277</v>
      </c>
      <c r="C2501" s="6" t="s">
        <v>281</v>
      </c>
      <c r="D2501" s="6" t="s">
        <v>280</v>
      </c>
      <c r="E2501" s="6" t="s">
        <v>7612</v>
      </c>
      <c r="F2501" s="2"/>
      <c r="G2501" s="4" t="s">
        <v>3190</v>
      </c>
      <c r="H2501" s="5">
        <v>0</v>
      </c>
      <c r="I2501" s="6">
        <v>710000000</v>
      </c>
      <c r="J2501" s="4" t="s">
        <v>1931</v>
      </c>
      <c r="K2501" s="4" t="s">
        <v>756</v>
      </c>
      <c r="L2501" s="2" t="s">
        <v>1940</v>
      </c>
      <c r="M2501" s="8" t="s">
        <v>3195</v>
      </c>
      <c r="N2501" s="3" t="s">
        <v>1890</v>
      </c>
      <c r="O2501" s="8" t="s">
        <v>1935</v>
      </c>
      <c r="P2501" s="60" t="s">
        <v>3010</v>
      </c>
      <c r="Q2501" s="3" t="s">
        <v>3009</v>
      </c>
      <c r="R2501" s="69">
        <v>80</v>
      </c>
      <c r="S2501" s="69">
        <v>388.39</v>
      </c>
      <c r="T2501" s="10">
        <v>0</v>
      </c>
      <c r="U2501" s="10">
        <f t="shared" ref="U2501" si="1463">T2501*1.12</f>
        <v>0</v>
      </c>
      <c r="V2501" s="7"/>
      <c r="W2501" s="1">
        <v>2015</v>
      </c>
      <c r="X2501" s="62" t="s">
        <v>7518</v>
      </c>
    </row>
    <row r="2502" spans="1:24" s="13" customFormat="1" ht="76.5" customHeight="1" outlineLevel="1" x14ac:dyDescent="0.2">
      <c r="A2502" s="1" t="s">
        <v>9535</v>
      </c>
      <c r="B2502" s="2" t="s">
        <v>5277</v>
      </c>
      <c r="C2502" s="6" t="s">
        <v>281</v>
      </c>
      <c r="D2502" s="6" t="s">
        <v>280</v>
      </c>
      <c r="E2502" s="6" t="s">
        <v>7612</v>
      </c>
      <c r="F2502" s="2"/>
      <c r="G2502" s="4" t="s">
        <v>3190</v>
      </c>
      <c r="H2502" s="5">
        <v>0</v>
      </c>
      <c r="I2502" s="6">
        <v>710000000</v>
      </c>
      <c r="J2502" s="4" t="s">
        <v>1931</v>
      </c>
      <c r="K2502" s="4" t="s">
        <v>9276</v>
      </c>
      <c r="L2502" s="2" t="s">
        <v>1940</v>
      </c>
      <c r="M2502" s="8" t="s">
        <v>3195</v>
      </c>
      <c r="N2502" s="3" t="s">
        <v>1890</v>
      </c>
      <c r="O2502" s="8" t="s">
        <v>1935</v>
      </c>
      <c r="P2502" s="60" t="s">
        <v>3010</v>
      </c>
      <c r="Q2502" s="3" t="s">
        <v>3009</v>
      </c>
      <c r="R2502" s="69">
        <f>80+200</f>
        <v>280</v>
      </c>
      <c r="S2502" s="69">
        <v>388.39</v>
      </c>
      <c r="T2502" s="10">
        <f t="shared" ref="T2502" si="1464">S2502*R2502</f>
        <v>108749.2</v>
      </c>
      <c r="U2502" s="10">
        <f t="shared" ref="U2502" si="1465">T2502*1.12</f>
        <v>121799.10400000001</v>
      </c>
      <c r="V2502" s="7"/>
      <c r="W2502" s="1">
        <v>2015</v>
      </c>
      <c r="X2502" s="62"/>
    </row>
    <row r="2503" spans="1:24" s="13" customFormat="1" ht="76.5" customHeight="1" outlineLevel="1" x14ac:dyDescent="0.2">
      <c r="A2503" s="1" t="s">
        <v>4062</v>
      </c>
      <c r="B2503" s="2" t="s">
        <v>5277</v>
      </c>
      <c r="C2503" s="6" t="s">
        <v>279</v>
      </c>
      <c r="D2503" s="6" t="s">
        <v>5471</v>
      </c>
      <c r="E2503" s="6" t="s">
        <v>278</v>
      </c>
      <c r="F2503" s="2"/>
      <c r="G2503" s="4" t="s">
        <v>1888</v>
      </c>
      <c r="H2503" s="5">
        <v>0</v>
      </c>
      <c r="I2503" s="6">
        <v>710000000</v>
      </c>
      <c r="J2503" s="4" t="s">
        <v>1931</v>
      </c>
      <c r="K2503" s="4" t="s">
        <v>5297</v>
      </c>
      <c r="L2503" s="2" t="s">
        <v>1940</v>
      </c>
      <c r="M2503" s="8" t="s">
        <v>3195</v>
      </c>
      <c r="N2503" s="3" t="s">
        <v>1890</v>
      </c>
      <c r="O2503" s="8" t="s">
        <v>1935</v>
      </c>
      <c r="P2503" s="60" t="s">
        <v>3334</v>
      </c>
      <c r="Q2503" s="3" t="s">
        <v>5477</v>
      </c>
      <c r="R2503" s="69">
        <f>200+1500</f>
        <v>1700</v>
      </c>
      <c r="S2503" s="69">
        <v>1261.76</v>
      </c>
      <c r="T2503" s="10">
        <v>0</v>
      </c>
      <c r="U2503" s="10">
        <f t="shared" si="1363"/>
        <v>0</v>
      </c>
      <c r="V2503" s="7"/>
      <c r="W2503" s="1">
        <v>2015</v>
      </c>
      <c r="X2503" s="62" t="s">
        <v>7678</v>
      </c>
    </row>
    <row r="2504" spans="1:24" s="13" customFormat="1" ht="76.5" customHeight="1" outlineLevel="1" x14ac:dyDescent="0.2">
      <c r="A2504" s="1" t="s">
        <v>7835</v>
      </c>
      <c r="B2504" s="2" t="s">
        <v>5277</v>
      </c>
      <c r="C2504" s="6" t="s">
        <v>279</v>
      </c>
      <c r="D2504" s="6" t="s">
        <v>5471</v>
      </c>
      <c r="E2504" s="6" t="s">
        <v>278</v>
      </c>
      <c r="F2504" s="2"/>
      <c r="G2504" s="4" t="s">
        <v>3190</v>
      </c>
      <c r="H2504" s="5">
        <v>0</v>
      </c>
      <c r="I2504" s="6">
        <v>710000000</v>
      </c>
      <c r="J2504" s="4" t="s">
        <v>1931</v>
      </c>
      <c r="K2504" s="4" t="s">
        <v>756</v>
      </c>
      <c r="L2504" s="2" t="s">
        <v>1940</v>
      </c>
      <c r="M2504" s="8" t="s">
        <v>3195</v>
      </c>
      <c r="N2504" s="3" t="s">
        <v>1890</v>
      </c>
      <c r="O2504" s="8" t="s">
        <v>1935</v>
      </c>
      <c r="P2504" s="60" t="s">
        <v>3334</v>
      </c>
      <c r="Q2504" s="3" t="s">
        <v>5477</v>
      </c>
      <c r="R2504" s="69">
        <f>200+1200</f>
        <v>1400</v>
      </c>
      <c r="S2504" s="69">
        <v>1261.76</v>
      </c>
      <c r="T2504" s="10">
        <v>0</v>
      </c>
      <c r="U2504" s="10">
        <f t="shared" ref="U2504" si="1466">T2504*1.12</f>
        <v>0</v>
      </c>
      <c r="V2504" s="7"/>
      <c r="W2504" s="1">
        <v>2015</v>
      </c>
      <c r="X2504" s="62" t="s">
        <v>7518</v>
      </c>
    </row>
    <row r="2505" spans="1:24" s="13" customFormat="1" ht="76.5" customHeight="1" outlineLevel="1" x14ac:dyDescent="0.2">
      <c r="A2505" s="1" t="s">
        <v>9517</v>
      </c>
      <c r="B2505" s="2" t="s">
        <v>5277</v>
      </c>
      <c r="C2505" s="6" t="s">
        <v>279</v>
      </c>
      <c r="D2505" s="6" t="s">
        <v>5471</v>
      </c>
      <c r="E2505" s="6" t="s">
        <v>278</v>
      </c>
      <c r="F2505" s="2"/>
      <c r="G2505" s="4" t="s">
        <v>3190</v>
      </c>
      <c r="H2505" s="5">
        <v>0</v>
      </c>
      <c r="I2505" s="6">
        <v>710000000</v>
      </c>
      <c r="J2505" s="4" t="s">
        <v>1931</v>
      </c>
      <c r="K2505" s="4" t="s">
        <v>9276</v>
      </c>
      <c r="L2505" s="2" t="s">
        <v>1940</v>
      </c>
      <c r="M2505" s="8" t="s">
        <v>3195</v>
      </c>
      <c r="N2505" s="3" t="s">
        <v>1890</v>
      </c>
      <c r="O2505" s="8" t="s">
        <v>1935</v>
      </c>
      <c r="P2505" s="60" t="s">
        <v>3334</v>
      </c>
      <c r="Q2505" s="3" t="s">
        <v>5477</v>
      </c>
      <c r="R2505" s="69">
        <v>720</v>
      </c>
      <c r="S2505" s="69">
        <v>2455.3571430000002</v>
      </c>
      <c r="T2505" s="10">
        <f t="shared" ref="T2505" si="1467">S2505*R2505</f>
        <v>1767857.1429600001</v>
      </c>
      <c r="U2505" s="10">
        <f t="shared" ref="U2505" si="1468">T2505*1.12</f>
        <v>1980000.0001152002</v>
      </c>
      <c r="V2505" s="7"/>
      <c r="W2505" s="1">
        <v>2015</v>
      </c>
      <c r="X2505" s="62"/>
    </row>
    <row r="2506" spans="1:24" s="13" customFormat="1" ht="76.5" customHeight="1" outlineLevel="1" x14ac:dyDescent="0.2">
      <c r="A2506" s="1" t="s">
        <v>4063</v>
      </c>
      <c r="B2506" s="2" t="s">
        <v>5277</v>
      </c>
      <c r="C2506" s="2" t="s">
        <v>277</v>
      </c>
      <c r="D2506" s="2" t="s">
        <v>270</v>
      </c>
      <c r="E2506" s="2" t="s">
        <v>276</v>
      </c>
      <c r="F2506" s="2"/>
      <c r="G2506" s="4" t="s">
        <v>1888</v>
      </c>
      <c r="H2506" s="5">
        <v>0</v>
      </c>
      <c r="I2506" s="6">
        <v>710000000</v>
      </c>
      <c r="J2506" s="4" t="s">
        <v>1931</v>
      </c>
      <c r="K2506" s="4" t="s">
        <v>5297</v>
      </c>
      <c r="L2506" s="2" t="s">
        <v>1940</v>
      </c>
      <c r="M2506" s="8" t="s">
        <v>3195</v>
      </c>
      <c r="N2506" s="3" t="s">
        <v>1890</v>
      </c>
      <c r="O2506" s="8" t="s">
        <v>1935</v>
      </c>
      <c r="P2506" s="60" t="s">
        <v>3334</v>
      </c>
      <c r="Q2506" s="3" t="s">
        <v>5477</v>
      </c>
      <c r="R2506" s="69">
        <v>5</v>
      </c>
      <c r="S2506" s="69">
        <v>1697.32</v>
      </c>
      <c r="T2506" s="10">
        <v>0</v>
      </c>
      <c r="U2506" s="10">
        <f t="shared" si="1363"/>
        <v>0</v>
      </c>
      <c r="V2506" s="7"/>
      <c r="W2506" s="1">
        <v>2015</v>
      </c>
      <c r="X2506" s="62">
        <v>7.11</v>
      </c>
    </row>
    <row r="2507" spans="1:24" s="13" customFormat="1" ht="76.5" customHeight="1" outlineLevel="1" x14ac:dyDescent="0.2">
      <c r="A2507" s="1" t="s">
        <v>7836</v>
      </c>
      <c r="B2507" s="2" t="s">
        <v>5277</v>
      </c>
      <c r="C2507" s="2" t="s">
        <v>277</v>
      </c>
      <c r="D2507" s="2" t="s">
        <v>270</v>
      </c>
      <c r="E2507" s="2" t="s">
        <v>276</v>
      </c>
      <c r="F2507" s="2"/>
      <c r="G2507" s="4" t="s">
        <v>3190</v>
      </c>
      <c r="H2507" s="5">
        <v>0</v>
      </c>
      <c r="I2507" s="6">
        <v>710000000</v>
      </c>
      <c r="J2507" s="4" t="s">
        <v>1931</v>
      </c>
      <c r="K2507" s="4" t="s">
        <v>756</v>
      </c>
      <c r="L2507" s="2" t="s">
        <v>1940</v>
      </c>
      <c r="M2507" s="8" t="s">
        <v>3195</v>
      </c>
      <c r="N2507" s="3" t="s">
        <v>1890</v>
      </c>
      <c r="O2507" s="8" t="s">
        <v>1935</v>
      </c>
      <c r="P2507" s="60" t="s">
        <v>3334</v>
      </c>
      <c r="Q2507" s="3" t="s">
        <v>5477</v>
      </c>
      <c r="R2507" s="69">
        <v>5</v>
      </c>
      <c r="S2507" s="69">
        <v>1697.32</v>
      </c>
      <c r="T2507" s="10">
        <f t="shared" ref="T2507" si="1469">S2507*R2507</f>
        <v>8486.6</v>
      </c>
      <c r="U2507" s="10">
        <f t="shared" ref="U2507" si="1470">T2507*1.12</f>
        <v>9504.992000000002</v>
      </c>
      <c r="V2507" s="7"/>
      <c r="W2507" s="1">
        <v>2015</v>
      </c>
      <c r="X2507" s="62"/>
    </row>
    <row r="2508" spans="1:24" s="13" customFormat="1" ht="76.5" customHeight="1" outlineLevel="1" x14ac:dyDescent="0.2">
      <c r="A2508" s="1" t="s">
        <v>3818</v>
      </c>
      <c r="B2508" s="2" t="s">
        <v>5277</v>
      </c>
      <c r="C2508" s="2" t="s">
        <v>274</v>
      </c>
      <c r="D2508" s="2" t="s">
        <v>5478</v>
      </c>
      <c r="E2508" s="2" t="s">
        <v>273</v>
      </c>
      <c r="F2508" s="2" t="s">
        <v>275</v>
      </c>
      <c r="G2508" s="4" t="s">
        <v>1888</v>
      </c>
      <c r="H2508" s="5">
        <v>0</v>
      </c>
      <c r="I2508" s="6">
        <v>710000000</v>
      </c>
      <c r="J2508" s="4" t="s">
        <v>1931</v>
      </c>
      <c r="K2508" s="4" t="s">
        <v>5297</v>
      </c>
      <c r="L2508" s="2" t="s">
        <v>1940</v>
      </c>
      <c r="M2508" s="8" t="s">
        <v>3195</v>
      </c>
      <c r="N2508" s="3" t="s">
        <v>1890</v>
      </c>
      <c r="O2508" s="8" t="s">
        <v>1935</v>
      </c>
      <c r="P2508" s="60" t="s">
        <v>3334</v>
      </c>
      <c r="Q2508" s="3" t="s">
        <v>5477</v>
      </c>
      <c r="R2508" s="69">
        <v>10</v>
      </c>
      <c r="S2508" s="69">
        <v>1146.43</v>
      </c>
      <c r="T2508" s="10">
        <v>0</v>
      </c>
      <c r="U2508" s="10">
        <f t="shared" si="1363"/>
        <v>0</v>
      </c>
      <c r="V2508" s="7"/>
      <c r="W2508" s="1">
        <v>2015</v>
      </c>
      <c r="X2508" s="62" t="s">
        <v>7678</v>
      </c>
    </row>
    <row r="2509" spans="1:24" s="13" customFormat="1" ht="76.5" customHeight="1" outlineLevel="1" x14ac:dyDescent="0.2">
      <c r="A2509" s="1" t="s">
        <v>7837</v>
      </c>
      <c r="B2509" s="2" t="s">
        <v>5277</v>
      </c>
      <c r="C2509" s="2" t="s">
        <v>274</v>
      </c>
      <c r="D2509" s="2" t="s">
        <v>5478</v>
      </c>
      <c r="E2509" s="2" t="s">
        <v>273</v>
      </c>
      <c r="F2509" s="2" t="s">
        <v>275</v>
      </c>
      <c r="G2509" s="4" t="s">
        <v>3190</v>
      </c>
      <c r="H2509" s="5">
        <v>0</v>
      </c>
      <c r="I2509" s="6">
        <v>710000000</v>
      </c>
      <c r="J2509" s="4" t="s">
        <v>1931</v>
      </c>
      <c r="K2509" s="4" t="s">
        <v>756</v>
      </c>
      <c r="L2509" s="2" t="s">
        <v>1940</v>
      </c>
      <c r="M2509" s="8" t="s">
        <v>3195</v>
      </c>
      <c r="N2509" s="3" t="s">
        <v>1890</v>
      </c>
      <c r="O2509" s="8" t="s">
        <v>1935</v>
      </c>
      <c r="P2509" s="60" t="s">
        <v>3334</v>
      </c>
      <c r="Q2509" s="3" t="s">
        <v>5477</v>
      </c>
      <c r="R2509" s="69">
        <v>5</v>
      </c>
      <c r="S2509" s="69">
        <v>1146.43</v>
      </c>
      <c r="T2509" s="10">
        <f t="shared" ref="T2509" si="1471">S2509*R2509</f>
        <v>5732.1500000000005</v>
      </c>
      <c r="U2509" s="10">
        <f t="shared" ref="U2509" si="1472">T2509*1.12</f>
        <v>6420.0080000000016</v>
      </c>
      <c r="V2509" s="7"/>
      <c r="W2509" s="1">
        <v>2015</v>
      </c>
      <c r="X2509" s="62"/>
    </row>
    <row r="2510" spans="1:24" s="13" customFormat="1" ht="76.5" customHeight="1" outlineLevel="1" x14ac:dyDescent="0.2">
      <c r="A2510" s="1" t="s">
        <v>4064</v>
      </c>
      <c r="B2510" s="2" t="s">
        <v>5277</v>
      </c>
      <c r="C2510" s="2" t="s">
        <v>274</v>
      </c>
      <c r="D2510" s="2" t="s">
        <v>5478</v>
      </c>
      <c r="E2510" s="2" t="s">
        <v>273</v>
      </c>
      <c r="F2510" s="2" t="s">
        <v>272</v>
      </c>
      <c r="G2510" s="4" t="s">
        <v>1888</v>
      </c>
      <c r="H2510" s="5">
        <v>0</v>
      </c>
      <c r="I2510" s="6">
        <v>710000000</v>
      </c>
      <c r="J2510" s="4" t="s">
        <v>1931</v>
      </c>
      <c r="K2510" s="4" t="s">
        <v>5297</v>
      </c>
      <c r="L2510" s="2" t="s">
        <v>1940</v>
      </c>
      <c r="M2510" s="8" t="s">
        <v>3195</v>
      </c>
      <c r="N2510" s="3" t="s">
        <v>1890</v>
      </c>
      <c r="O2510" s="8" t="s">
        <v>1935</v>
      </c>
      <c r="P2510" s="60" t="s">
        <v>3334</v>
      </c>
      <c r="Q2510" s="3" t="s">
        <v>5477</v>
      </c>
      <c r="R2510" s="69">
        <v>10</v>
      </c>
      <c r="S2510" s="69">
        <v>1146.43</v>
      </c>
      <c r="T2510" s="10">
        <v>0</v>
      </c>
      <c r="U2510" s="10">
        <f t="shared" si="1363"/>
        <v>0</v>
      </c>
      <c r="V2510" s="7"/>
      <c r="W2510" s="1">
        <v>2015</v>
      </c>
      <c r="X2510" s="62" t="s">
        <v>7678</v>
      </c>
    </row>
    <row r="2511" spans="1:24" s="13" customFormat="1" ht="76.5" customHeight="1" outlineLevel="1" x14ac:dyDescent="0.2">
      <c r="A2511" s="1" t="s">
        <v>7838</v>
      </c>
      <c r="B2511" s="2" t="s">
        <v>5277</v>
      </c>
      <c r="C2511" s="2" t="s">
        <v>274</v>
      </c>
      <c r="D2511" s="2" t="s">
        <v>5478</v>
      </c>
      <c r="E2511" s="2" t="s">
        <v>273</v>
      </c>
      <c r="F2511" s="2" t="s">
        <v>272</v>
      </c>
      <c r="G2511" s="4" t="s">
        <v>3190</v>
      </c>
      <c r="H2511" s="5">
        <v>0</v>
      </c>
      <c r="I2511" s="6">
        <v>710000000</v>
      </c>
      <c r="J2511" s="4" t="s">
        <v>1931</v>
      </c>
      <c r="K2511" s="4" t="s">
        <v>756</v>
      </c>
      <c r="L2511" s="2" t="s">
        <v>1940</v>
      </c>
      <c r="M2511" s="8" t="s">
        <v>3195</v>
      </c>
      <c r="N2511" s="3" t="s">
        <v>1890</v>
      </c>
      <c r="O2511" s="8" t="s">
        <v>1935</v>
      </c>
      <c r="P2511" s="60" t="s">
        <v>3334</v>
      </c>
      <c r="Q2511" s="3" t="s">
        <v>5477</v>
      </c>
      <c r="R2511" s="69">
        <v>5</v>
      </c>
      <c r="S2511" s="69">
        <v>1146.43</v>
      </c>
      <c r="T2511" s="10">
        <f t="shared" ref="T2511" si="1473">S2511*R2511</f>
        <v>5732.1500000000005</v>
      </c>
      <c r="U2511" s="10">
        <f t="shared" ref="U2511" si="1474">T2511*1.12</f>
        <v>6420.0080000000016</v>
      </c>
      <c r="V2511" s="7"/>
      <c r="W2511" s="1">
        <v>2015</v>
      </c>
      <c r="X2511" s="62"/>
    </row>
    <row r="2512" spans="1:24" s="13" customFormat="1" ht="76.5" customHeight="1" outlineLevel="1" x14ac:dyDescent="0.2">
      <c r="A2512" s="1" t="s">
        <v>4065</v>
      </c>
      <c r="B2512" s="2" t="s">
        <v>5277</v>
      </c>
      <c r="C2512" s="2" t="s">
        <v>271</v>
      </c>
      <c r="D2512" s="2" t="s">
        <v>270</v>
      </c>
      <c r="E2512" s="2" t="s">
        <v>269</v>
      </c>
      <c r="F2512" s="2"/>
      <c r="G2512" s="4" t="s">
        <v>1888</v>
      </c>
      <c r="H2512" s="5">
        <v>0</v>
      </c>
      <c r="I2512" s="6">
        <v>710000000</v>
      </c>
      <c r="J2512" s="4" t="s">
        <v>1931</v>
      </c>
      <c r="K2512" s="4" t="s">
        <v>5297</v>
      </c>
      <c r="L2512" s="2" t="s">
        <v>1940</v>
      </c>
      <c r="M2512" s="8" t="s">
        <v>3195</v>
      </c>
      <c r="N2512" s="3" t="s">
        <v>1890</v>
      </c>
      <c r="O2512" s="8" t="s">
        <v>1935</v>
      </c>
      <c r="P2512" s="60" t="s">
        <v>3334</v>
      </c>
      <c r="Q2512" s="3" t="s">
        <v>5477</v>
      </c>
      <c r="R2512" s="69">
        <v>100</v>
      </c>
      <c r="S2512" s="69">
        <v>1697.32</v>
      </c>
      <c r="T2512" s="10">
        <v>0</v>
      </c>
      <c r="U2512" s="10">
        <f t="shared" si="1363"/>
        <v>0</v>
      </c>
      <c r="V2512" s="7"/>
      <c r="W2512" s="1">
        <v>2015</v>
      </c>
      <c r="X2512" s="62" t="s">
        <v>7678</v>
      </c>
    </row>
    <row r="2513" spans="1:24" s="13" customFormat="1" ht="76.5" customHeight="1" outlineLevel="1" x14ac:dyDescent="0.2">
      <c r="A2513" s="1" t="s">
        <v>7839</v>
      </c>
      <c r="B2513" s="2" t="s">
        <v>5277</v>
      </c>
      <c r="C2513" s="2" t="s">
        <v>271</v>
      </c>
      <c r="D2513" s="2" t="s">
        <v>270</v>
      </c>
      <c r="E2513" s="2" t="s">
        <v>269</v>
      </c>
      <c r="F2513" s="2"/>
      <c r="G2513" s="4" t="s">
        <v>3190</v>
      </c>
      <c r="H2513" s="5">
        <v>0</v>
      </c>
      <c r="I2513" s="6">
        <v>710000000</v>
      </c>
      <c r="J2513" s="4" t="s">
        <v>1931</v>
      </c>
      <c r="K2513" s="4" t="s">
        <v>756</v>
      </c>
      <c r="L2513" s="2" t="s">
        <v>1940</v>
      </c>
      <c r="M2513" s="8" t="s">
        <v>3195</v>
      </c>
      <c r="N2513" s="3" t="s">
        <v>1890</v>
      </c>
      <c r="O2513" s="8" t="s">
        <v>1935</v>
      </c>
      <c r="P2513" s="60" t="s">
        <v>3334</v>
      </c>
      <c r="Q2513" s="3" t="s">
        <v>5477</v>
      </c>
      <c r="R2513" s="69">
        <v>70</v>
      </c>
      <c r="S2513" s="69">
        <v>1697.32</v>
      </c>
      <c r="T2513" s="10">
        <f t="shared" ref="T2513" si="1475">S2513*R2513</f>
        <v>118812.4</v>
      </c>
      <c r="U2513" s="10">
        <f t="shared" ref="U2513" si="1476">T2513*1.12</f>
        <v>133069.88800000001</v>
      </c>
      <c r="V2513" s="7"/>
      <c r="W2513" s="1">
        <v>2015</v>
      </c>
      <c r="X2513" s="62"/>
    </row>
    <row r="2514" spans="1:24" s="13" customFormat="1" ht="76.5" customHeight="1" outlineLevel="1" x14ac:dyDescent="0.2">
      <c r="A2514" s="1" t="s">
        <v>4066</v>
      </c>
      <c r="B2514" s="2" t="s">
        <v>5277</v>
      </c>
      <c r="C2514" s="2" t="s">
        <v>268</v>
      </c>
      <c r="D2514" s="2" t="s">
        <v>5471</v>
      </c>
      <c r="E2514" s="2" t="s">
        <v>267</v>
      </c>
      <c r="F2514" s="2"/>
      <c r="G2514" s="4" t="s">
        <v>1888</v>
      </c>
      <c r="H2514" s="5">
        <v>0</v>
      </c>
      <c r="I2514" s="6">
        <v>710000000</v>
      </c>
      <c r="J2514" s="4" t="s">
        <v>1931</v>
      </c>
      <c r="K2514" s="4" t="s">
        <v>5297</v>
      </c>
      <c r="L2514" s="2" t="s">
        <v>1940</v>
      </c>
      <c r="M2514" s="8" t="s">
        <v>3195</v>
      </c>
      <c r="N2514" s="3" t="s">
        <v>1890</v>
      </c>
      <c r="O2514" s="8" t="s">
        <v>1935</v>
      </c>
      <c r="P2514" s="60" t="s">
        <v>3334</v>
      </c>
      <c r="Q2514" s="3" t="s">
        <v>5477</v>
      </c>
      <c r="R2514" s="69">
        <v>100</v>
      </c>
      <c r="S2514" s="69">
        <v>1110.71</v>
      </c>
      <c r="T2514" s="10">
        <v>0</v>
      </c>
      <c r="U2514" s="10">
        <f t="shared" si="1363"/>
        <v>0</v>
      </c>
      <c r="V2514" s="7"/>
      <c r="W2514" s="1">
        <v>2015</v>
      </c>
      <c r="X2514" s="62" t="s">
        <v>7678</v>
      </c>
    </row>
    <row r="2515" spans="1:24" s="13" customFormat="1" ht="76.5" customHeight="1" outlineLevel="1" x14ac:dyDescent="0.2">
      <c r="A2515" s="1" t="s">
        <v>7840</v>
      </c>
      <c r="B2515" s="2" t="s">
        <v>5277</v>
      </c>
      <c r="C2515" s="2" t="s">
        <v>268</v>
      </c>
      <c r="D2515" s="2" t="s">
        <v>5471</v>
      </c>
      <c r="E2515" s="2" t="s">
        <v>267</v>
      </c>
      <c r="F2515" s="2"/>
      <c r="G2515" s="4" t="s">
        <v>3190</v>
      </c>
      <c r="H2515" s="5">
        <v>0</v>
      </c>
      <c r="I2515" s="6">
        <v>710000000</v>
      </c>
      <c r="J2515" s="4" t="s">
        <v>1931</v>
      </c>
      <c r="K2515" s="4" t="s">
        <v>756</v>
      </c>
      <c r="L2515" s="2" t="s">
        <v>1940</v>
      </c>
      <c r="M2515" s="8" t="s">
        <v>3195</v>
      </c>
      <c r="N2515" s="3" t="s">
        <v>1890</v>
      </c>
      <c r="O2515" s="8" t="s">
        <v>1935</v>
      </c>
      <c r="P2515" s="60" t="s">
        <v>3334</v>
      </c>
      <c r="Q2515" s="3" t="s">
        <v>5477</v>
      </c>
      <c r="R2515" s="69">
        <v>70</v>
      </c>
      <c r="S2515" s="69">
        <v>1110.71</v>
      </c>
      <c r="T2515" s="10">
        <f t="shared" ref="T2515" si="1477">S2515*R2515</f>
        <v>77749.7</v>
      </c>
      <c r="U2515" s="10">
        <f t="shared" ref="U2515" si="1478">T2515*1.12</f>
        <v>87079.664000000004</v>
      </c>
      <c r="V2515" s="7"/>
      <c r="W2515" s="1">
        <v>2015</v>
      </c>
      <c r="X2515" s="62"/>
    </row>
    <row r="2516" spans="1:24" s="13" customFormat="1" ht="76.5" customHeight="1" outlineLevel="1" x14ac:dyDescent="0.2">
      <c r="A2516" s="1" t="s">
        <v>4067</v>
      </c>
      <c r="B2516" s="2" t="s">
        <v>5277</v>
      </c>
      <c r="C2516" s="2" t="s">
        <v>266</v>
      </c>
      <c r="D2516" s="2" t="s">
        <v>5471</v>
      </c>
      <c r="E2516" s="2" t="s">
        <v>265</v>
      </c>
      <c r="F2516" s="2"/>
      <c r="G2516" s="4" t="s">
        <v>1888</v>
      </c>
      <c r="H2516" s="5">
        <v>0</v>
      </c>
      <c r="I2516" s="6">
        <v>710000000</v>
      </c>
      <c r="J2516" s="4" t="s">
        <v>1931</v>
      </c>
      <c r="K2516" s="4" t="s">
        <v>5297</v>
      </c>
      <c r="L2516" s="2" t="s">
        <v>1940</v>
      </c>
      <c r="M2516" s="8" t="s">
        <v>3195</v>
      </c>
      <c r="N2516" s="3" t="s">
        <v>1890</v>
      </c>
      <c r="O2516" s="8" t="s">
        <v>1935</v>
      </c>
      <c r="P2516" s="60" t="s">
        <v>3334</v>
      </c>
      <c r="Q2516" s="3" t="s">
        <v>5477</v>
      </c>
      <c r="R2516" s="69">
        <v>100</v>
      </c>
      <c r="S2516" s="69">
        <v>1146.43</v>
      </c>
      <c r="T2516" s="10">
        <v>0</v>
      </c>
      <c r="U2516" s="10">
        <f t="shared" si="1363"/>
        <v>0</v>
      </c>
      <c r="V2516" s="7"/>
      <c r="W2516" s="1">
        <v>2015</v>
      </c>
      <c r="X2516" s="62" t="s">
        <v>7678</v>
      </c>
    </row>
    <row r="2517" spans="1:24" s="13" customFormat="1" ht="76.5" customHeight="1" outlineLevel="1" x14ac:dyDescent="0.2">
      <c r="A2517" s="1" t="s">
        <v>7841</v>
      </c>
      <c r="B2517" s="2" t="s">
        <v>5277</v>
      </c>
      <c r="C2517" s="2" t="s">
        <v>266</v>
      </c>
      <c r="D2517" s="2" t="s">
        <v>5471</v>
      </c>
      <c r="E2517" s="2" t="s">
        <v>265</v>
      </c>
      <c r="F2517" s="2"/>
      <c r="G2517" s="4" t="s">
        <v>3190</v>
      </c>
      <c r="H2517" s="5">
        <v>0</v>
      </c>
      <c r="I2517" s="6">
        <v>710000000</v>
      </c>
      <c r="J2517" s="4" t="s">
        <v>1931</v>
      </c>
      <c r="K2517" s="4" t="s">
        <v>756</v>
      </c>
      <c r="L2517" s="2" t="s">
        <v>1940</v>
      </c>
      <c r="M2517" s="8" t="s">
        <v>3195</v>
      </c>
      <c r="N2517" s="3" t="s">
        <v>1890</v>
      </c>
      <c r="O2517" s="8" t="s">
        <v>1935</v>
      </c>
      <c r="P2517" s="60" t="s">
        <v>3334</v>
      </c>
      <c r="Q2517" s="3" t="s">
        <v>5477</v>
      </c>
      <c r="R2517" s="69">
        <v>70</v>
      </c>
      <c r="S2517" s="69">
        <v>1146.43</v>
      </c>
      <c r="T2517" s="10">
        <f t="shared" ref="T2517" si="1479">S2517*R2517</f>
        <v>80250.100000000006</v>
      </c>
      <c r="U2517" s="10">
        <f t="shared" ref="U2517" si="1480">T2517*1.12</f>
        <v>89880.112000000008</v>
      </c>
      <c r="V2517" s="7"/>
      <c r="W2517" s="1">
        <v>2015</v>
      </c>
      <c r="X2517" s="62"/>
    </row>
    <row r="2518" spans="1:24" s="13" customFormat="1" ht="76.5" customHeight="1" outlineLevel="1" x14ac:dyDescent="0.2">
      <c r="A2518" s="1" t="s">
        <v>4068</v>
      </c>
      <c r="B2518" s="2" t="s">
        <v>5277</v>
      </c>
      <c r="C2518" s="2" t="s">
        <v>264</v>
      </c>
      <c r="D2518" s="2" t="s">
        <v>3086</v>
      </c>
      <c r="E2518" s="2" t="s">
        <v>263</v>
      </c>
      <c r="F2518" s="2"/>
      <c r="G2518" s="4" t="s">
        <v>1888</v>
      </c>
      <c r="H2518" s="5">
        <v>0</v>
      </c>
      <c r="I2518" s="6">
        <v>710000000</v>
      </c>
      <c r="J2518" s="4" t="s">
        <v>1931</v>
      </c>
      <c r="K2518" s="4" t="s">
        <v>5297</v>
      </c>
      <c r="L2518" s="2" t="s">
        <v>1940</v>
      </c>
      <c r="M2518" s="8" t="s">
        <v>3195</v>
      </c>
      <c r="N2518" s="3" t="s">
        <v>1890</v>
      </c>
      <c r="O2518" s="8" t="s">
        <v>1935</v>
      </c>
      <c r="P2518" s="60" t="s">
        <v>3010</v>
      </c>
      <c r="Q2518" s="3" t="s">
        <v>3009</v>
      </c>
      <c r="R2518" s="69">
        <f>800+20</f>
        <v>820</v>
      </c>
      <c r="S2518" s="69">
        <v>292.86</v>
      </c>
      <c r="T2518" s="10">
        <v>0</v>
      </c>
      <c r="U2518" s="10">
        <f t="shared" si="1363"/>
        <v>0</v>
      </c>
      <c r="V2518" s="7"/>
      <c r="W2518" s="1">
        <v>2015</v>
      </c>
      <c r="X2518" s="62" t="s">
        <v>7678</v>
      </c>
    </row>
    <row r="2519" spans="1:24" s="13" customFormat="1" ht="76.5" customHeight="1" outlineLevel="1" x14ac:dyDescent="0.2">
      <c r="A2519" s="1" t="s">
        <v>7842</v>
      </c>
      <c r="B2519" s="2" t="s">
        <v>5277</v>
      </c>
      <c r="C2519" s="2" t="s">
        <v>264</v>
      </c>
      <c r="D2519" s="2" t="s">
        <v>3086</v>
      </c>
      <c r="E2519" s="2" t="s">
        <v>263</v>
      </c>
      <c r="F2519" s="2"/>
      <c r="G2519" s="4" t="s">
        <v>3190</v>
      </c>
      <c r="H2519" s="5">
        <v>0</v>
      </c>
      <c r="I2519" s="6">
        <v>710000000</v>
      </c>
      <c r="J2519" s="4" t="s">
        <v>1931</v>
      </c>
      <c r="K2519" s="4" t="s">
        <v>756</v>
      </c>
      <c r="L2519" s="2" t="s">
        <v>1940</v>
      </c>
      <c r="M2519" s="8" t="s">
        <v>3195</v>
      </c>
      <c r="N2519" s="3" t="s">
        <v>1890</v>
      </c>
      <c r="O2519" s="8" t="s">
        <v>1935</v>
      </c>
      <c r="P2519" s="60" t="s">
        <v>3010</v>
      </c>
      <c r="Q2519" s="3" t="s">
        <v>3009</v>
      </c>
      <c r="R2519" s="69">
        <f>500</f>
        <v>500</v>
      </c>
      <c r="S2519" s="69">
        <v>292.86</v>
      </c>
      <c r="T2519" s="10">
        <f t="shared" ref="T2519" si="1481">S2519*R2519</f>
        <v>146430</v>
      </c>
      <c r="U2519" s="10">
        <f t="shared" ref="U2519" si="1482">T2519*1.12</f>
        <v>164001.60000000001</v>
      </c>
      <c r="V2519" s="7"/>
      <c r="W2519" s="1">
        <v>2015</v>
      </c>
      <c r="X2519" s="62"/>
    </row>
    <row r="2520" spans="1:24" s="13" customFormat="1" ht="76.5" customHeight="1" outlineLevel="1" x14ac:dyDescent="0.2">
      <c r="A2520" s="1" t="s">
        <v>4069</v>
      </c>
      <c r="B2520" s="38" t="s">
        <v>5277</v>
      </c>
      <c r="C2520" s="2" t="s">
        <v>262</v>
      </c>
      <c r="D2520" s="2" t="s">
        <v>261</v>
      </c>
      <c r="E2520" s="2" t="s">
        <v>260</v>
      </c>
      <c r="F2520" s="39"/>
      <c r="G2520" s="4" t="s">
        <v>1888</v>
      </c>
      <c r="H2520" s="5">
        <v>0</v>
      </c>
      <c r="I2520" s="6">
        <v>710000000</v>
      </c>
      <c r="J2520" s="4" t="s">
        <v>1931</v>
      </c>
      <c r="K2520" s="4" t="s">
        <v>5297</v>
      </c>
      <c r="L2520" s="2" t="s">
        <v>1940</v>
      </c>
      <c r="M2520" s="8" t="s">
        <v>3195</v>
      </c>
      <c r="N2520" s="3" t="s">
        <v>1890</v>
      </c>
      <c r="O2520" s="8" t="s">
        <v>1935</v>
      </c>
      <c r="P2520" s="60" t="s">
        <v>3334</v>
      </c>
      <c r="Q2520" s="3" t="s">
        <v>5477</v>
      </c>
      <c r="R2520" s="9">
        <f>5+5</f>
        <v>10</v>
      </c>
      <c r="S2520" s="9">
        <v>821.43</v>
      </c>
      <c r="T2520" s="10">
        <v>0</v>
      </c>
      <c r="U2520" s="10">
        <f t="shared" si="1363"/>
        <v>0</v>
      </c>
      <c r="V2520" s="7"/>
      <c r="W2520" s="11">
        <v>2015</v>
      </c>
      <c r="X2520" s="12" t="s">
        <v>6562</v>
      </c>
    </row>
    <row r="2521" spans="1:24" s="13" customFormat="1" ht="76.5" customHeight="1" outlineLevel="1" x14ac:dyDescent="0.2">
      <c r="A2521" s="1" t="s">
        <v>6674</v>
      </c>
      <c r="B2521" s="2" t="s">
        <v>5277</v>
      </c>
      <c r="C2521" s="2" t="s">
        <v>262</v>
      </c>
      <c r="D2521" s="2" t="s">
        <v>261</v>
      </c>
      <c r="E2521" s="2" t="s">
        <v>260</v>
      </c>
      <c r="F2521" s="2"/>
      <c r="G2521" s="4" t="s">
        <v>1888</v>
      </c>
      <c r="H2521" s="5">
        <v>0</v>
      </c>
      <c r="I2521" s="6">
        <v>710000000</v>
      </c>
      <c r="J2521" s="4" t="s">
        <v>1931</v>
      </c>
      <c r="K2521" s="4" t="s">
        <v>5297</v>
      </c>
      <c r="L2521" s="2" t="s">
        <v>1940</v>
      </c>
      <c r="M2521" s="8" t="s">
        <v>3195</v>
      </c>
      <c r="N2521" s="3" t="s">
        <v>1890</v>
      </c>
      <c r="O2521" s="8" t="s">
        <v>1935</v>
      </c>
      <c r="P2521" s="60" t="s">
        <v>3334</v>
      </c>
      <c r="Q2521" s="3" t="s">
        <v>5477</v>
      </c>
      <c r="R2521" s="69">
        <v>5</v>
      </c>
      <c r="S2521" s="69">
        <v>821.43</v>
      </c>
      <c r="T2521" s="10">
        <v>0</v>
      </c>
      <c r="U2521" s="10">
        <f t="shared" si="1363"/>
        <v>0</v>
      </c>
      <c r="V2521" s="7"/>
      <c r="W2521" s="1">
        <v>2015</v>
      </c>
      <c r="X2521" s="62" t="s">
        <v>7678</v>
      </c>
    </row>
    <row r="2522" spans="1:24" s="13" customFormat="1" ht="76.5" outlineLevel="1" x14ac:dyDescent="0.2">
      <c r="A2522" s="1" t="s">
        <v>7843</v>
      </c>
      <c r="B2522" s="2" t="s">
        <v>5277</v>
      </c>
      <c r="C2522" s="2" t="s">
        <v>262</v>
      </c>
      <c r="D2522" s="2" t="s">
        <v>261</v>
      </c>
      <c r="E2522" s="2" t="s">
        <v>260</v>
      </c>
      <c r="F2522" s="2"/>
      <c r="G2522" s="4" t="s">
        <v>3190</v>
      </c>
      <c r="H2522" s="5">
        <v>0</v>
      </c>
      <c r="I2522" s="6">
        <v>710000000</v>
      </c>
      <c r="J2522" s="4" t="s">
        <v>1931</v>
      </c>
      <c r="K2522" s="4" t="s">
        <v>756</v>
      </c>
      <c r="L2522" s="2" t="s">
        <v>1940</v>
      </c>
      <c r="M2522" s="8" t="s">
        <v>3195</v>
      </c>
      <c r="N2522" s="3" t="s">
        <v>1890</v>
      </c>
      <c r="O2522" s="8" t="s">
        <v>1935</v>
      </c>
      <c r="P2522" s="60" t="s">
        <v>3334</v>
      </c>
      <c r="Q2522" s="3" t="s">
        <v>5477</v>
      </c>
      <c r="R2522" s="69">
        <v>3</v>
      </c>
      <c r="S2522" s="69">
        <v>821.43</v>
      </c>
      <c r="T2522" s="10">
        <f t="shared" ref="T2522" si="1483">S2522*R2522</f>
        <v>2464.29</v>
      </c>
      <c r="U2522" s="10">
        <f t="shared" ref="U2522" si="1484">T2522*1.12</f>
        <v>2760.0048000000002</v>
      </c>
      <c r="V2522" s="7"/>
      <c r="W2522" s="1">
        <v>2015</v>
      </c>
      <c r="X2522" s="62" t="s">
        <v>7518</v>
      </c>
    </row>
    <row r="2523" spans="1:24" s="13" customFormat="1" ht="76.5" outlineLevel="1" x14ac:dyDescent="0.2">
      <c r="A2523" s="1" t="s">
        <v>9289</v>
      </c>
      <c r="B2523" s="2" t="s">
        <v>5277</v>
      </c>
      <c r="C2523" s="2" t="s">
        <v>262</v>
      </c>
      <c r="D2523" s="2" t="s">
        <v>261</v>
      </c>
      <c r="E2523" s="2" t="s">
        <v>260</v>
      </c>
      <c r="F2523" s="2"/>
      <c r="G2523" s="4" t="s">
        <v>3190</v>
      </c>
      <c r="H2523" s="5">
        <v>0</v>
      </c>
      <c r="I2523" s="6">
        <v>710000000</v>
      </c>
      <c r="J2523" s="4" t="s">
        <v>1931</v>
      </c>
      <c r="K2523" s="4" t="s">
        <v>9276</v>
      </c>
      <c r="L2523" s="2" t="s">
        <v>1940</v>
      </c>
      <c r="M2523" s="8" t="s">
        <v>3195</v>
      </c>
      <c r="N2523" s="3" t="s">
        <v>1890</v>
      </c>
      <c r="O2523" s="8" t="s">
        <v>1935</v>
      </c>
      <c r="P2523" s="60" t="s">
        <v>3334</v>
      </c>
      <c r="Q2523" s="3" t="s">
        <v>5477</v>
      </c>
      <c r="R2523" s="69">
        <f>3+10</f>
        <v>13</v>
      </c>
      <c r="S2523" s="69">
        <v>821.43</v>
      </c>
      <c r="T2523" s="10">
        <f t="shared" ref="T2523" si="1485">S2523*R2523</f>
        <v>10678.59</v>
      </c>
      <c r="U2523" s="10">
        <f t="shared" ref="U2523" si="1486">T2523*1.12</f>
        <v>11960.020800000002</v>
      </c>
      <c r="V2523" s="7"/>
      <c r="W2523" s="1">
        <v>2015</v>
      </c>
      <c r="X2523" s="62"/>
    </row>
    <row r="2524" spans="1:24" s="13" customFormat="1" ht="76.5" customHeight="1" outlineLevel="1" x14ac:dyDescent="0.2">
      <c r="A2524" s="1" t="s">
        <v>4070</v>
      </c>
      <c r="B2524" s="2" t="s">
        <v>5277</v>
      </c>
      <c r="C2524" s="6" t="s">
        <v>259</v>
      </c>
      <c r="D2524" s="6" t="s">
        <v>5224</v>
      </c>
      <c r="E2524" s="6" t="s">
        <v>258</v>
      </c>
      <c r="F2524" s="2"/>
      <c r="G2524" s="4" t="s">
        <v>1888</v>
      </c>
      <c r="H2524" s="5">
        <v>0</v>
      </c>
      <c r="I2524" s="6">
        <v>710000000</v>
      </c>
      <c r="J2524" s="4" t="s">
        <v>1931</v>
      </c>
      <c r="K2524" s="4" t="s">
        <v>5297</v>
      </c>
      <c r="L2524" s="2" t="s">
        <v>1940</v>
      </c>
      <c r="M2524" s="8" t="s">
        <v>3195</v>
      </c>
      <c r="N2524" s="3" t="s">
        <v>1890</v>
      </c>
      <c r="O2524" s="8" t="s">
        <v>1935</v>
      </c>
      <c r="P2524" s="62">
        <v>166</v>
      </c>
      <c r="Q2524" s="3" t="s">
        <v>3324</v>
      </c>
      <c r="R2524" s="69">
        <f>20+30</f>
        <v>50</v>
      </c>
      <c r="S2524" s="69">
        <v>80</v>
      </c>
      <c r="T2524" s="10">
        <v>0</v>
      </c>
      <c r="U2524" s="10">
        <f t="shared" si="1363"/>
        <v>0</v>
      </c>
      <c r="V2524" s="7"/>
      <c r="W2524" s="1">
        <v>2015</v>
      </c>
      <c r="X2524" s="62" t="s">
        <v>7678</v>
      </c>
    </row>
    <row r="2525" spans="1:24" s="13" customFormat="1" ht="76.5" customHeight="1" outlineLevel="1" x14ac:dyDescent="0.2">
      <c r="A2525" s="1" t="s">
        <v>7844</v>
      </c>
      <c r="B2525" s="2" t="s">
        <v>5277</v>
      </c>
      <c r="C2525" s="6" t="s">
        <v>259</v>
      </c>
      <c r="D2525" s="6" t="s">
        <v>5224</v>
      </c>
      <c r="E2525" s="6" t="s">
        <v>258</v>
      </c>
      <c r="F2525" s="2"/>
      <c r="G2525" s="4" t="s">
        <v>3190</v>
      </c>
      <c r="H2525" s="5">
        <v>0</v>
      </c>
      <c r="I2525" s="6">
        <v>710000000</v>
      </c>
      <c r="J2525" s="4" t="s">
        <v>1931</v>
      </c>
      <c r="K2525" s="4" t="s">
        <v>756</v>
      </c>
      <c r="L2525" s="2" t="s">
        <v>1940</v>
      </c>
      <c r="M2525" s="8" t="s">
        <v>3195</v>
      </c>
      <c r="N2525" s="3" t="s">
        <v>1890</v>
      </c>
      <c r="O2525" s="8" t="s">
        <v>1935</v>
      </c>
      <c r="P2525" s="62">
        <v>166</v>
      </c>
      <c r="Q2525" s="3" t="s">
        <v>3324</v>
      </c>
      <c r="R2525" s="69">
        <v>20</v>
      </c>
      <c r="S2525" s="69">
        <v>80</v>
      </c>
      <c r="T2525" s="10">
        <f t="shared" ref="T2525" si="1487">S2525*R2525</f>
        <v>1600</v>
      </c>
      <c r="U2525" s="10">
        <f t="shared" ref="U2525" si="1488">T2525*1.12</f>
        <v>1792.0000000000002</v>
      </c>
      <c r="V2525" s="7"/>
      <c r="W2525" s="1">
        <v>2015</v>
      </c>
      <c r="X2525" s="62"/>
    </row>
    <row r="2526" spans="1:24" s="13" customFormat="1" ht="76.5" customHeight="1" outlineLevel="1" x14ac:dyDescent="0.2">
      <c r="A2526" s="1" t="s">
        <v>4071</v>
      </c>
      <c r="B2526" s="38" t="s">
        <v>5277</v>
      </c>
      <c r="C2526" s="2" t="s">
        <v>3096</v>
      </c>
      <c r="D2526" s="2" t="s">
        <v>5241</v>
      </c>
      <c r="E2526" s="6" t="s">
        <v>5227</v>
      </c>
      <c r="F2526" s="52" t="s">
        <v>5242</v>
      </c>
      <c r="G2526" s="4" t="s">
        <v>1888</v>
      </c>
      <c r="H2526" s="5">
        <v>0</v>
      </c>
      <c r="I2526" s="6">
        <v>710000000</v>
      </c>
      <c r="J2526" s="4" t="s">
        <v>1931</v>
      </c>
      <c r="K2526" s="4" t="s">
        <v>5297</v>
      </c>
      <c r="L2526" s="3" t="s">
        <v>1165</v>
      </c>
      <c r="M2526" s="8" t="s">
        <v>3195</v>
      </c>
      <c r="N2526" s="3" t="s">
        <v>1890</v>
      </c>
      <c r="O2526" s="8" t="s">
        <v>1935</v>
      </c>
      <c r="P2526" s="60" t="s">
        <v>3332</v>
      </c>
      <c r="Q2526" s="3" t="s">
        <v>5475</v>
      </c>
      <c r="R2526" s="9">
        <f>8+6+15</f>
        <v>29</v>
      </c>
      <c r="S2526" s="9">
        <v>6531.25</v>
      </c>
      <c r="T2526" s="10">
        <v>0</v>
      </c>
      <c r="U2526" s="10">
        <f t="shared" si="1363"/>
        <v>0</v>
      </c>
      <c r="V2526" s="7"/>
      <c r="W2526" s="11">
        <v>2015</v>
      </c>
      <c r="X2526" s="12" t="s">
        <v>6562</v>
      </c>
    </row>
    <row r="2527" spans="1:24" s="13" customFormat="1" ht="76.5" customHeight="1" outlineLevel="1" x14ac:dyDescent="0.2">
      <c r="A2527" s="1" t="s">
        <v>6675</v>
      </c>
      <c r="B2527" s="2" t="s">
        <v>5277</v>
      </c>
      <c r="C2527" s="2" t="s">
        <v>3096</v>
      </c>
      <c r="D2527" s="2" t="s">
        <v>5241</v>
      </c>
      <c r="E2527" s="6" t="s">
        <v>5227</v>
      </c>
      <c r="F2527" s="52" t="s">
        <v>5242</v>
      </c>
      <c r="G2527" s="4" t="s">
        <v>1888</v>
      </c>
      <c r="H2527" s="5">
        <v>0</v>
      </c>
      <c r="I2527" s="6">
        <v>710000000</v>
      </c>
      <c r="J2527" s="4" t="s">
        <v>1931</v>
      </c>
      <c r="K2527" s="4" t="s">
        <v>5297</v>
      </c>
      <c r="L2527" s="3" t="s">
        <v>1165</v>
      </c>
      <c r="M2527" s="8" t="s">
        <v>3195</v>
      </c>
      <c r="N2527" s="3" t="s">
        <v>1890</v>
      </c>
      <c r="O2527" s="8" t="s">
        <v>1935</v>
      </c>
      <c r="P2527" s="60" t="s">
        <v>3332</v>
      </c>
      <c r="Q2527" s="3" t="s">
        <v>5475</v>
      </c>
      <c r="R2527" s="69">
        <f>8+5+15</f>
        <v>28</v>
      </c>
      <c r="S2527" s="69">
        <v>6531.25</v>
      </c>
      <c r="T2527" s="10">
        <v>0</v>
      </c>
      <c r="U2527" s="10">
        <f t="shared" si="1363"/>
        <v>0</v>
      </c>
      <c r="V2527" s="7"/>
      <c r="W2527" s="1">
        <v>2015</v>
      </c>
      <c r="X2527" s="62" t="s">
        <v>7678</v>
      </c>
    </row>
    <row r="2528" spans="1:24" s="13" customFormat="1" ht="76.5" customHeight="1" outlineLevel="1" x14ac:dyDescent="0.2">
      <c r="A2528" s="1" t="s">
        <v>7845</v>
      </c>
      <c r="B2528" s="2" t="s">
        <v>5277</v>
      </c>
      <c r="C2528" s="2" t="s">
        <v>3096</v>
      </c>
      <c r="D2528" s="2" t="s">
        <v>5241</v>
      </c>
      <c r="E2528" s="6" t="s">
        <v>5227</v>
      </c>
      <c r="F2528" s="52" t="s">
        <v>5242</v>
      </c>
      <c r="G2528" s="4" t="s">
        <v>3190</v>
      </c>
      <c r="H2528" s="5">
        <v>0</v>
      </c>
      <c r="I2528" s="6">
        <v>710000000</v>
      </c>
      <c r="J2528" s="4" t="s">
        <v>1931</v>
      </c>
      <c r="K2528" s="4" t="s">
        <v>756</v>
      </c>
      <c r="L2528" s="3" t="s">
        <v>1165</v>
      </c>
      <c r="M2528" s="8" t="s">
        <v>3195</v>
      </c>
      <c r="N2528" s="3" t="s">
        <v>1890</v>
      </c>
      <c r="O2528" s="8" t="s">
        <v>1935</v>
      </c>
      <c r="P2528" s="60" t="s">
        <v>3332</v>
      </c>
      <c r="Q2528" s="3" t="s">
        <v>5475</v>
      </c>
      <c r="R2528" s="69">
        <f>5+4+12</f>
        <v>21</v>
      </c>
      <c r="S2528" s="69">
        <v>6531.25</v>
      </c>
      <c r="T2528" s="10">
        <f t="shared" ref="T2528" si="1489">S2528*R2528</f>
        <v>137156.25</v>
      </c>
      <c r="U2528" s="10">
        <f t="shared" ref="U2528" si="1490">T2528*1.12</f>
        <v>153615.00000000003</v>
      </c>
      <c r="V2528" s="7"/>
      <c r="W2528" s="1">
        <v>2015</v>
      </c>
      <c r="X2528" s="62"/>
    </row>
    <row r="2529" spans="1:24" s="13" customFormat="1" ht="76.5" customHeight="1" outlineLevel="1" x14ac:dyDescent="0.2">
      <c r="A2529" s="1" t="s">
        <v>4072</v>
      </c>
      <c r="B2529" s="2" t="s">
        <v>5277</v>
      </c>
      <c r="C2529" s="2" t="s">
        <v>257</v>
      </c>
      <c r="D2529" s="2" t="s">
        <v>5235</v>
      </c>
      <c r="E2529" s="2" t="s">
        <v>256</v>
      </c>
      <c r="F2529" s="6" t="s">
        <v>255</v>
      </c>
      <c r="G2529" s="4" t="s">
        <v>1888</v>
      </c>
      <c r="H2529" s="5">
        <v>0</v>
      </c>
      <c r="I2529" s="6">
        <v>710000000</v>
      </c>
      <c r="J2529" s="4" t="s">
        <v>1931</v>
      </c>
      <c r="K2529" s="4" t="s">
        <v>5297</v>
      </c>
      <c r="L2529" s="2" t="s">
        <v>1940</v>
      </c>
      <c r="M2529" s="8" t="s">
        <v>3195</v>
      </c>
      <c r="N2529" s="3" t="s">
        <v>1890</v>
      </c>
      <c r="O2529" s="8" t="s">
        <v>1935</v>
      </c>
      <c r="P2529" s="60" t="s">
        <v>3334</v>
      </c>
      <c r="Q2529" s="3" t="s">
        <v>5477</v>
      </c>
      <c r="R2529" s="69">
        <v>100</v>
      </c>
      <c r="S2529" s="69">
        <v>2006.25</v>
      </c>
      <c r="T2529" s="10">
        <v>0</v>
      </c>
      <c r="U2529" s="10">
        <f t="shared" si="1363"/>
        <v>0</v>
      </c>
      <c r="V2529" s="7"/>
      <c r="W2529" s="1">
        <v>2015</v>
      </c>
      <c r="X2529" s="62" t="s">
        <v>7678</v>
      </c>
    </row>
    <row r="2530" spans="1:24" s="13" customFormat="1" ht="76.5" customHeight="1" outlineLevel="1" x14ac:dyDescent="0.2">
      <c r="A2530" s="1" t="s">
        <v>7846</v>
      </c>
      <c r="B2530" s="2" t="s">
        <v>5277</v>
      </c>
      <c r="C2530" s="2" t="s">
        <v>257</v>
      </c>
      <c r="D2530" s="2" t="s">
        <v>5235</v>
      </c>
      <c r="E2530" s="2" t="s">
        <v>256</v>
      </c>
      <c r="F2530" s="6" t="s">
        <v>255</v>
      </c>
      <c r="G2530" s="4" t="s">
        <v>3190</v>
      </c>
      <c r="H2530" s="5">
        <v>0</v>
      </c>
      <c r="I2530" s="6">
        <v>710000000</v>
      </c>
      <c r="J2530" s="4" t="s">
        <v>1931</v>
      </c>
      <c r="K2530" s="4" t="s">
        <v>756</v>
      </c>
      <c r="L2530" s="2" t="s">
        <v>1940</v>
      </c>
      <c r="M2530" s="8" t="s">
        <v>3195</v>
      </c>
      <c r="N2530" s="3" t="s">
        <v>1890</v>
      </c>
      <c r="O2530" s="8" t="s">
        <v>1935</v>
      </c>
      <c r="P2530" s="60" t="s">
        <v>3334</v>
      </c>
      <c r="Q2530" s="3" t="s">
        <v>5477</v>
      </c>
      <c r="R2530" s="69">
        <v>70</v>
      </c>
      <c r="S2530" s="69">
        <v>2006.25</v>
      </c>
      <c r="T2530" s="10">
        <f t="shared" ref="T2530" si="1491">S2530*R2530</f>
        <v>140437.5</v>
      </c>
      <c r="U2530" s="10">
        <f t="shared" ref="U2530" si="1492">T2530*1.12</f>
        <v>157290.00000000003</v>
      </c>
      <c r="V2530" s="7"/>
      <c r="W2530" s="1">
        <v>2015</v>
      </c>
      <c r="X2530" s="62"/>
    </row>
    <row r="2531" spans="1:24" s="13" customFormat="1" ht="76.5" customHeight="1" outlineLevel="1" x14ac:dyDescent="0.2">
      <c r="A2531" s="1" t="s">
        <v>4073</v>
      </c>
      <c r="B2531" s="2" t="s">
        <v>5277</v>
      </c>
      <c r="C2531" s="2" t="s">
        <v>3090</v>
      </c>
      <c r="D2531" s="2" t="s">
        <v>3091</v>
      </c>
      <c r="E2531" s="6" t="s">
        <v>5215</v>
      </c>
      <c r="F2531" s="2"/>
      <c r="G2531" s="4" t="s">
        <v>1888</v>
      </c>
      <c r="H2531" s="5">
        <v>0</v>
      </c>
      <c r="I2531" s="6">
        <v>710000000</v>
      </c>
      <c r="J2531" s="4" t="s">
        <v>1931</v>
      </c>
      <c r="K2531" s="4" t="s">
        <v>5297</v>
      </c>
      <c r="L2531" s="2" t="s">
        <v>1940</v>
      </c>
      <c r="M2531" s="8" t="s">
        <v>3195</v>
      </c>
      <c r="N2531" s="3" t="s">
        <v>1890</v>
      </c>
      <c r="O2531" s="8" t="s">
        <v>1935</v>
      </c>
      <c r="P2531" s="8">
        <v>796</v>
      </c>
      <c r="Q2531" s="8" t="s">
        <v>3196</v>
      </c>
      <c r="R2531" s="69">
        <v>10</v>
      </c>
      <c r="S2531" s="69">
        <v>606.25</v>
      </c>
      <c r="T2531" s="10">
        <v>0</v>
      </c>
      <c r="U2531" s="10">
        <f t="shared" si="1363"/>
        <v>0</v>
      </c>
      <c r="V2531" s="7"/>
      <c r="W2531" s="1">
        <v>2015</v>
      </c>
      <c r="X2531" s="62">
        <v>7.11</v>
      </c>
    </row>
    <row r="2532" spans="1:24" s="13" customFormat="1" ht="76.5" customHeight="1" outlineLevel="1" x14ac:dyDescent="0.2">
      <c r="A2532" s="1" t="s">
        <v>7847</v>
      </c>
      <c r="B2532" s="2" t="s">
        <v>5277</v>
      </c>
      <c r="C2532" s="2" t="s">
        <v>3090</v>
      </c>
      <c r="D2532" s="2" t="s">
        <v>3091</v>
      </c>
      <c r="E2532" s="6" t="s">
        <v>5215</v>
      </c>
      <c r="F2532" s="2"/>
      <c r="G2532" s="4" t="s">
        <v>3190</v>
      </c>
      <c r="H2532" s="5">
        <v>0</v>
      </c>
      <c r="I2532" s="6">
        <v>710000000</v>
      </c>
      <c r="J2532" s="4" t="s">
        <v>1931</v>
      </c>
      <c r="K2532" s="4" t="s">
        <v>756</v>
      </c>
      <c r="L2532" s="2" t="s">
        <v>1940</v>
      </c>
      <c r="M2532" s="8" t="s">
        <v>3195</v>
      </c>
      <c r="N2532" s="3" t="s">
        <v>1890</v>
      </c>
      <c r="O2532" s="8" t="s">
        <v>1935</v>
      </c>
      <c r="P2532" s="8">
        <v>796</v>
      </c>
      <c r="Q2532" s="8" t="s">
        <v>3196</v>
      </c>
      <c r="R2532" s="69">
        <v>10</v>
      </c>
      <c r="S2532" s="69">
        <v>606.25</v>
      </c>
      <c r="T2532" s="10">
        <v>0</v>
      </c>
      <c r="U2532" s="10">
        <f t="shared" ref="U2532" si="1493">T2532*1.12</f>
        <v>0</v>
      </c>
      <c r="V2532" s="7"/>
      <c r="W2532" s="1">
        <v>2015</v>
      </c>
      <c r="X2532" s="62" t="s">
        <v>7518</v>
      </c>
    </row>
    <row r="2533" spans="1:24" s="13" customFormat="1" ht="76.5" customHeight="1" outlineLevel="1" x14ac:dyDescent="0.2">
      <c r="A2533" s="1" t="s">
        <v>9529</v>
      </c>
      <c r="B2533" s="2" t="s">
        <v>5277</v>
      </c>
      <c r="C2533" s="2" t="s">
        <v>3090</v>
      </c>
      <c r="D2533" s="2" t="s">
        <v>3091</v>
      </c>
      <c r="E2533" s="6" t="s">
        <v>5215</v>
      </c>
      <c r="F2533" s="2"/>
      <c r="G2533" s="4" t="s">
        <v>3190</v>
      </c>
      <c r="H2533" s="5">
        <v>0</v>
      </c>
      <c r="I2533" s="6">
        <v>710000000</v>
      </c>
      <c r="J2533" s="4" t="s">
        <v>1931</v>
      </c>
      <c r="K2533" s="4" t="s">
        <v>9276</v>
      </c>
      <c r="L2533" s="2" t="s">
        <v>1940</v>
      </c>
      <c r="M2533" s="8" t="s">
        <v>3195</v>
      </c>
      <c r="N2533" s="3" t="s">
        <v>1890</v>
      </c>
      <c r="O2533" s="8" t="s">
        <v>1935</v>
      </c>
      <c r="P2533" s="8">
        <v>796</v>
      </c>
      <c r="Q2533" s="8" t="s">
        <v>3196</v>
      </c>
      <c r="R2533" s="69">
        <f>10+5</f>
        <v>15</v>
      </c>
      <c r="S2533" s="69">
        <v>606.25</v>
      </c>
      <c r="T2533" s="10">
        <f t="shared" ref="T2533" si="1494">S2533*R2533</f>
        <v>9093.75</v>
      </c>
      <c r="U2533" s="10">
        <f t="shared" ref="U2533" si="1495">T2533*1.12</f>
        <v>10185.000000000002</v>
      </c>
      <c r="V2533" s="7"/>
      <c r="W2533" s="1">
        <v>2015</v>
      </c>
      <c r="X2533" s="62"/>
    </row>
    <row r="2534" spans="1:24" s="13" customFormat="1" ht="76.5" customHeight="1" outlineLevel="1" x14ac:dyDescent="0.2">
      <c r="A2534" s="1" t="s">
        <v>4074</v>
      </c>
      <c r="B2534" s="38" t="s">
        <v>5277</v>
      </c>
      <c r="C2534" s="2" t="s">
        <v>254</v>
      </c>
      <c r="D2534" s="2" t="s">
        <v>5229</v>
      </c>
      <c r="E2534" s="2" t="s">
        <v>253</v>
      </c>
      <c r="F2534" s="75"/>
      <c r="G2534" s="4" t="s">
        <v>1888</v>
      </c>
      <c r="H2534" s="5">
        <v>0</v>
      </c>
      <c r="I2534" s="6">
        <v>710000000</v>
      </c>
      <c r="J2534" s="4" t="s">
        <v>1931</v>
      </c>
      <c r="K2534" s="4" t="s">
        <v>5297</v>
      </c>
      <c r="L2534" s="3" t="s">
        <v>1165</v>
      </c>
      <c r="M2534" s="8" t="s">
        <v>3195</v>
      </c>
      <c r="N2534" s="3" t="s">
        <v>1890</v>
      </c>
      <c r="O2534" s="8" t="s">
        <v>1935</v>
      </c>
      <c r="P2534" s="3">
        <v>166</v>
      </c>
      <c r="Q2534" s="3" t="s">
        <v>3324</v>
      </c>
      <c r="R2534" s="9">
        <f>25+56</f>
        <v>81</v>
      </c>
      <c r="S2534" s="9">
        <v>2240.1799999999998</v>
      </c>
      <c r="T2534" s="10">
        <v>0</v>
      </c>
      <c r="U2534" s="10">
        <f t="shared" si="1363"/>
        <v>0</v>
      </c>
      <c r="V2534" s="7"/>
      <c r="W2534" s="11">
        <v>2015</v>
      </c>
      <c r="X2534" s="12" t="s">
        <v>6562</v>
      </c>
    </row>
    <row r="2535" spans="1:24" s="13" customFormat="1" ht="76.5" customHeight="1" outlineLevel="1" x14ac:dyDescent="0.2">
      <c r="A2535" s="1" t="s">
        <v>6676</v>
      </c>
      <c r="B2535" s="2" t="s">
        <v>5277</v>
      </c>
      <c r="C2535" s="2" t="s">
        <v>254</v>
      </c>
      <c r="D2535" s="2" t="s">
        <v>5229</v>
      </c>
      <c r="E2535" s="2" t="s">
        <v>253</v>
      </c>
      <c r="F2535" s="75"/>
      <c r="G2535" s="4" t="s">
        <v>1888</v>
      </c>
      <c r="H2535" s="5">
        <v>0</v>
      </c>
      <c r="I2535" s="6">
        <v>710000000</v>
      </c>
      <c r="J2535" s="4" t="s">
        <v>1931</v>
      </c>
      <c r="K2535" s="4" t="s">
        <v>5297</v>
      </c>
      <c r="L2535" s="3" t="s">
        <v>1165</v>
      </c>
      <c r="M2535" s="8" t="s">
        <v>3195</v>
      </c>
      <c r="N2535" s="3" t="s">
        <v>1890</v>
      </c>
      <c r="O2535" s="8" t="s">
        <v>1935</v>
      </c>
      <c r="P2535" s="3">
        <v>166</v>
      </c>
      <c r="Q2535" s="3" t="s">
        <v>3324</v>
      </c>
      <c r="R2535" s="69">
        <f>25+41</f>
        <v>66</v>
      </c>
      <c r="S2535" s="69">
        <v>2240.1799999999998</v>
      </c>
      <c r="T2535" s="10">
        <v>0</v>
      </c>
      <c r="U2535" s="10">
        <f t="shared" si="1363"/>
        <v>0</v>
      </c>
      <c r="V2535" s="7"/>
      <c r="W2535" s="1">
        <v>2015</v>
      </c>
      <c r="X2535" s="62" t="s">
        <v>7678</v>
      </c>
    </row>
    <row r="2536" spans="1:24" s="13" customFormat="1" ht="76.5" customHeight="1" outlineLevel="1" x14ac:dyDescent="0.2">
      <c r="A2536" s="1" t="s">
        <v>7848</v>
      </c>
      <c r="B2536" s="2" t="s">
        <v>5277</v>
      </c>
      <c r="C2536" s="2" t="s">
        <v>254</v>
      </c>
      <c r="D2536" s="2" t="s">
        <v>5229</v>
      </c>
      <c r="E2536" s="2" t="s">
        <v>253</v>
      </c>
      <c r="F2536" s="75"/>
      <c r="G2536" s="4" t="s">
        <v>3190</v>
      </c>
      <c r="H2536" s="5">
        <v>0</v>
      </c>
      <c r="I2536" s="6">
        <v>710000000</v>
      </c>
      <c r="J2536" s="4" t="s">
        <v>1931</v>
      </c>
      <c r="K2536" s="4" t="s">
        <v>756</v>
      </c>
      <c r="L2536" s="3" t="s">
        <v>1165</v>
      </c>
      <c r="M2536" s="8" t="s">
        <v>3195</v>
      </c>
      <c r="N2536" s="3" t="s">
        <v>1890</v>
      </c>
      <c r="O2536" s="8" t="s">
        <v>1935</v>
      </c>
      <c r="P2536" s="3">
        <v>166</v>
      </c>
      <c r="Q2536" s="3" t="s">
        <v>3324</v>
      </c>
      <c r="R2536" s="69">
        <f>20+20</f>
        <v>40</v>
      </c>
      <c r="S2536" s="69">
        <v>2240.1799999999998</v>
      </c>
      <c r="T2536" s="10">
        <f t="shared" ref="T2536" si="1496">S2536*R2536</f>
        <v>89607.2</v>
      </c>
      <c r="U2536" s="10">
        <f t="shared" ref="U2536" si="1497">T2536*1.12</f>
        <v>100360.06400000001</v>
      </c>
      <c r="V2536" s="7"/>
      <c r="W2536" s="1">
        <v>2015</v>
      </c>
      <c r="X2536" s="62"/>
    </row>
    <row r="2537" spans="1:24" s="13" customFormat="1" ht="76.5" customHeight="1" outlineLevel="1" x14ac:dyDescent="0.2">
      <c r="A2537" s="1" t="s">
        <v>4075</v>
      </c>
      <c r="B2537" s="38" t="s">
        <v>5277</v>
      </c>
      <c r="C2537" s="2" t="s">
        <v>3098</v>
      </c>
      <c r="D2537" s="2" t="s">
        <v>5229</v>
      </c>
      <c r="E2537" s="6" t="s">
        <v>5230</v>
      </c>
      <c r="F2537" s="39"/>
      <c r="G2537" s="4" t="s">
        <v>1888</v>
      </c>
      <c r="H2537" s="5">
        <v>0</v>
      </c>
      <c r="I2537" s="6">
        <v>710000000</v>
      </c>
      <c r="J2537" s="4" t="s">
        <v>1931</v>
      </c>
      <c r="K2537" s="4" t="s">
        <v>5297</v>
      </c>
      <c r="L2537" s="2" t="s">
        <v>1940</v>
      </c>
      <c r="M2537" s="8" t="s">
        <v>3195</v>
      </c>
      <c r="N2537" s="3" t="s">
        <v>1890</v>
      </c>
      <c r="O2537" s="8" t="s">
        <v>1935</v>
      </c>
      <c r="P2537" s="8">
        <v>796</v>
      </c>
      <c r="Q2537" s="8" t="s">
        <v>3196</v>
      </c>
      <c r="R2537" s="9">
        <v>20</v>
      </c>
      <c r="S2537" s="9">
        <v>650</v>
      </c>
      <c r="T2537" s="10">
        <v>0</v>
      </c>
      <c r="U2537" s="10">
        <f t="shared" si="1363"/>
        <v>0</v>
      </c>
      <c r="V2537" s="7"/>
      <c r="W2537" s="11">
        <v>2015</v>
      </c>
      <c r="X2537" s="12" t="s">
        <v>6562</v>
      </c>
    </row>
    <row r="2538" spans="1:24" s="13" customFormat="1" ht="76.5" customHeight="1" outlineLevel="1" x14ac:dyDescent="0.2">
      <c r="A2538" s="1" t="s">
        <v>6677</v>
      </c>
      <c r="B2538" s="2" t="s">
        <v>5277</v>
      </c>
      <c r="C2538" s="2" t="s">
        <v>3098</v>
      </c>
      <c r="D2538" s="2" t="s">
        <v>5229</v>
      </c>
      <c r="E2538" s="6" t="s">
        <v>5230</v>
      </c>
      <c r="F2538" s="2"/>
      <c r="G2538" s="4" t="s">
        <v>1888</v>
      </c>
      <c r="H2538" s="5">
        <v>0</v>
      </c>
      <c r="I2538" s="6">
        <v>710000000</v>
      </c>
      <c r="J2538" s="4" t="s">
        <v>1931</v>
      </c>
      <c r="K2538" s="4" t="s">
        <v>5297</v>
      </c>
      <c r="L2538" s="2" t="s">
        <v>1940</v>
      </c>
      <c r="M2538" s="8" t="s">
        <v>3195</v>
      </c>
      <c r="N2538" s="3" t="s">
        <v>1890</v>
      </c>
      <c r="O2538" s="8" t="s">
        <v>1935</v>
      </c>
      <c r="P2538" s="8">
        <v>796</v>
      </c>
      <c r="Q2538" s="8" t="s">
        <v>3196</v>
      </c>
      <c r="R2538" s="69">
        <v>10</v>
      </c>
      <c r="S2538" s="69">
        <v>650</v>
      </c>
      <c r="T2538" s="10">
        <v>0</v>
      </c>
      <c r="U2538" s="10">
        <f t="shared" si="1363"/>
        <v>0</v>
      </c>
      <c r="V2538" s="7"/>
      <c r="W2538" s="1">
        <v>2015</v>
      </c>
      <c r="X2538" s="62">
        <v>7.11</v>
      </c>
    </row>
    <row r="2539" spans="1:24" s="13" customFormat="1" ht="76.5" customHeight="1" outlineLevel="1" x14ac:dyDescent="0.2">
      <c r="A2539" s="1" t="s">
        <v>7849</v>
      </c>
      <c r="B2539" s="2" t="s">
        <v>5277</v>
      </c>
      <c r="C2539" s="2" t="s">
        <v>3098</v>
      </c>
      <c r="D2539" s="2" t="s">
        <v>5229</v>
      </c>
      <c r="E2539" s="6" t="s">
        <v>5230</v>
      </c>
      <c r="F2539" s="2"/>
      <c r="G2539" s="4" t="s">
        <v>3190</v>
      </c>
      <c r="H2539" s="5">
        <v>0</v>
      </c>
      <c r="I2539" s="6">
        <v>710000000</v>
      </c>
      <c r="J2539" s="4" t="s">
        <v>1931</v>
      </c>
      <c r="K2539" s="4" t="s">
        <v>756</v>
      </c>
      <c r="L2539" s="2" t="s">
        <v>1940</v>
      </c>
      <c r="M2539" s="8" t="s">
        <v>3195</v>
      </c>
      <c r="N2539" s="3" t="s">
        <v>1890</v>
      </c>
      <c r="O2539" s="8" t="s">
        <v>1935</v>
      </c>
      <c r="P2539" s="8">
        <v>796</v>
      </c>
      <c r="Q2539" s="8" t="s">
        <v>3196</v>
      </c>
      <c r="R2539" s="69">
        <v>10</v>
      </c>
      <c r="S2539" s="69">
        <v>650</v>
      </c>
      <c r="T2539" s="10">
        <f t="shared" ref="T2539" si="1498">S2539*R2539</f>
        <v>6500</v>
      </c>
      <c r="U2539" s="10">
        <f t="shared" ref="U2539" si="1499">T2539*1.12</f>
        <v>7280.0000000000009</v>
      </c>
      <c r="V2539" s="7"/>
      <c r="W2539" s="1">
        <v>2015</v>
      </c>
      <c r="X2539" s="62"/>
    </row>
    <row r="2540" spans="1:24" s="13" customFormat="1" ht="76.5" customHeight="1" outlineLevel="1" x14ac:dyDescent="0.2">
      <c r="A2540" s="1" t="s">
        <v>4076</v>
      </c>
      <c r="B2540" s="2" t="s">
        <v>5277</v>
      </c>
      <c r="C2540" s="2" t="s">
        <v>252</v>
      </c>
      <c r="D2540" s="2" t="s">
        <v>5229</v>
      </c>
      <c r="E2540" s="2" t="s">
        <v>251</v>
      </c>
      <c r="F2540" s="2" t="s">
        <v>250</v>
      </c>
      <c r="G2540" s="4" t="s">
        <v>1888</v>
      </c>
      <c r="H2540" s="5">
        <v>0</v>
      </c>
      <c r="I2540" s="6">
        <v>710000000</v>
      </c>
      <c r="J2540" s="4" t="s">
        <v>1931</v>
      </c>
      <c r="K2540" s="4" t="s">
        <v>5297</v>
      </c>
      <c r="L2540" s="2" t="s">
        <v>1940</v>
      </c>
      <c r="M2540" s="8" t="s">
        <v>3195</v>
      </c>
      <c r="N2540" s="3" t="s">
        <v>1890</v>
      </c>
      <c r="O2540" s="8" t="s">
        <v>1935</v>
      </c>
      <c r="P2540" s="60" t="s">
        <v>3010</v>
      </c>
      <c r="Q2540" s="3" t="s">
        <v>3009</v>
      </c>
      <c r="R2540" s="69">
        <v>500</v>
      </c>
      <c r="S2540" s="69">
        <v>124.11</v>
      </c>
      <c r="T2540" s="10">
        <v>0</v>
      </c>
      <c r="U2540" s="10">
        <f t="shared" si="1363"/>
        <v>0</v>
      </c>
      <c r="V2540" s="7"/>
      <c r="W2540" s="1">
        <v>2015</v>
      </c>
      <c r="X2540" s="62" t="s">
        <v>7678</v>
      </c>
    </row>
    <row r="2541" spans="1:24" s="13" customFormat="1" ht="76.5" customHeight="1" outlineLevel="1" x14ac:dyDescent="0.2">
      <c r="A2541" s="1" t="s">
        <v>7850</v>
      </c>
      <c r="B2541" s="2" t="s">
        <v>5277</v>
      </c>
      <c r="C2541" s="2" t="s">
        <v>252</v>
      </c>
      <c r="D2541" s="2" t="s">
        <v>5229</v>
      </c>
      <c r="E2541" s="2" t="s">
        <v>251</v>
      </c>
      <c r="F2541" s="2" t="s">
        <v>250</v>
      </c>
      <c r="G2541" s="4" t="s">
        <v>3190</v>
      </c>
      <c r="H2541" s="5">
        <v>0</v>
      </c>
      <c r="I2541" s="6">
        <v>710000000</v>
      </c>
      <c r="J2541" s="4" t="s">
        <v>1931</v>
      </c>
      <c r="K2541" s="4" t="s">
        <v>756</v>
      </c>
      <c r="L2541" s="2" t="s">
        <v>1940</v>
      </c>
      <c r="M2541" s="8" t="s">
        <v>3195</v>
      </c>
      <c r="N2541" s="3" t="s">
        <v>1890</v>
      </c>
      <c r="O2541" s="8" t="s">
        <v>1935</v>
      </c>
      <c r="P2541" s="60" t="s">
        <v>3010</v>
      </c>
      <c r="Q2541" s="3" t="s">
        <v>3009</v>
      </c>
      <c r="R2541" s="69">
        <v>300</v>
      </c>
      <c r="S2541" s="69">
        <v>124.11</v>
      </c>
      <c r="T2541" s="10">
        <f t="shared" ref="T2541" si="1500">S2541*R2541</f>
        <v>37233</v>
      </c>
      <c r="U2541" s="10">
        <f t="shared" ref="U2541" si="1501">T2541*1.12</f>
        <v>41700.960000000006</v>
      </c>
      <c r="V2541" s="7"/>
      <c r="W2541" s="1">
        <v>2015</v>
      </c>
      <c r="X2541" s="62"/>
    </row>
    <row r="2542" spans="1:24" s="13" customFormat="1" ht="76.5" customHeight="1" outlineLevel="1" x14ac:dyDescent="0.2">
      <c r="A2542" s="1" t="s">
        <v>4077</v>
      </c>
      <c r="B2542" s="38" t="s">
        <v>5277</v>
      </c>
      <c r="C2542" s="2" t="s">
        <v>249</v>
      </c>
      <c r="D2542" s="2" t="s">
        <v>3007</v>
      </c>
      <c r="E2542" s="2" t="s">
        <v>248</v>
      </c>
      <c r="F2542" s="39"/>
      <c r="G2542" s="4" t="s">
        <v>1888</v>
      </c>
      <c r="H2542" s="5">
        <v>0</v>
      </c>
      <c r="I2542" s="6">
        <v>710000000</v>
      </c>
      <c r="J2542" s="4" t="s">
        <v>1931</v>
      </c>
      <c r="K2542" s="4" t="s">
        <v>5297</v>
      </c>
      <c r="L2542" s="3" t="s">
        <v>1165</v>
      </c>
      <c r="M2542" s="8" t="s">
        <v>3195</v>
      </c>
      <c r="N2542" s="3" t="s">
        <v>1890</v>
      </c>
      <c r="O2542" s="8" t="s">
        <v>1935</v>
      </c>
      <c r="P2542" s="8">
        <v>796</v>
      </c>
      <c r="Q2542" s="8" t="s">
        <v>3196</v>
      </c>
      <c r="R2542" s="9">
        <f>11+16</f>
        <v>27</v>
      </c>
      <c r="S2542" s="9">
        <v>565.17999999999995</v>
      </c>
      <c r="T2542" s="10">
        <v>0</v>
      </c>
      <c r="U2542" s="10">
        <f t="shared" si="1363"/>
        <v>0</v>
      </c>
      <c r="V2542" s="7"/>
      <c r="W2542" s="11">
        <v>2015</v>
      </c>
      <c r="X2542" s="12" t="s">
        <v>6562</v>
      </c>
    </row>
    <row r="2543" spans="1:24" s="13" customFormat="1" ht="76.5" customHeight="1" outlineLevel="1" x14ac:dyDescent="0.2">
      <c r="A2543" s="1" t="s">
        <v>6678</v>
      </c>
      <c r="B2543" s="2" t="s">
        <v>5277</v>
      </c>
      <c r="C2543" s="2" t="s">
        <v>249</v>
      </c>
      <c r="D2543" s="2" t="s">
        <v>3007</v>
      </c>
      <c r="E2543" s="2" t="s">
        <v>248</v>
      </c>
      <c r="F2543" s="2"/>
      <c r="G2543" s="4" t="s">
        <v>1888</v>
      </c>
      <c r="H2543" s="5">
        <v>0</v>
      </c>
      <c r="I2543" s="6">
        <v>710000000</v>
      </c>
      <c r="J2543" s="4" t="s">
        <v>1931</v>
      </c>
      <c r="K2543" s="4" t="s">
        <v>5297</v>
      </c>
      <c r="L2543" s="3" t="s">
        <v>1165</v>
      </c>
      <c r="M2543" s="8" t="s">
        <v>3195</v>
      </c>
      <c r="N2543" s="3" t="s">
        <v>1890</v>
      </c>
      <c r="O2543" s="8" t="s">
        <v>1935</v>
      </c>
      <c r="P2543" s="8">
        <v>796</v>
      </c>
      <c r="Q2543" s="8" t="s">
        <v>3196</v>
      </c>
      <c r="R2543" s="69">
        <f>8+14</f>
        <v>22</v>
      </c>
      <c r="S2543" s="69">
        <v>565.17999999999995</v>
      </c>
      <c r="T2543" s="10">
        <v>0</v>
      </c>
      <c r="U2543" s="10">
        <f t="shared" ref="U2543" si="1502">T2543*1.12</f>
        <v>0</v>
      </c>
      <c r="V2543" s="7"/>
      <c r="W2543" s="1">
        <v>2015</v>
      </c>
      <c r="X2543" s="62" t="s">
        <v>7678</v>
      </c>
    </row>
    <row r="2544" spans="1:24" s="13" customFormat="1" ht="76.5" customHeight="1" outlineLevel="1" x14ac:dyDescent="0.2">
      <c r="A2544" s="1" t="s">
        <v>7851</v>
      </c>
      <c r="B2544" s="2" t="s">
        <v>5277</v>
      </c>
      <c r="C2544" s="2" t="s">
        <v>249</v>
      </c>
      <c r="D2544" s="2" t="s">
        <v>3007</v>
      </c>
      <c r="E2544" s="2" t="s">
        <v>248</v>
      </c>
      <c r="F2544" s="2"/>
      <c r="G2544" s="4" t="s">
        <v>3190</v>
      </c>
      <c r="H2544" s="5">
        <v>0</v>
      </c>
      <c r="I2544" s="6">
        <v>710000000</v>
      </c>
      <c r="J2544" s="4" t="s">
        <v>1931</v>
      </c>
      <c r="K2544" s="4" t="s">
        <v>756</v>
      </c>
      <c r="L2544" s="3" t="s">
        <v>1165</v>
      </c>
      <c r="M2544" s="8" t="s">
        <v>3195</v>
      </c>
      <c r="N2544" s="3" t="s">
        <v>1890</v>
      </c>
      <c r="O2544" s="8" t="s">
        <v>1935</v>
      </c>
      <c r="P2544" s="8">
        <v>796</v>
      </c>
      <c r="Q2544" s="8" t="s">
        <v>3196</v>
      </c>
      <c r="R2544" s="69">
        <f>8+10</f>
        <v>18</v>
      </c>
      <c r="S2544" s="69">
        <v>565.17999999999995</v>
      </c>
      <c r="T2544" s="10">
        <f t="shared" ref="T2544" si="1503">S2544*R2544</f>
        <v>10173.24</v>
      </c>
      <c r="U2544" s="10">
        <f t="shared" si="1363"/>
        <v>11394.0288</v>
      </c>
      <c r="V2544" s="7"/>
      <c r="W2544" s="1">
        <v>2015</v>
      </c>
      <c r="X2544" s="62"/>
    </row>
    <row r="2545" spans="1:24" s="13" customFormat="1" ht="76.5" customHeight="1" outlineLevel="1" x14ac:dyDescent="0.2">
      <c r="A2545" s="1" t="s">
        <v>4078</v>
      </c>
      <c r="B2545" s="38" t="s">
        <v>5277</v>
      </c>
      <c r="C2545" s="2" t="s">
        <v>247</v>
      </c>
      <c r="D2545" s="2" t="s">
        <v>244</v>
      </c>
      <c r="E2545" s="2" t="s">
        <v>243</v>
      </c>
      <c r="F2545" s="39" t="s">
        <v>246</v>
      </c>
      <c r="G2545" s="4" t="s">
        <v>3190</v>
      </c>
      <c r="H2545" s="5">
        <v>0</v>
      </c>
      <c r="I2545" s="6">
        <v>710000000</v>
      </c>
      <c r="J2545" s="4" t="s">
        <v>1931</v>
      </c>
      <c r="K2545" s="4" t="s">
        <v>5297</v>
      </c>
      <c r="L2545" s="3" t="s">
        <v>1889</v>
      </c>
      <c r="M2545" s="8" t="s">
        <v>3195</v>
      </c>
      <c r="N2545" s="3" t="s">
        <v>1890</v>
      </c>
      <c r="O2545" s="8" t="s">
        <v>1935</v>
      </c>
      <c r="P2545" s="8">
        <v>796</v>
      </c>
      <c r="Q2545" s="8" t="s">
        <v>3196</v>
      </c>
      <c r="R2545" s="9">
        <v>10</v>
      </c>
      <c r="S2545" s="9">
        <v>1429</v>
      </c>
      <c r="T2545" s="10">
        <v>0</v>
      </c>
      <c r="U2545" s="10">
        <f t="shared" si="1363"/>
        <v>0</v>
      </c>
      <c r="V2545" s="7"/>
      <c r="W2545" s="11">
        <v>2015</v>
      </c>
      <c r="X2545" s="12" t="s">
        <v>7597</v>
      </c>
    </row>
    <row r="2546" spans="1:24" s="13" customFormat="1" ht="76.5" customHeight="1" outlineLevel="1" x14ac:dyDescent="0.2">
      <c r="A2546" s="1" t="s">
        <v>9077</v>
      </c>
      <c r="B2546" s="38" t="s">
        <v>5277</v>
      </c>
      <c r="C2546" s="2" t="s">
        <v>247</v>
      </c>
      <c r="D2546" s="2" t="s">
        <v>244</v>
      </c>
      <c r="E2546" s="2" t="s">
        <v>243</v>
      </c>
      <c r="F2546" s="39" t="s">
        <v>246</v>
      </c>
      <c r="G2546" s="4" t="s">
        <v>3190</v>
      </c>
      <c r="H2546" s="5">
        <v>0</v>
      </c>
      <c r="I2546" s="6">
        <v>710000000</v>
      </c>
      <c r="J2546" s="4" t="s">
        <v>1931</v>
      </c>
      <c r="K2546" s="4" t="s">
        <v>9078</v>
      </c>
      <c r="L2546" s="3" t="s">
        <v>1889</v>
      </c>
      <c r="M2546" s="8" t="s">
        <v>3195</v>
      </c>
      <c r="N2546" s="3" t="s">
        <v>1890</v>
      </c>
      <c r="O2546" s="8" t="s">
        <v>1935</v>
      </c>
      <c r="P2546" s="8">
        <v>796</v>
      </c>
      <c r="Q2546" s="8" t="s">
        <v>3196</v>
      </c>
      <c r="R2546" s="9">
        <v>10</v>
      </c>
      <c r="S2546" s="9">
        <v>1500</v>
      </c>
      <c r="T2546" s="10">
        <f t="shared" ref="T2546" si="1504">S2546*R2546</f>
        <v>15000</v>
      </c>
      <c r="U2546" s="10">
        <f t="shared" ref="U2546" si="1505">T2546*1.12</f>
        <v>16800</v>
      </c>
      <c r="V2546" s="7"/>
      <c r="W2546" s="11">
        <v>2015</v>
      </c>
      <c r="X2546" s="12"/>
    </row>
    <row r="2547" spans="1:24" s="13" customFormat="1" ht="76.5" customHeight="1" outlineLevel="1" x14ac:dyDescent="0.2">
      <c r="A2547" s="1" t="s">
        <v>4079</v>
      </c>
      <c r="B2547" s="38" t="s">
        <v>5277</v>
      </c>
      <c r="C2547" s="129" t="s">
        <v>245</v>
      </c>
      <c r="D2547" s="2" t="s">
        <v>244</v>
      </c>
      <c r="E2547" s="2" t="s">
        <v>243</v>
      </c>
      <c r="F2547" s="39" t="s">
        <v>242</v>
      </c>
      <c r="G2547" s="4" t="s">
        <v>3190</v>
      </c>
      <c r="H2547" s="5">
        <v>0</v>
      </c>
      <c r="I2547" s="6">
        <v>710000000</v>
      </c>
      <c r="J2547" s="4" t="s">
        <v>1931</v>
      </c>
      <c r="K2547" s="4" t="s">
        <v>5297</v>
      </c>
      <c r="L2547" s="3" t="s">
        <v>1889</v>
      </c>
      <c r="M2547" s="8" t="s">
        <v>3195</v>
      </c>
      <c r="N2547" s="3" t="s">
        <v>1890</v>
      </c>
      <c r="O2547" s="8" t="s">
        <v>1935</v>
      </c>
      <c r="P2547" s="60" t="s">
        <v>3443</v>
      </c>
      <c r="Q2547" s="3" t="s">
        <v>5676</v>
      </c>
      <c r="R2547" s="69">
        <v>48</v>
      </c>
      <c r="S2547" s="9">
        <v>3839</v>
      </c>
      <c r="T2547" s="10">
        <v>0</v>
      </c>
      <c r="U2547" s="10">
        <f t="shared" si="1363"/>
        <v>0</v>
      </c>
      <c r="V2547" s="7"/>
      <c r="W2547" s="11">
        <v>2015</v>
      </c>
      <c r="X2547" s="12" t="s">
        <v>9081</v>
      </c>
    </row>
    <row r="2548" spans="1:24" s="13" customFormat="1" ht="76.5" customHeight="1" outlineLevel="1" x14ac:dyDescent="0.2">
      <c r="A2548" s="1" t="s">
        <v>9079</v>
      </c>
      <c r="B2548" s="38" t="s">
        <v>5277</v>
      </c>
      <c r="C2548" s="129" t="s">
        <v>245</v>
      </c>
      <c r="D2548" s="2" t="s">
        <v>244</v>
      </c>
      <c r="E2548" s="2" t="s">
        <v>243</v>
      </c>
      <c r="F2548" s="39" t="s">
        <v>9080</v>
      </c>
      <c r="G2548" s="4" t="s">
        <v>3190</v>
      </c>
      <c r="H2548" s="5">
        <v>0</v>
      </c>
      <c r="I2548" s="6">
        <v>710000000</v>
      </c>
      <c r="J2548" s="4" t="s">
        <v>1931</v>
      </c>
      <c r="K2548" s="4" t="s">
        <v>9078</v>
      </c>
      <c r="L2548" s="3" t="s">
        <v>1889</v>
      </c>
      <c r="M2548" s="8" t="s">
        <v>3195</v>
      </c>
      <c r="N2548" s="3" t="s">
        <v>1890</v>
      </c>
      <c r="O2548" s="8" t="s">
        <v>1935</v>
      </c>
      <c r="P2548" s="60" t="s">
        <v>3443</v>
      </c>
      <c r="Q2548" s="3" t="s">
        <v>5676</v>
      </c>
      <c r="R2548" s="69">
        <v>33</v>
      </c>
      <c r="S2548" s="9">
        <v>5500</v>
      </c>
      <c r="T2548" s="10">
        <f t="shared" ref="T2548" si="1506">S2548*R2548</f>
        <v>181500</v>
      </c>
      <c r="U2548" s="10">
        <f t="shared" ref="U2548" si="1507">T2548*1.12</f>
        <v>203280.00000000003</v>
      </c>
      <c r="V2548" s="7"/>
      <c r="W2548" s="11">
        <v>2015</v>
      </c>
      <c r="X2548" s="12"/>
    </row>
    <row r="2549" spans="1:24" ht="76.5" customHeight="1" outlineLevel="1" x14ac:dyDescent="0.2">
      <c r="A2549" s="1" t="s">
        <v>4080</v>
      </c>
      <c r="B2549" s="24" t="s">
        <v>5277</v>
      </c>
      <c r="C2549" s="25" t="s">
        <v>682</v>
      </c>
      <c r="D2549" s="25" t="s">
        <v>5543</v>
      </c>
      <c r="E2549" s="25" t="s">
        <v>5544</v>
      </c>
      <c r="F2549" s="25" t="s">
        <v>683</v>
      </c>
      <c r="G2549" s="1" t="s">
        <v>3190</v>
      </c>
      <c r="H2549" s="17">
        <v>0</v>
      </c>
      <c r="I2549" s="18">
        <v>710000000</v>
      </c>
      <c r="J2549" s="4" t="s">
        <v>1931</v>
      </c>
      <c r="K2549" s="4" t="s">
        <v>5297</v>
      </c>
      <c r="L2549" s="7" t="s">
        <v>1889</v>
      </c>
      <c r="M2549" s="8" t="s">
        <v>3195</v>
      </c>
      <c r="N2549" s="8" t="s">
        <v>1890</v>
      </c>
      <c r="O2549" s="8" t="s">
        <v>1935</v>
      </c>
      <c r="P2549" s="8">
        <v>796</v>
      </c>
      <c r="Q2549" s="8" t="s">
        <v>3196</v>
      </c>
      <c r="R2549" s="10">
        <v>10</v>
      </c>
      <c r="S2549" s="10">
        <v>750</v>
      </c>
      <c r="T2549" s="10">
        <v>0</v>
      </c>
      <c r="U2549" s="10">
        <f t="shared" si="1363"/>
        <v>0</v>
      </c>
      <c r="V2549" s="8"/>
      <c r="W2549" s="11">
        <v>2015</v>
      </c>
      <c r="X2549" s="8">
        <v>11</v>
      </c>
    </row>
    <row r="2550" spans="1:24" ht="76.5" customHeight="1" outlineLevel="1" x14ac:dyDescent="0.2">
      <c r="A2550" s="1" t="s">
        <v>9082</v>
      </c>
      <c r="B2550" s="24" t="s">
        <v>5277</v>
      </c>
      <c r="C2550" s="25" t="s">
        <v>682</v>
      </c>
      <c r="D2550" s="25" t="s">
        <v>5543</v>
      </c>
      <c r="E2550" s="25" t="s">
        <v>5544</v>
      </c>
      <c r="F2550" s="25" t="s">
        <v>683</v>
      </c>
      <c r="G2550" s="1" t="s">
        <v>3190</v>
      </c>
      <c r="H2550" s="17">
        <v>0</v>
      </c>
      <c r="I2550" s="18">
        <v>710000000</v>
      </c>
      <c r="J2550" s="4" t="s">
        <v>1931</v>
      </c>
      <c r="K2550" s="4" t="s">
        <v>9078</v>
      </c>
      <c r="L2550" s="7" t="s">
        <v>1889</v>
      </c>
      <c r="M2550" s="8" t="s">
        <v>3195</v>
      </c>
      <c r="N2550" s="8" t="s">
        <v>1890</v>
      </c>
      <c r="O2550" s="8" t="s">
        <v>1935</v>
      </c>
      <c r="P2550" s="8">
        <v>796</v>
      </c>
      <c r="Q2550" s="8" t="s">
        <v>3196</v>
      </c>
      <c r="R2550" s="10">
        <v>10</v>
      </c>
      <c r="S2550" s="10">
        <v>750</v>
      </c>
      <c r="T2550" s="10">
        <f>R2550*S2550</f>
        <v>7500</v>
      </c>
      <c r="U2550" s="10">
        <f t="shared" ref="U2550" si="1508">T2550*1.12</f>
        <v>8400</v>
      </c>
      <c r="V2550" s="8"/>
      <c r="W2550" s="11">
        <v>2015</v>
      </c>
      <c r="X2550" s="8"/>
    </row>
    <row r="2551" spans="1:24" ht="76.5" customHeight="1" outlineLevel="1" x14ac:dyDescent="0.2">
      <c r="A2551" s="1" t="s">
        <v>4081</v>
      </c>
      <c r="B2551" s="24" t="s">
        <v>5277</v>
      </c>
      <c r="C2551" s="25" t="s">
        <v>682</v>
      </c>
      <c r="D2551" s="25" t="s">
        <v>5543</v>
      </c>
      <c r="E2551" s="25" t="s">
        <v>5544</v>
      </c>
      <c r="F2551" s="25" t="s">
        <v>684</v>
      </c>
      <c r="G2551" s="1" t="s">
        <v>3190</v>
      </c>
      <c r="H2551" s="17">
        <v>0</v>
      </c>
      <c r="I2551" s="18">
        <v>710000000</v>
      </c>
      <c r="J2551" s="4" t="s">
        <v>1931</v>
      </c>
      <c r="K2551" s="4" t="s">
        <v>5297</v>
      </c>
      <c r="L2551" s="7" t="s">
        <v>1889</v>
      </c>
      <c r="M2551" s="8" t="s">
        <v>3195</v>
      </c>
      <c r="N2551" s="8" t="s">
        <v>1890</v>
      </c>
      <c r="O2551" s="8" t="s">
        <v>1935</v>
      </c>
      <c r="P2551" s="8">
        <v>796</v>
      </c>
      <c r="Q2551" s="8" t="s">
        <v>3196</v>
      </c>
      <c r="R2551" s="10">
        <v>8</v>
      </c>
      <c r="S2551" s="10">
        <v>2991.13</v>
      </c>
      <c r="T2551" s="10">
        <v>0</v>
      </c>
      <c r="U2551" s="10">
        <f>T2551*1.12</f>
        <v>0</v>
      </c>
      <c r="V2551" s="8"/>
      <c r="W2551" s="11">
        <v>2015</v>
      </c>
      <c r="X2551" s="8" t="s">
        <v>8195</v>
      </c>
    </row>
    <row r="2552" spans="1:24" ht="76.5" customHeight="1" outlineLevel="1" x14ac:dyDescent="0.2">
      <c r="A2552" s="1" t="s">
        <v>9083</v>
      </c>
      <c r="B2552" s="24" t="s">
        <v>5277</v>
      </c>
      <c r="C2552" s="25" t="s">
        <v>682</v>
      </c>
      <c r="D2552" s="25" t="s">
        <v>5543</v>
      </c>
      <c r="E2552" s="25" t="s">
        <v>5544</v>
      </c>
      <c r="F2552" s="25" t="s">
        <v>684</v>
      </c>
      <c r="G2552" s="1" t="s">
        <v>3190</v>
      </c>
      <c r="H2552" s="17">
        <v>0</v>
      </c>
      <c r="I2552" s="18">
        <v>710000000</v>
      </c>
      <c r="J2552" s="4" t="s">
        <v>1931</v>
      </c>
      <c r="K2552" s="4" t="s">
        <v>9078</v>
      </c>
      <c r="L2552" s="7" t="s">
        <v>1889</v>
      </c>
      <c r="M2552" s="8" t="s">
        <v>3195</v>
      </c>
      <c r="N2552" s="8" t="s">
        <v>1890</v>
      </c>
      <c r="O2552" s="8" t="s">
        <v>1935</v>
      </c>
      <c r="P2552" s="8">
        <v>796</v>
      </c>
      <c r="Q2552" s="8" t="s">
        <v>3196</v>
      </c>
      <c r="R2552" s="10">
        <v>10</v>
      </c>
      <c r="S2552" s="10">
        <v>1500</v>
      </c>
      <c r="T2552" s="10">
        <f>R2552*S2552</f>
        <v>15000</v>
      </c>
      <c r="U2552" s="10">
        <f>T2552*1.12</f>
        <v>16800</v>
      </c>
      <c r="V2552" s="8"/>
      <c r="W2552" s="11">
        <v>2015</v>
      </c>
      <c r="X2552" s="8"/>
    </row>
    <row r="2553" spans="1:24" ht="76.5" customHeight="1" outlineLevel="1" x14ac:dyDescent="0.2">
      <c r="A2553" s="1" t="s">
        <v>4082</v>
      </c>
      <c r="B2553" s="24" t="s">
        <v>5277</v>
      </c>
      <c r="C2553" s="25" t="s">
        <v>3796</v>
      </c>
      <c r="D2553" s="25" t="s">
        <v>5543</v>
      </c>
      <c r="E2553" s="25" t="s">
        <v>5544</v>
      </c>
      <c r="F2553" s="25"/>
      <c r="G2553" s="1" t="s">
        <v>3190</v>
      </c>
      <c r="H2553" s="17">
        <v>0</v>
      </c>
      <c r="I2553" s="18">
        <v>710000000</v>
      </c>
      <c r="J2553" s="4" t="s">
        <v>1931</v>
      </c>
      <c r="K2553" s="4" t="s">
        <v>5297</v>
      </c>
      <c r="L2553" s="7" t="s">
        <v>1889</v>
      </c>
      <c r="M2553" s="8" t="s">
        <v>3195</v>
      </c>
      <c r="N2553" s="8" t="s">
        <v>1890</v>
      </c>
      <c r="O2553" s="8" t="s">
        <v>1935</v>
      </c>
      <c r="P2553" s="40" t="s">
        <v>3334</v>
      </c>
      <c r="Q2553" s="120" t="s">
        <v>5517</v>
      </c>
      <c r="R2553" s="10">
        <v>20</v>
      </c>
      <c r="S2553" s="10">
        <v>1339</v>
      </c>
      <c r="T2553" s="10">
        <v>0</v>
      </c>
      <c r="U2553" s="10">
        <f>T2553*1.12</f>
        <v>0</v>
      </c>
      <c r="V2553" s="8"/>
      <c r="W2553" s="11">
        <v>2015</v>
      </c>
      <c r="X2553" s="8">
        <v>11</v>
      </c>
    </row>
    <row r="2554" spans="1:24" ht="76.5" customHeight="1" outlineLevel="1" x14ac:dyDescent="0.2">
      <c r="A2554" s="1" t="s">
        <v>9084</v>
      </c>
      <c r="B2554" s="24" t="s">
        <v>5277</v>
      </c>
      <c r="C2554" s="25" t="s">
        <v>3796</v>
      </c>
      <c r="D2554" s="25" t="s">
        <v>5543</v>
      </c>
      <c r="E2554" s="25" t="s">
        <v>5544</v>
      </c>
      <c r="F2554" s="25"/>
      <c r="G2554" s="1" t="s">
        <v>3190</v>
      </c>
      <c r="H2554" s="17">
        <v>0</v>
      </c>
      <c r="I2554" s="18">
        <v>710000000</v>
      </c>
      <c r="J2554" s="4" t="s">
        <v>1931</v>
      </c>
      <c r="K2554" s="4" t="s">
        <v>9078</v>
      </c>
      <c r="L2554" s="7" t="s">
        <v>1889</v>
      </c>
      <c r="M2554" s="8" t="s">
        <v>3195</v>
      </c>
      <c r="N2554" s="8" t="s">
        <v>1890</v>
      </c>
      <c r="O2554" s="8" t="s">
        <v>1935</v>
      </c>
      <c r="P2554" s="40" t="s">
        <v>3334</v>
      </c>
      <c r="Q2554" s="120" t="s">
        <v>5517</v>
      </c>
      <c r="R2554" s="10">
        <v>20</v>
      </c>
      <c r="S2554" s="10">
        <v>1339</v>
      </c>
      <c r="T2554" s="10">
        <f>R2554*S2554</f>
        <v>26780</v>
      </c>
      <c r="U2554" s="10">
        <f>T2554*1.12</f>
        <v>29993.600000000002</v>
      </c>
      <c r="V2554" s="8"/>
      <c r="W2554" s="11">
        <v>2015</v>
      </c>
      <c r="X2554" s="8"/>
    </row>
    <row r="2555" spans="1:24" s="13" customFormat="1" ht="76.5" customHeight="1" outlineLevel="1" x14ac:dyDescent="0.2">
      <c r="A2555" s="1" t="s">
        <v>4083</v>
      </c>
      <c r="B2555" s="25" t="s">
        <v>5277</v>
      </c>
      <c r="C2555" s="25" t="s">
        <v>241</v>
      </c>
      <c r="D2555" s="25" t="s">
        <v>240</v>
      </c>
      <c r="E2555" s="25" t="s">
        <v>6479</v>
      </c>
      <c r="F2555" s="39"/>
      <c r="G2555" s="4" t="s">
        <v>3190</v>
      </c>
      <c r="H2555" s="5">
        <v>0</v>
      </c>
      <c r="I2555" s="6">
        <v>710000000</v>
      </c>
      <c r="J2555" s="4" t="s">
        <v>1931</v>
      </c>
      <c r="K2555" s="4" t="s">
        <v>5297</v>
      </c>
      <c r="L2555" s="3" t="s">
        <v>1889</v>
      </c>
      <c r="M2555" s="8" t="s">
        <v>3195</v>
      </c>
      <c r="N2555" s="3" t="s">
        <v>1890</v>
      </c>
      <c r="O2555" s="8" t="s">
        <v>1935</v>
      </c>
      <c r="P2555" s="8">
        <v>796</v>
      </c>
      <c r="Q2555" s="8" t="s">
        <v>3196</v>
      </c>
      <c r="R2555" s="69">
        <v>8</v>
      </c>
      <c r="S2555" s="9">
        <v>3274.25</v>
      </c>
      <c r="T2555" s="10">
        <f t="shared" si="1419"/>
        <v>26194</v>
      </c>
      <c r="U2555" s="10">
        <f t="shared" si="1363"/>
        <v>29337.280000000002</v>
      </c>
      <c r="V2555" s="7"/>
      <c r="W2555" s="11">
        <v>2015</v>
      </c>
      <c r="X2555" s="12"/>
    </row>
    <row r="2556" spans="1:24" ht="76.5" customHeight="1" outlineLevel="1" x14ac:dyDescent="0.2">
      <c r="A2556" s="1" t="s">
        <v>4084</v>
      </c>
      <c r="B2556" s="24" t="s">
        <v>5277</v>
      </c>
      <c r="C2556" s="7" t="s">
        <v>3768</v>
      </c>
      <c r="D2556" s="7" t="s">
        <v>6169</v>
      </c>
      <c r="E2556" s="18" t="s">
        <v>6170</v>
      </c>
      <c r="F2556" s="25" t="s">
        <v>6171</v>
      </c>
      <c r="G2556" s="1" t="s">
        <v>3190</v>
      </c>
      <c r="H2556" s="17">
        <v>0</v>
      </c>
      <c r="I2556" s="18">
        <v>710000000</v>
      </c>
      <c r="J2556" s="4" t="s">
        <v>1931</v>
      </c>
      <c r="K2556" s="4" t="s">
        <v>5297</v>
      </c>
      <c r="L2556" s="7" t="s">
        <v>1889</v>
      </c>
      <c r="M2556" s="8" t="s">
        <v>3195</v>
      </c>
      <c r="N2556" s="8" t="s">
        <v>1890</v>
      </c>
      <c r="O2556" s="8" t="s">
        <v>1935</v>
      </c>
      <c r="P2556" s="8">
        <v>796</v>
      </c>
      <c r="Q2556" s="8" t="s">
        <v>3196</v>
      </c>
      <c r="R2556" s="10">
        <v>10</v>
      </c>
      <c r="S2556" s="10">
        <v>1000</v>
      </c>
      <c r="T2556" s="10">
        <f t="shared" ref="T2556:T2567" si="1509">R2556*S2556</f>
        <v>10000</v>
      </c>
      <c r="U2556" s="10">
        <f t="shared" si="1363"/>
        <v>11200.000000000002</v>
      </c>
      <c r="V2556" s="8"/>
      <c r="W2556" s="11">
        <v>2015</v>
      </c>
      <c r="X2556" s="8"/>
    </row>
    <row r="2557" spans="1:24" ht="76.5" customHeight="1" outlineLevel="1" x14ac:dyDescent="0.2">
      <c r="A2557" s="1" t="s">
        <v>4085</v>
      </c>
      <c r="B2557" s="24" t="s">
        <v>5277</v>
      </c>
      <c r="C2557" s="22" t="s">
        <v>685</v>
      </c>
      <c r="D2557" s="22" t="s">
        <v>686</v>
      </c>
      <c r="E2557" s="22" t="s">
        <v>687</v>
      </c>
      <c r="F2557" s="22" t="s">
        <v>688</v>
      </c>
      <c r="G2557" s="1" t="s">
        <v>3190</v>
      </c>
      <c r="H2557" s="17">
        <v>0</v>
      </c>
      <c r="I2557" s="18">
        <v>710000000</v>
      </c>
      <c r="J2557" s="4" t="s">
        <v>1931</v>
      </c>
      <c r="K2557" s="4" t="s">
        <v>5297</v>
      </c>
      <c r="L2557" s="18" t="s">
        <v>1889</v>
      </c>
      <c r="M2557" s="8" t="s">
        <v>3195</v>
      </c>
      <c r="N2557" s="8" t="s">
        <v>1890</v>
      </c>
      <c r="O2557" s="8" t="s">
        <v>1935</v>
      </c>
      <c r="P2557" s="1">
        <v>715</v>
      </c>
      <c r="Q2557" s="4" t="s">
        <v>5247</v>
      </c>
      <c r="R2557" s="10">
        <v>30</v>
      </c>
      <c r="S2557" s="10">
        <v>3663.33</v>
      </c>
      <c r="T2557" s="10">
        <v>0</v>
      </c>
      <c r="U2557" s="10">
        <f t="shared" si="1363"/>
        <v>0</v>
      </c>
      <c r="V2557" s="8"/>
      <c r="W2557" s="11">
        <v>2015</v>
      </c>
      <c r="X2557" s="8" t="s">
        <v>9081</v>
      </c>
    </row>
    <row r="2558" spans="1:24" ht="127.5" customHeight="1" outlineLevel="1" x14ac:dyDescent="0.2">
      <c r="A2558" s="1" t="s">
        <v>9087</v>
      </c>
      <c r="B2558" s="24" t="s">
        <v>5277</v>
      </c>
      <c r="C2558" s="22" t="s">
        <v>685</v>
      </c>
      <c r="D2558" s="22" t="s">
        <v>686</v>
      </c>
      <c r="E2558" s="22" t="s">
        <v>687</v>
      </c>
      <c r="F2558" s="22" t="s">
        <v>9161</v>
      </c>
      <c r="G2558" s="1" t="s">
        <v>3190</v>
      </c>
      <c r="H2558" s="17">
        <v>0</v>
      </c>
      <c r="I2558" s="18">
        <v>710000000</v>
      </c>
      <c r="J2558" s="4" t="s">
        <v>1931</v>
      </c>
      <c r="K2558" s="4" t="s">
        <v>9078</v>
      </c>
      <c r="L2558" s="18" t="s">
        <v>1889</v>
      </c>
      <c r="M2558" s="8" t="s">
        <v>3195</v>
      </c>
      <c r="N2558" s="8" t="s">
        <v>1890</v>
      </c>
      <c r="O2558" s="8" t="s">
        <v>1935</v>
      </c>
      <c r="P2558" s="1">
        <v>715</v>
      </c>
      <c r="Q2558" s="4" t="s">
        <v>5247</v>
      </c>
      <c r="R2558" s="10">
        <v>8</v>
      </c>
      <c r="S2558" s="10">
        <v>2492.8571000000002</v>
      </c>
      <c r="T2558" s="10">
        <f t="shared" ref="T2558" si="1510">R2558*S2558</f>
        <v>19942.856800000001</v>
      </c>
      <c r="U2558" s="10">
        <f t="shared" ref="U2558" si="1511">T2558*1.12</f>
        <v>22335.999616000005</v>
      </c>
      <c r="V2558" s="8"/>
      <c r="W2558" s="11">
        <v>2015</v>
      </c>
      <c r="X2558" s="8"/>
    </row>
    <row r="2559" spans="1:24" ht="76.5" customHeight="1" outlineLevel="1" x14ac:dyDescent="0.2">
      <c r="A2559" s="1" t="s">
        <v>4086</v>
      </c>
      <c r="B2559" s="24" t="s">
        <v>5277</v>
      </c>
      <c r="C2559" s="22" t="s">
        <v>685</v>
      </c>
      <c r="D2559" s="22" t="s">
        <v>686</v>
      </c>
      <c r="E2559" s="22" t="s">
        <v>687</v>
      </c>
      <c r="F2559" s="22" t="s">
        <v>689</v>
      </c>
      <c r="G2559" s="1" t="s">
        <v>3190</v>
      </c>
      <c r="H2559" s="17">
        <v>0</v>
      </c>
      <c r="I2559" s="18">
        <v>710000000</v>
      </c>
      <c r="J2559" s="4" t="s">
        <v>1931</v>
      </c>
      <c r="K2559" s="4" t="s">
        <v>5297</v>
      </c>
      <c r="L2559" s="18" t="s">
        <v>1889</v>
      </c>
      <c r="M2559" s="8" t="s">
        <v>3195</v>
      </c>
      <c r="N2559" s="8" t="s">
        <v>1890</v>
      </c>
      <c r="O2559" s="8" t="s">
        <v>1935</v>
      </c>
      <c r="P2559" s="1">
        <v>715</v>
      </c>
      <c r="Q2559" s="4" t="s">
        <v>5247</v>
      </c>
      <c r="R2559" s="10">
        <v>40</v>
      </c>
      <c r="S2559" s="10">
        <v>1052.5</v>
      </c>
      <c r="T2559" s="10">
        <v>0</v>
      </c>
      <c r="U2559" s="10">
        <f t="shared" si="1363"/>
        <v>0</v>
      </c>
      <c r="V2559" s="8"/>
      <c r="W2559" s="11">
        <v>2015</v>
      </c>
      <c r="X2559" s="8" t="s">
        <v>9081</v>
      </c>
    </row>
    <row r="2560" spans="1:24" ht="76.5" customHeight="1" outlineLevel="1" x14ac:dyDescent="0.2">
      <c r="A2560" s="1" t="s">
        <v>9088</v>
      </c>
      <c r="B2560" s="24" t="s">
        <v>5277</v>
      </c>
      <c r="C2560" s="22" t="s">
        <v>685</v>
      </c>
      <c r="D2560" s="22" t="s">
        <v>686</v>
      </c>
      <c r="E2560" s="22" t="s">
        <v>687</v>
      </c>
      <c r="F2560" s="22" t="s">
        <v>9154</v>
      </c>
      <c r="G2560" s="1" t="s">
        <v>3190</v>
      </c>
      <c r="H2560" s="17">
        <v>0</v>
      </c>
      <c r="I2560" s="18">
        <v>710000000</v>
      </c>
      <c r="J2560" s="4" t="s">
        <v>1931</v>
      </c>
      <c r="K2560" s="4" t="s">
        <v>9078</v>
      </c>
      <c r="L2560" s="18" t="s">
        <v>1889</v>
      </c>
      <c r="M2560" s="8" t="s">
        <v>3195</v>
      </c>
      <c r="N2560" s="8" t="s">
        <v>1890</v>
      </c>
      <c r="O2560" s="8" t="s">
        <v>1935</v>
      </c>
      <c r="P2560" s="1">
        <v>715</v>
      </c>
      <c r="Q2560" s="4" t="s">
        <v>5247</v>
      </c>
      <c r="R2560" s="10">
        <v>30</v>
      </c>
      <c r="S2560" s="10">
        <v>1062.5</v>
      </c>
      <c r="T2560" s="10">
        <f t="shared" ref="T2560" si="1512">R2560*S2560</f>
        <v>31875</v>
      </c>
      <c r="U2560" s="10">
        <f t="shared" ref="U2560" si="1513">T2560*1.12</f>
        <v>35700</v>
      </c>
      <c r="V2560" s="8"/>
      <c r="W2560" s="11">
        <v>2015</v>
      </c>
      <c r="X2560" s="8"/>
    </row>
    <row r="2561" spans="1:24" ht="76.5" customHeight="1" outlineLevel="1" x14ac:dyDescent="0.2">
      <c r="A2561" s="1" t="s">
        <v>4087</v>
      </c>
      <c r="B2561" s="24" t="s">
        <v>5277</v>
      </c>
      <c r="C2561" s="7" t="s">
        <v>3771</v>
      </c>
      <c r="D2561" s="7" t="s">
        <v>6174</v>
      </c>
      <c r="E2561" s="18" t="s">
        <v>690</v>
      </c>
      <c r="F2561" s="25" t="s">
        <v>691</v>
      </c>
      <c r="G2561" s="1" t="s">
        <v>3190</v>
      </c>
      <c r="H2561" s="17">
        <v>0</v>
      </c>
      <c r="I2561" s="18">
        <v>710000000</v>
      </c>
      <c r="J2561" s="4" t="s">
        <v>1931</v>
      </c>
      <c r="K2561" s="4" t="s">
        <v>5297</v>
      </c>
      <c r="L2561" s="7" t="s">
        <v>1889</v>
      </c>
      <c r="M2561" s="8" t="s">
        <v>3195</v>
      </c>
      <c r="N2561" s="8" t="s">
        <v>1890</v>
      </c>
      <c r="O2561" s="8" t="s">
        <v>2146</v>
      </c>
      <c r="P2561" s="8">
        <v>796</v>
      </c>
      <c r="Q2561" s="8" t="s">
        <v>3196</v>
      </c>
      <c r="R2561" s="10">
        <v>30</v>
      </c>
      <c r="S2561" s="10">
        <v>1863</v>
      </c>
      <c r="T2561" s="10">
        <f>R2561*S2561</f>
        <v>55890</v>
      </c>
      <c r="U2561" s="10">
        <f t="shared" si="1363"/>
        <v>62596.800000000003</v>
      </c>
      <c r="V2561" s="8"/>
      <c r="W2561" s="11">
        <v>2015</v>
      </c>
      <c r="X2561" s="8" t="s">
        <v>8195</v>
      </c>
    </row>
    <row r="2562" spans="1:24" ht="76.5" customHeight="1" outlineLevel="1" x14ac:dyDescent="0.2">
      <c r="A2562" s="1" t="s">
        <v>9089</v>
      </c>
      <c r="B2562" s="24" t="s">
        <v>5277</v>
      </c>
      <c r="C2562" s="7" t="s">
        <v>3771</v>
      </c>
      <c r="D2562" s="7" t="s">
        <v>6174</v>
      </c>
      <c r="E2562" s="18" t="s">
        <v>690</v>
      </c>
      <c r="F2562" s="25" t="s">
        <v>691</v>
      </c>
      <c r="G2562" s="1" t="s">
        <v>3190</v>
      </c>
      <c r="H2562" s="17">
        <v>0</v>
      </c>
      <c r="I2562" s="18">
        <v>710000000</v>
      </c>
      <c r="J2562" s="4" t="s">
        <v>1931</v>
      </c>
      <c r="K2562" s="4" t="s">
        <v>9078</v>
      </c>
      <c r="L2562" s="7" t="s">
        <v>1889</v>
      </c>
      <c r="M2562" s="8" t="s">
        <v>3195</v>
      </c>
      <c r="N2562" s="8" t="s">
        <v>1890</v>
      </c>
      <c r="O2562" s="8" t="s">
        <v>2146</v>
      </c>
      <c r="P2562" s="8">
        <v>796</v>
      </c>
      <c r="Q2562" s="8" t="s">
        <v>3196</v>
      </c>
      <c r="R2562" s="10">
        <v>20</v>
      </c>
      <c r="S2562" s="10">
        <v>2500</v>
      </c>
      <c r="T2562" s="10">
        <f>R2562*S2562</f>
        <v>50000</v>
      </c>
      <c r="U2562" s="10">
        <f t="shared" si="1363"/>
        <v>56000.000000000007</v>
      </c>
      <c r="V2562" s="8"/>
      <c r="W2562" s="11">
        <v>2015</v>
      </c>
      <c r="X2562" s="8"/>
    </row>
    <row r="2563" spans="1:24" ht="76.5" customHeight="1" outlineLevel="1" x14ac:dyDescent="0.2">
      <c r="A2563" s="1" t="s">
        <v>4088</v>
      </c>
      <c r="B2563" s="24" t="s">
        <v>5277</v>
      </c>
      <c r="C2563" s="7" t="s">
        <v>692</v>
      </c>
      <c r="D2563" s="7" t="s">
        <v>5545</v>
      </c>
      <c r="E2563" s="7" t="s">
        <v>606</v>
      </c>
      <c r="F2563" s="25" t="s">
        <v>693</v>
      </c>
      <c r="G2563" s="1" t="s">
        <v>3190</v>
      </c>
      <c r="H2563" s="17">
        <v>0</v>
      </c>
      <c r="I2563" s="18">
        <v>710000000</v>
      </c>
      <c r="J2563" s="4" t="s">
        <v>1931</v>
      </c>
      <c r="K2563" s="4" t="s">
        <v>5297</v>
      </c>
      <c r="L2563" s="7" t="s">
        <v>1889</v>
      </c>
      <c r="M2563" s="8" t="s">
        <v>3195</v>
      </c>
      <c r="N2563" s="8" t="s">
        <v>1890</v>
      </c>
      <c r="O2563" s="8" t="s">
        <v>1935</v>
      </c>
      <c r="P2563" s="8">
        <v>796</v>
      </c>
      <c r="Q2563" s="8" t="s">
        <v>3196</v>
      </c>
      <c r="R2563" s="10">
        <v>11</v>
      </c>
      <c r="S2563" s="10">
        <v>2785.67</v>
      </c>
      <c r="T2563" s="10">
        <v>0</v>
      </c>
      <c r="U2563" s="10">
        <f t="shared" si="1363"/>
        <v>0</v>
      </c>
      <c r="V2563" s="8"/>
      <c r="W2563" s="11">
        <v>2015</v>
      </c>
      <c r="X2563" s="8" t="s">
        <v>8195</v>
      </c>
    </row>
    <row r="2564" spans="1:24" ht="76.5" customHeight="1" outlineLevel="1" x14ac:dyDescent="0.2">
      <c r="A2564" s="1" t="s">
        <v>9085</v>
      </c>
      <c r="B2564" s="24" t="s">
        <v>5277</v>
      </c>
      <c r="C2564" s="7" t="s">
        <v>692</v>
      </c>
      <c r="D2564" s="7" t="s">
        <v>5545</v>
      </c>
      <c r="E2564" s="7" t="s">
        <v>606</v>
      </c>
      <c r="F2564" s="25" t="s">
        <v>693</v>
      </c>
      <c r="G2564" s="1" t="s">
        <v>3190</v>
      </c>
      <c r="H2564" s="17">
        <v>0</v>
      </c>
      <c r="I2564" s="18">
        <v>710000000</v>
      </c>
      <c r="J2564" s="4" t="s">
        <v>1931</v>
      </c>
      <c r="K2564" s="4" t="s">
        <v>9078</v>
      </c>
      <c r="L2564" s="7" t="s">
        <v>1889</v>
      </c>
      <c r="M2564" s="8" t="s">
        <v>3195</v>
      </c>
      <c r="N2564" s="8" t="s">
        <v>1890</v>
      </c>
      <c r="O2564" s="8" t="s">
        <v>1935</v>
      </c>
      <c r="P2564" s="8">
        <v>796</v>
      </c>
      <c r="Q2564" s="8" t="s">
        <v>3196</v>
      </c>
      <c r="R2564" s="10">
        <v>3</v>
      </c>
      <c r="S2564" s="10">
        <v>1400</v>
      </c>
      <c r="T2564" s="10">
        <f t="shared" ref="T2564" si="1514">R2564*S2564</f>
        <v>4200</v>
      </c>
      <c r="U2564" s="10">
        <f t="shared" ref="U2564" si="1515">T2564*1.12</f>
        <v>4704</v>
      </c>
      <c r="V2564" s="8"/>
      <c r="W2564" s="11">
        <v>2015</v>
      </c>
      <c r="X2564" s="8"/>
    </row>
    <row r="2565" spans="1:24" ht="76.5" customHeight="1" outlineLevel="1" x14ac:dyDescent="0.2">
      <c r="A2565" s="1" t="s">
        <v>4089</v>
      </c>
      <c r="B2565" s="24" t="s">
        <v>5277</v>
      </c>
      <c r="C2565" s="25" t="s">
        <v>1236</v>
      </c>
      <c r="D2565" s="25" t="s">
        <v>1235</v>
      </c>
      <c r="E2565" s="25" t="s">
        <v>1234</v>
      </c>
      <c r="F2565" s="25"/>
      <c r="G2565" s="1" t="s">
        <v>3190</v>
      </c>
      <c r="H2565" s="17">
        <v>0</v>
      </c>
      <c r="I2565" s="18">
        <v>710000000</v>
      </c>
      <c r="J2565" s="4" t="s">
        <v>1931</v>
      </c>
      <c r="K2565" s="4" t="s">
        <v>5297</v>
      </c>
      <c r="L2565" s="7" t="s">
        <v>1889</v>
      </c>
      <c r="M2565" s="8" t="s">
        <v>3195</v>
      </c>
      <c r="N2565" s="8" t="s">
        <v>1890</v>
      </c>
      <c r="O2565" s="8" t="s">
        <v>1935</v>
      </c>
      <c r="P2565" s="8">
        <v>796</v>
      </c>
      <c r="Q2565" s="8" t="s">
        <v>3196</v>
      </c>
      <c r="R2565" s="10">
        <v>180</v>
      </c>
      <c r="S2565" s="10">
        <v>160.84</v>
      </c>
      <c r="T2565" s="10">
        <v>0</v>
      </c>
      <c r="U2565" s="10">
        <f t="shared" si="1363"/>
        <v>0</v>
      </c>
      <c r="V2565" s="8"/>
      <c r="W2565" s="11">
        <v>2015</v>
      </c>
      <c r="X2565" s="8" t="s">
        <v>8195</v>
      </c>
    </row>
    <row r="2566" spans="1:24" ht="76.5" customHeight="1" outlineLevel="1" x14ac:dyDescent="0.2">
      <c r="A2566" s="1" t="s">
        <v>9086</v>
      </c>
      <c r="B2566" s="24" t="s">
        <v>5277</v>
      </c>
      <c r="C2566" s="25" t="s">
        <v>1236</v>
      </c>
      <c r="D2566" s="25" t="s">
        <v>1235</v>
      </c>
      <c r="E2566" s="25" t="s">
        <v>1234</v>
      </c>
      <c r="F2566" s="25"/>
      <c r="G2566" s="1" t="s">
        <v>3190</v>
      </c>
      <c r="H2566" s="17">
        <v>0</v>
      </c>
      <c r="I2566" s="18">
        <v>710000000</v>
      </c>
      <c r="J2566" s="4" t="s">
        <v>1931</v>
      </c>
      <c r="K2566" s="4" t="s">
        <v>9078</v>
      </c>
      <c r="L2566" s="7" t="s">
        <v>1889</v>
      </c>
      <c r="M2566" s="8" t="s">
        <v>3195</v>
      </c>
      <c r="N2566" s="8" t="s">
        <v>1890</v>
      </c>
      <c r="O2566" s="8" t="s">
        <v>1935</v>
      </c>
      <c r="P2566" s="8">
        <v>796</v>
      </c>
      <c r="Q2566" s="8" t="s">
        <v>3196</v>
      </c>
      <c r="R2566" s="10">
        <v>80</v>
      </c>
      <c r="S2566" s="10">
        <v>175</v>
      </c>
      <c r="T2566" s="10">
        <f t="shared" ref="T2566" si="1516">R2566*S2566</f>
        <v>14000</v>
      </c>
      <c r="U2566" s="10">
        <f t="shared" ref="U2566" si="1517">T2566*1.12</f>
        <v>15680.000000000002</v>
      </c>
      <c r="V2566" s="8"/>
      <c r="W2566" s="11">
        <v>2015</v>
      </c>
      <c r="X2566" s="8"/>
    </row>
    <row r="2567" spans="1:24" ht="76.5" customHeight="1" outlineLevel="1" x14ac:dyDescent="0.2">
      <c r="A2567" s="1" t="s">
        <v>4090</v>
      </c>
      <c r="B2567" s="24" t="s">
        <v>5277</v>
      </c>
      <c r="C2567" s="25" t="s">
        <v>498</v>
      </c>
      <c r="D2567" s="25" t="s">
        <v>469</v>
      </c>
      <c r="E2567" s="25" t="s">
        <v>497</v>
      </c>
      <c r="F2567" s="25" t="s">
        <v>694</v>
      </c>
      <c r="G2567" s="1" t="s">
        <v>3190</v>
      </c>
      <c r="H2567" s="17">
        <v>0</v>
      </c>
      <c r="I2567" s="18">
        <v>710000000</v>
      </c>
      <c r="J2567" s="4" t="s">
        <v>1931</v>
      </c>
      <c r="K2567" s="4" t="s">
        <v>5297</v>
      </c>
      <c r="L2567" s="7" t="s">
        <v>1889</v>
      </c>
      <c r="M2567" s="8" t="s">
        <v>3195</v>
      </c>
      <c r="N2567" s="8" t="s">
        <v>1890</v>
      </c>
      <c r="O2567" s="8" t="s">
        <v>1935</v>
      </c>
      <c r="P2567" s="8">
        <v>796</v>
      </c>
      <c r="Q2567" s="8" t="s">
        <v>3196</v>
      </c>
      <c r="R2567" s="10">
        <v>8</v>
      </c>
      <c r="S2567" s="10">
        <v>4469.63</v>
      </c>
      <c r="T2567" s="10">
        <f t="shared" si="1509"/>
        <v>35757.040000000001</v>
      </c>
      <c r="U2567" s="10">
        <f t="shared" si="1363"/>
        <v>40047.884800000007</v>
      </c>
      <c r="V2567" s="8"/>
      <c r="W2567" s="11">
        <v>2015</v>
      </c>
      <c r="X2567" s="8"/>
    </row>
    <row r="2568" spans="1:24" s="13" customFormat="1" ht="76.5" customHeight="1" outlineLevel="1" x14ac:dyDescent="0.2">
      <c r="A2568" s="1" t="s">
        <v>4091</v>
      </c>
      <c r="B2568" s="2" t="s">
        <v>5277</v>
      </c>
      <c r="C2568" s="2" t="s">
        <v>3432</v>
      </c>
      <c r="D2568" s="2" t="s">
        <v>5370</v>
      </c>
      <c r="E2568" s="6" t="s">
        <v>6031</v>
      </c>
      <c r="F2568" s="52" t="s">
        <v>3439</v>
      </c>
      <c r="G2568" s="1" t="s">
        <v>3187</v>
      </c>
      <c r="H2568" s="5">
        <v>0</v>
      </c>
      <c r="I2568" s="6">
        <v>710000000</v>
      </c>
      <c r="J2568" s="4" t="s">
        <v>1931</v>
      </c>
      <c r="K2568" s="4" t="s">
        <v>5297</v>
      </c>
      <c r="L2568" s="3" t="s">
        <v>1165</v>
      </c>
      <c r="M2568" s="8" t="s">
        <v>3195</v>
      </c>
      <c r="N2568" s="3" t="s">
        <v>1890</v>
      </c>
      <c r="O2568" s="8" t="s">
        <v>1935</v>
      </c>
      <c r="P2568" s="8">
        <v>796</v>
      </c>
      <c r="Q2568" s="8" t="s">
        <v>3196</v>
      </c>
      <c r="R2568" s="69">
        <f>45+24</f>
        <v>69</v>
      </c>
      <c r="S2568" s="69">
        <v>7615.18</v>
      </c>
      <c r="T2568" s="10">
        <v>0</v>
      </c>
      <c r="U2568" s="10">
        <f t="shared" si="1363"/>
        <v>0</v>
      </c>
      <c r="V2568" s="7"/>
      <c r="W2568" s="1">
        <v>2015</v>
      </c>
      <c r="X2568" s="62" t="s">
        <v>7678</v>
      </c>
    </row>
    <row r="2569" spans="1:24" s="13" customFormat="1" ht="76.5" customHeight="1" outlineLevel="1" x14ac:dyDescent="0.2">
      <c r="A2569" s="1" t="s">
        <v>7852</v>
      </c>
      <c r="B2569" s="2" t="s">
        <v>5277</v>
      </c>
      <c r="C2569" s="2" t="s">
        <v>3432</v>
      </c>
      <c r="D2569" s="2" t="s">
        <v>5370</v>
      </c>
      <c r="E2569" s="6" t="s">
        <v>6031</v>
      </c>
      <c r="F2569" s="52" t="s">
        <v>3439</v>
      </c>
      <c r="G2569" s="1" t="s">
        <v>3190</v>
      </c>
      <c r="H2569" s="5">
        <v>0</v>
      </c>
      <c r="I2569" s="6">
        <v>710000000</v>
      </c>
      <c r="J2569" s="4" t="s">
        <v>1931</v>
      </c>
      <c r="K2569" s="4" t="s">
        <v>756</v>
      </c>
      <c r="L2569" s="3" t="s">
        <v>1165</v>
      </c>
      <c r="M2569" s="8" t="s">
        <v>3195</v>
      </c>
      <c r="N2569" s="3" t="s">
        <v>1890</v>
      </c>
      <c r="O2569" s="8" t="s">
        <v>1935</v>
      </c>
      <c r="P2569" s="8">
        <v>796</v>
      </c>
      <c r="Q2569" s="8" t="s">
        <v>3196</v>
      </c>
      <c r="R2569" s="69">
        <f>45+20</f>
        <v>65</v>
      </c>
      <c r="S2569" s="69">
        <v>7615.18</v>
      </c>
      <c r="T2569" s="10">
        <v>0</v>
      </c>
      <c r="U2569" s="10">
        <f t="shared" ref="U2569" si="1518">T2569*1.12</f>
        <v>0</v>
      </c>
      <c r="V2569" s="7"/>
      <c r="W2569" s="1">
        <v>2015</v>
      </c>
      <c r="X2569" s="62">
        <v>11</v>
      </c>
    </row>
    <row r="2570" spans="1:24" s="13" customFormat="1" ht="76.5" customHeight="1" outlineLevel="1" x14ac:dyDescent="0.2">
      <c r="A2570" s="1" t="s">
        <v>9905</v>
      </c>
      <c r="B2570" s="2" t="s">
        <v>5277</v>
      </c>
      <c r="C2570" s="2" t="s">
        <v>3432</v>
      </c>
      <c r="D2570" s="2" t="s">
        <v>5370</v>
      </c>
      <c r="E2570" s="6" t="s">
        <v>6031</v>
      </c>
      <c r="F2570" s="52" t="s">
        <v>3439</v>
      </c>
      <c r="G2570" s="1" t="s">
        <v>3190</v>
      </c>
      <c r="H2570" s="5">
        <v>0</v>
      </c>
      <c r="I2570" s="6">
        <v>710000000</v>
      </c>
      <c r="J2570" s="4" t="s">
        <v>1931</v>
      </c>
      <c r="K2570" s="4" t="s">
        <v>9276</v>
      </c>
      <c r="L2570" s="3" t="s">
        <v>1165</v>
      </c>
      <c r="M2570" s="8" t="s">
        <v>3195</v>
      </c>
      <c r="N2570" s="3" t="s">
        <v>1890</v>
      </c>
      <c r="O2570" s="8" t="s">
        <v>1935</v>
      </c>
      <c r="P2570" s="8">
        <v>796</v>
      </c>
      <c r="Q2570" s="8" t="s">
        <v>3196</v>
      </c>
      <c r="R2570" s="69">
        <f>45+20</f>
        <v>65</v>
      </c>
      <c r="S2570" s="69">
        <v>7615.18</v>
      </c>
      <c r="T2570" s="10">
        <f t="shared" ref="T2570" si="1519">S2570*R2570</f>
        <v>494986.7</v>
      </c>
      <c r="U2570" s="10">
        <f t="shared" ref="U2570" si="1520">T2570*1.12</f>
        <v>554385.10400000005</v>
      </c>
      <c r="V2570" s="7"/>
      <c r="W2570" s="1">
        <v>2015</v>
      </c>
      <c r="X2570" s="62"/>
    </row>
    <row r="2571" spans="1:24" s="13" customFormat="1" ht="76.5" customHeight="1" outlineLevel="1" x14ac:dyDescent="0.2">
      <c r="A2571" s="1" t="s">
        <v>4092</v>
      </c>
      <c r="B2571" s="38" t="s">
        <v>5277</v>
      </c>
      <c r="C2571" s="2" t="s">
        <v>3432</v>
      </c>
      <c r="D2571" s="2" t="s">
        <v>5370</v>
      </c>
      <c r="E2571" s="6" t="s">
        <v>6031</v>
      </c>
      <c r="F2571" s="52" t="s">
        <v>3438</v>
      </c>
      <c r="G2571" s="1" t="s">
        <v>3187</v>
      </c>
      <c r="H2571" s="5">
        <v>0</v>
      </c>
      <c r="I2571" s="6">
        <v>710000000</v>
      </c>
      <c r="J2571" s="4" t="s">
        <v>1931</v>
      </c>
      <c r="K2571" s="4" t="s">
        <v>5297</v>
      </c>
      <c r="L2571" s="3" t="s">
        <v>1165</v>
      </c>
      <c r="M2571" s="8" t="s">
        <v>3195</v>
      </c>
      <c r="N2571" s="3" t="s">
        <v>1890</v>
      </c>
      <c r="O2571" s="8" t="s">
        <v>1935</v>
      </c>
      <c r="P2571" s="8">
        <v>796</v>
      </c>
      <c r="Q2571" s="8" t="s">
        <v>3196</v>
      </c>
      <c r="R2571" s="9">
        <f>92+101</f>
        <v>193</v>
      </c>
      <c r="S2571" s="9">
        <v>4873.12</v>
      </c>
      <c r="T2571" s="10">
        <v>0</v>
      </c>
      <c r="U2571" s="10">
        <f t="shared" si="1363"/>
        <v>0</v>
      </c>
      <c r="V2571" s="7"/>
      <c r="W2571" s="11">
        <v>2015</v>
      </c>
      <c r="X2571" s="12" t="s">
        <v>6562</v>
      </c>
    </row>
    <row r="2572" spans="1:24" s="13" customFormat="1" ht="76.5" customHeight="1" outlineLevel="1" x14ac:dyDescent="0.2">
      <c r="A2572" s="1" t="s">
        <v>6679</v>
      </c>
      <c r="B2572" s="2" t="s">
        <v>5277</v>
      </c>
      <c r="C2572" s="2" t="s">
        <v>3432</v>
      </c>
      <c r="D2572" s="2" t="s">
        <v>5370</v>
      </c>
      <c r="E2572" s="6" t="s">
        <v>6031</v>
      </c>
      <c r="F2572" s="52" t="s">
        <v>3438</v>
      </c>
      <c r="G2572" s="1" t="s">
        <v>3187</v>
      </c>
      <c r="H2572" s="5">
        <v>0</v>
      </c>
      <c r="I2572" s="6">
        <v>710000000</v>
      </c>
      <c r="J2572" s="4" t="s">
        <v>1931</v>
      </c>
      <c r="K2572" s="4" t="s">
        <v>5297</v>
      </c>
      <c r="L2572" s="3" t="s">
        <v>1165</v>
      </c>
      <c r="M2572" s="8" t="s">
        <v>3195</v>
      </c>
      <c r="N2572" s="3" t="s">
        <v>1890</v>
      </c>
      <c r="O2572" s="8" t="s">
        <v>1935</v>
      </c>
      <c r="P2572" s="8">
        <v>796</v>
      </c>
      <c r="Q2572" s="8" t="s">
        <v>3196</v>
      </c>
      <c r="R2572" s="69">
        <f>42+101</f>
        <v>143</v>
      </c>
      <c r="S2572" s="69">
        <v>4873.12</v>
      </c>
      <c r="T2572" s="10">
        <v>0</v>
      </c>
      <c r="U2572" s="10">
        <f t="shared" si="1363"/>
        <v>0</v>
      </c>
      <c r="V2572" s="7"/>
      <c r="W2572" s="1">
        <v>2015</v>
      </c>
      <c r="X2572" s="62" t="s">
        <v>7678</v>
      </c>
    </row>
    <row r="2573" spans="1:24" s="13" customFormat="1" ht="76.5" customHeight="1" outlineLevel="1" x14ac:dyDescent="0.2">
      <c r="A2573" s="1" t="s">
        <v>7853</v>
      </c>
      <c r="B2573" s="2" t="s">
        <v>5277</v>
      </c>
      <c r="C2573" s="2" t="s">
        <v>3432</v>
      </c>
      <c r="D2573" s="2" t="s">
        <v>5370</v>
      </c>
      <c r="E2573" s="6" t="s">
        <v>6031</v>
      </c>
      <c r="F2573" s="52" t="s">
        <v>3438</v>
      </c>
      <c r="G2573" s="1" t="s">
        <v>3190</v>
      </c>
      <c r="H2573" s="5">
        <v>0</v>
      </c>
      <c r="I2573" s="6">
        <v>710000000</v>
      </c>
      <c r="J2573" s="4" t="s">
        <v>1931</v>
      </c>
      <c r="K2573" s="4" t="s">
        <v>756</v>
      </c>
      <c r="L2573" s="3" t="s">
        <v>1165</v>
      </c>
      <c r="M2573" s="8" t="s">
        <v>3195</v>
      </c>
      <c r="N2573" s="3" t="s">
        <v>1890</v>
      </c>
      <c r="O2573" s="8" t="s">
        <v>1935</v>
      </c>
      <c r="P2573" s="8">
        <v>796</v>
      </c>
      <c r="Q2573" s="8" t="s">
        <v>3196</v>
      </c>
      <c r="R2573" s="69">
        <f>42+95</f>
        <v>137</v>
      </c>
      <c r="S2573" s="69">
        <v>4873.12</v>
      </c>
      <c r="T2573" s="10">
        <v>0</v>
      </c>
      <c r="U2573" s="10">
        <f t="shared" ref="U2573" si="1521">T2573*1.12</f>
        <v>0</v>
      </c>
      <c r="V2573" s="7"/>
      <c r="W2573" s="1">
        <v>2015</v>
      </c>
      <c r="X2573" s="62">
        <v>11</v>
      </c>
    </row>
    <row r="2574" spans="1:24" s="13" customFormat="1" ht="76.5" customHeight="1" outlineLevel="1" x14ac:dyDescent="0.2">
      <c r="A2574" s="1" t="s">
        <v>9906</v>
      </c>
      <c r="B2574" s="2" t="s">
        <v>5277</v>
      </c>
      <c r="C2574" s="2" t="s">
        <v>3432</v>
      </c>
      <c r="D2574" s="2" t="s">
        <v>5370</v>
      </c>
      <c r="E2574" s="6" t="s">
        <v>6031</v>
      </c>
      <c r="F2574" s="52" t="s">
        <v>3438</v>
      </c>
      <c r="G2574" s="1" t="s">
        <v>3190</v>
      </c>
      <c r="H2574" s="5">
        <v>0</v>
      </c>
      <c r="I2574" s="6">
        <v>710000000</v>
      </c>
      <c r="J2574" s="4" t="s">
        <v>1931</v>
      </c>
      <c r="K2574" s="4" t="s">
        <v>9276</v>
      </c>
      <c r="L2574" s="3" t="s">
        <v>1165</v>
      </c>
      <c r="M2574" s="8" t="s">
        <v>3195</v>
      </c>
      <c r="N2574" s="3" t="s">
        <v>1890</v>
      </c>
      <c r="O2574" s="8" t="s">
        <v>1935</v>
      </c>
      <c r="P2574" s="8">
        <v>796</v>
      </c>
      <c r="Q2574" s="8" t="s">
        <v>3196</v>
      </c>
      <c r="R2574" s="69">
        <f>42+95</f>
        <v>137</v>
      </c>
      <c r="S2574" s="69">
        <v>4873.12</v>
      </c>
      <c r="T2574" s="10">
        <f t="shared" ref="T2574" si="1522">S2574*R2574</f>
        <v>667617.43999999994</v>
      </c>
      <c r="U2574" s="10">
        <f t="shared" ref="U2574" si="1523">T2574*1.12</f>
        <v>747731.53280000004</v>
      </c>
      <c r="V2574" s="7"/>
      <c r="W2574" s="1">
        <v>2015</v>
      </c>
      <c r="X2574" s="62"/>
    </row>
    <row r="2575" spans="1:24" s="13" customFormat="1" ht="76.5" customHeight="1" outlineLevel="1" x14ac:dyDescent="0.2">
      <c r="A2575" s="1" t="s">
        <v>4093</v>
      </c>
      <c r="B2575" s="2" t="s">
        <v>5277</v>
      </c>
      <c r="C2575" s="2" t="s">
        <v>3457</v>
      </c>
      <c r="D2575" s="2" t="s">
        <v>1977</v>
      </c>
      <c r="E2575" s="2" t="s">
        <v>5993</v>
      </c>
      <c r="F2575" s="52" t="s">
        <v>236</v>
      </c>
      <c r="G2575" s="1" t="s">
        <v>3187</v>
      </c>
      <c r="H2575" s="5">
        <v>0</v>
      </c>
      <c r="I2575" s="6">
        <v>710000000</v>
      </c>
      <c r="J2575" s="4" t="s">
        <v>1931</v>
      </c>
      <c r="K2575" s="4" t="s">
        <v>5297</v>
      </c>
      <c r="L2575" s="3" t="s">
        <v>1165</v>
      </c>
      <c r="M2575" s="8" t="s">
        <v>3195</v>
      </c>
      <c r="N2575" s="3" t="s">
        <v>1890</v>
      </c>
      <c r="O2575" s="8" t="s">
        <v>1935</v>
      </c>
      <c r="P2575" s="8">
        <v>796</v>
      </c>
      <c r="Q2575" s="8" t="s">
        <v>3196</v>
      </c>
      <c r="R2575" s="69">
        <f>2+101</f>
        <v>103</v>
      </c>
      <c r="S2575" s="69">
        <v>5000</v>
      </c>
      <c r="T2575" s="10">
        <v>0</v>
      </c>
      <c r="U2575" s="10">
        <f t="shared" si="1363"/>
        <v>0</v>
      </c>
      <c r="V2575" s="7"/>
      <c r="W2575" s="1">
        <v>2015</v>
      </c>
      <c r="X2575" s="62" t="s">
        <v>7678</v>
      </c>
    </row>
    <row r="2576" spans="1:24" s="13" customFormat="1" ht="76.5" customHeight="1" outlineLevel="1" x14ac:dyDescent="0.2">
      <c r="A2576" s="1" t="s">
        <v>7854</v>
      </c>
      <c r="B2576" s="2" t="s">
        <v>5277</v>
      </c>
      <c r="C2576" s="2" t="s">
        <v>3457</v>
      </c>
      <c r="D2576" s="2" t="s">
        <v>1977</v>
      </c>
      <c r="E2576" s="2" t="s">
        <v>5993</v>
      </c>
      <c r="F2576" s="52" t="s">
        <v>236</v>
      </c>
      <c r="G2576" s="1" t="s">
        <v>3190</v>
      </c>
      <c r="H2576" s="5">
        <v>0</v>
      </c>
      <c r="I2576" s="6">
        <v>710000000</v>
      </c>
      <c r="J2576" s="4" t="s">
        <v>1931</v>
      </c>
      <c r="K2576" s="4" t="s">
        <v>756</v>
      </c>
      <c r="L2576" s="3" t="s">
        <v>1165</v>
      </c>
      <c r="M2576" s="8" t="s">
        <v>3195</v>
      </c>
      <c r="N2576" s="3" t="s">
        <v>1890</v>
      </c>
      <c r="O2576" s="8" t="s">
        <v>1935</v>
      </c>
      <c r="P2576" s="8">
        <v>796</v>
      </c>
      <c r="Q2576" s="8" t="s">
        <v>3196</v>
      </c>
      <c r="R2576" s="69">
        <f>2+90</f>
        <v>92</v>
      </c>
      <c r="S2576" s="69">
        <v>5000</v>
      </c>
      <c r="T2576" s="10">
        <v>0</v>
      </c>
      <c r="U2576" s="10">
        <f t="shared" ref="U2576" si="1524">T2576*1.12</f>
        <v>0</v>
      </c>
      <c r="V2576" s="7"/>
      <c r="W2576" s="1">
        <v>2015</v>
      </c>
      <c r="X2576" s="62">
        <v>11</v>
      </c>
    </row>
    <row r="2577" spans="1:24" s="13" customFormat="1" ht="76.5" customHeight="1" outlineLevel="1" x14ac:dyDescent="0.2">
      <c r="A2577" s="1" t="s">
        <v>9907</v>
      </c>
      <c r="B2577" s="2" t="s">
        <v>5277</v>
      </c>
      <c r="C2577" s="2" t="s">
        <v>3457</v>
      </c>
      <c r="D2577" s="2" t="s">
        <v>1977</v>
      </c>
      <c r="E2577" s="2" t="s">
        <v>5993</v>
      </c>
      <c r="F2577" s="52" t="s">
        <v>236</v>
      </c>
      <c r="G2577" s="1" t="s">
        <v>3190</v>
      </c>
      <c r="H2577" s="5">
        <v>0</v>
      </c>
      <c r="I2577" s="6">
        <v>710000000</v>
      </c>
      <c r="J2577" s="4" t="s">
        <v>1931</v>
      </c>
      <c r="K2577" s="4" t="s">
        <v>9276</v>
      </c>
      <c r="L2577" s="3" t="s">
        <v>1165</v>
      </c>
      <c r="M2577" s="8" t="s">
        <v>3195</v>
      </c>
      <c r="N2577" s="3" t="s">
        <v>1890</v>
      </c>
      <c r="O2577" s="8" t="s">
        <v>1935</v>
      </c>
      <c r="P2577" s="8">
        <v>796</v>
      </c>
      <c r="Q2577" s="8" t="s">
        <v>3196</v>
      </c>
      <c r="R2577" s="69">
        <f>2+90</f>
        <v>92</v>
      </c>
      <c r="S2577" s="69">
        <v>5000</v>
      </c>
      <c r="T2577" s="10">
        <f t="shared" ref="T2577" si="1525">S2577*R2577</f>
        <v>460000</v>
      </c>
      <c r="U2577" s="10">
        <f t="shared" ref="U2577" si="1526">T2577*1.12</f>
        <v>515200.00000000006</v>
      </c>
      <c r="V2577" s="7"/>
      <c r="W2577" s="1">
        <v>2015</v>
      </c>
      <c r="X2577" s="62"/>
    </row>
    <row r="2578" spans="1:24" s="13" customFormat="1" ht="76.5" customHeight="1" outlineLevel="1" x14ac:dyDescent="0.2">
      <c r="A2578" s="1" t="s">
        <v>4094</v>
      </c>
      <c r="B2578" s="2" t="s">
        <v>5277</v>
      </c>
      <c r="C2578" s="2" t="s">
        <v>239</v>
      </c>
      <c r="D2578" s="2" t="s">
        <v>238</v>
      </c>
      <c r="E2578" s="2" t="s">
        <v>237</v>
      </c>
      <c r="F2578" s="52" t="s">
        <v>236</v>
      </c>
      <c r="G2578" s="1" t="s">
        <v>3187</v>
      </c>
      <c r="H2578" s="5">
        <v>0</v>
      </c>
      <c r="I2578" s="6">
        <v>710000000</v>
      </c>
      <c r="J2578" s="4" t="s">
        <v>1931</v>
      </c>
      <c r="K2578" s="4" t="s">
        <v>5297</v>
      </c>
      <c r="L2578" s="3" t="s">
        <v>1165</v>
      </c>
      <c r="M2578" s="8" t="s">
        <v>3195</v>
      </c>
      <c r="N2578" s="3" t="s">
        <v>1890</v>
      </c>
      <c r="O2578" s="8" t="s">
        <v>1935</v>
      </c>
      <c r="P2578" s="8">
        <v>796</v>
      </c>
      <c r="Q2578" s="8" t="s">
        <v>3196</v>
      </c>
      <c r="R2578" s="69">
        <f>14+6</f>
        <v>20</v>
      </c>
      <c r="S2578" s="69">
        <v>3954.46</v>
      </c>
      <c r="T2578" s="10">
        <v>0</v>
      </c>
      <c r="U2578" s="10">
        <f t="shared" si="1363"/>
        <v>0</v>
      </c>
      <c r="V2578" s="7"/>
      <c r="W2578" s="1">
        <v>2015</v>
      </c>
      <c r="X2578" s="62">
        <v>7.11</v>
      </c>
    </row>
    <row r="2579" spans="1:24" s="13" customFormat="1" ht="76.5" customHeight="1" outlineLevel="1" x14ac:dyDescent="0.2">
      <c r="A2579" s="1" t="s">
        <v>7855</v>
      </c>
      <c r="B2579" s="2" t="s">
        <v>5277</v>
      </c>
      <c r="C2579" s="2" t="s">
        <v>239</v>
      </c>
      <c r="D2579" s="2" t="s">
        <v>238</v>
      </c>
      <c r="E2579" s="2" t="s">
        <v>237</v>
      </c>
      <c r="F2579" s="52" t="s">
        <v>236</v>
      </c>
      <c r="G2579" s="1" t="s">
        <v>3190</v>
      </c>
      <c r="H2579" s="5">
        <v>0</v>
      </c>
      <c r="I2579" s="6">
        <v>710000000</v>
      </c>
      <c r="J2579" s="4" t="s">
        <v>1931</v>
      </c>
      <c r="K2579" s="4" t="s">
        <v>756</v>
      </c>
      <c r="L2579" s="3" t="s">
        <v>1165</v>
      </c>
      <c r="M2579" s="8" t="s">
        <v>3195</v>
      </c>
      <c r="N2579" s="3" t="s">
        <v>1890</v>
      </c>
      <c r="O2579" s="8" t="s">
        <v>1935</v>
      </c>
      <c r="P2579" s="8">
        <v>796</v>
      </c>
      <c r="Q2579" s="8" t="s">
        <v>3196</v>
      </c>
      <c r="R2579" s="69">
        <f>14+6</f>
        <v>20</v>
      </c>
      <c r="S2579" s="69">
        <v>3954.46</v>
      </c>
      <c r="T2579" s="10">
        <v>0</v>
      </c>
      <c r="U2579" s="10">
        <f t="shared" ref="U2579" si="1527">T2579*1.12</f>
        <v>0</v>
      </c>
      <c r="V2579" s="7"/>
      <c r="W2579" s="1">
        <v>2015</v>
      </c>
      <c r="X2579" s="62">
        <v>11</v>
      </c>
    </row>
    <row r="2580" spans="1:24" s="13" customFormat="1" ht="76.5" customHeight="1" outlineLevel="1" x14ac:dyDescent="0.2">
      <c r="A2580" s="1" t="s">
        <v>9908</v>
      </c>
      <c r="B2580" s="2" t="s">
        <v>5277</v>
      </c>
      <c r="C2580" s="2" t="s">
        <v>239</v>
      </c>
      <c r="D2580" s="2" t="s">
        <v>238</v>
      </c>
      <c r="E2580" s="2" t="s">
        <v>237</v>
      </c>
      <c r="F2580" s="52" t="s">
        <v>236</v>
      </c>
      <c r="G2580" s="1" t="s">
        <v>3190</v>
      </c>
      <c r="H2580" s="5">
        <v>0</v>
      </c>
      <c r="I2580" s="6">
        <v>710000000</v>
      </c>
      <c r="J2580" s="4" t="s">
        <v>1931</v>
      </c>
      <c r="K2580" s="4" t="s">
        <v>9276</v>
      </c>
      <c r="L2580" s="3" t="s">
        <v>1165</v>
      </c>
      <c r="M2580" s="8" t="s">
        <v>3195</v>
      </c>
      <c r="N2580" s="3" t="s">
        <v>1890</v>
      </c>
      <c r="O2580" s="8" t="s">
        <v>1935</v>
      </c>
      <c r="P2580" s="8">
        <v>796</v>
      </c>
      <c r="Q2580" s="8" t="s">
        <v>3196</v>
      </c>
      <c r="R2580" s="69">
        <f>14+6</f>
        <v>20</v>
      </c>
      <c r="S2580" s="69">
        <v>3954.46</v>
      </c>
      <c r="T2580" s="10">
        <f t="shared" ref="T2580" si="1528">S2580*R2580</f>
        <v>79089.2</v>
      </c>
      <c r="U2580" s="10">
        <f t="shared" ref="U2580" si="1529">T2580*1.12</f>
        <v>88579.90400000001</v>
      </c>
      <c r="V2580" s="7"/>
      <c r="W2580" s="1">
        <v>2015</v>
      </c>
      <c r="X2580" s="62"/>
    </row>
    <row r="2581" spans="1:24" s="13" customFormat="1" ht="76.5" customHeight="1" outlineLevel="1" x14ac:dyDescent="0.2">
      <c r="A2581" s="1" t="s">
        <v>4095</v>
      </c>
      <c r="B2581" s="2" t="s">
        <v>5277</v>
      </c>
      <c r="C2581" s="2" t="s">
        <v>235</v>
      </c>
      <c r="D2581" s="2" t="s">
        <v>6022</v>
      </c>
      <c r="E2581" s="2" t="s">
        <v>234</v>
      </c>
      <c r="F2581" s="2"/>
      <c r="G2581" s="3" t="s">
        <v>3190</v>
      </c>
      <c r="H2581" s="5">
        <v>0</v>
      </c>
      <c r="I2581" s="6">
        <v>710000000</v>
      </c>
      <c r="J2581" s="4" t="s">
        <v>1931</v>
      </c>
      <c r="K2581" s="4" t="s">
        <v>5297</v>
      </c>
      <c r="L2581" s="3" t="s">
        <v>1165</v>
      </c>
      <c r="M2581" s="8" t="s">
        <v>3195</v>
      </c>
      <c r="N2581" s="3" t="s">
        <v>1890</v>
      </c>
      <c r="O2581" s="8" t="s">
        <v>1935</v>
      </c>
      <c r="P2581" s="8">
        <v>796</v>
      </c>
      <c r="Q2581" s="8" t="s">
        <v>3196</v>
      </c>
      <c r="R2581" s="69">
        <v>100</v>
      </c>
      <c r="S2581" s="69">
        <v>24.11</v>
      </c>
      <c r="T2581" s="10">
        <v>0</v>
      </c>
      <c r="U2581" s="10">
        <f t="shared" si="1363"/>
        <v>0</v>
      </c>
      <c r="V2581" s="7"/>
      <c r="W2581" s="1">
        <v>2015</v>
      </c>
      <c r="X2581" s="62">
        <v>11</v>
      </c>
    </row>
    <row r="2582" spans="1:24" s="13" customFormat="1" ht="76.5" customHeight="1" outlineLevel="1" x14ac:dyDescent="0.2">
      <c r="A2582" s="1" t="s">
        <v>7856</v>
      </c>
      <c r="B2582" s="2" t="s">
        <v>5277</v>
      </c>
      <c r="C2582" s="2" t="s">
        <v>235</v>
      </c>
      <c r="D2582" s="2" t="s">
        <v>6022</v>
      </c>
      <c r="E2582" s="2" t="s">
        <v>234</v>
      </c>
      <c r="F2582" s="2"/>
      <c r="G2582" s="3" t="s">
        <v>3190</v>
      </c>
      <c r="H2582" s="5">
        <v>0</v>
      </c>
      <c r="I2582" s="6">
        <v>710000000</v>
      </c>
      <c r="J2582" s="4" t="s">
        <v>1931</v>
      </c>
      <c r="K2582" s="4" t="s">
        <v>756</v>
      </c>
      <c r="L2582" s="3" t="s">
        <v>1165</v>
      </c>
      <c r="M2582" s="8" t="s">
        <v>3195</v>
      </c>
      <c r="N2582" s="3" t="s">
        <v>1890</v>
      </c>
      <c r="O2582" s="8" t="s">
        <v>1935</v>
      </c>
      <c r="P2582" s="8">
        <v>796</v>
      </c>
      <c r="Q2582" s="8" t="s">
        <v>3196</v>
      </c>
      <c r="R2582" s="69">
        <v>100</v>
      </c>
      <c r="S2582" s="69">
        <v>24.11</v>
      </c>
      <c r="T2582" s="10">
        <f t="shared" ref="T2582" si="1530">S2582*R2582</f>
        <v>2411</v>
      </c>
      <c r="U2582" s="10">
        <f t="shared" ref="U2582" si="1531">T2582*1.12</f>
        <v>2700.32</v>
      </c>
      <c r="V2582" s="7"/>
      <c r="W2582" s="1">
        <v>2015</v>
      </c>
      <c r="X2582" s="62"/>
    </row>
    <row r="2583" spans="1:24" s="13" customFormat="1" ht="76.5" customHeight="1" outlineLevel="1" x14ac:dyDescent="0.2">
      <c r="A2583" s="1" t="s">
        <v>4096</v>
      </c>
      <c r="B2583" s="38" t="s">
        <v>5277</v>
      </c>
      <c r="C2583" s="2" t="s">
        <v>233</v>
      </c>
      <c r="D2583" s="2" t="s">
        <v>6022</v>
      </c>
      <c r="E2583" s="2" t="s">
        <v>232</v>
      </c>
      <c r="F2583" s="39"/>
      <c r="G2583" s="50" t="s">
        <v>3190</v>
      </c>
      <c r="H2583" s="5">
        <v>0</v>
      </c>
      <c r="I2583" s="6">
        <v>710000000</v>
      </c>
      <c r="J2583" s="4" t="s">
        <v>1931</v>
      </c>
      <c r="K2583" s="4" t="s">
        <v>5297</v>
      </c>
      <c r="L2583" s="3" t="s">
        <v>1165</v>
      </c>
      <c r="M2583" s="8" t="s">
        <v>3195</v>
      </c>
      <c r="N2583" s="3" t="s">
        <v>1890</v>
      </c>
      <c r="O2583" s="8" t="s">
        <v>1935</v>
      </c>
      <c r="P2583" s="8">
        <v>796</v>
      </c>
      <c r="Q2583" s="8" t="s">
        <v>3196</v>
      </c>
      <c r="R2583" s="9">
        <f>40+20+5</f>
        <v>65</v>
      </c>
      <c r="S2583" s="9">
        <v>121</v>
      </c>
      <c r="T2583" s="10">
        <v>0</v>
      </c>
      <c r="U2583" s="10">
        <f t="shared" ref="U2583:U2738" si="1532">T2583*1.12</f>
        <v>0</v>
      </c>
      <c r="V2583" s="7"/>
      <c r="W2583" s="11">
        <v>2015</v>
      </c>
      <c r="X2583" s="12" t="s">
        <v>6562</v>
      </c>
    </row>
    <row r="2584" spans="1:24" s="13" customFormat="1" ht="76.5" customHeight="1" outlineLevel="1" x14ac:dyDescent="0.2">
      <c r="A2584" s="1" t="s">
        <v>6680</v>
      </c>
      <c r="B2584" s="2" t="s">
        <v>5277</v>
      </c>
      <c r="C2584" s="2" t="s">
        <v>233</v>
      </c>
      <c r="D2584" s="2" t="s">
        <v>6022</v>
      </c>
      <c r="E2584" s="2" t="s">
        <v>232</v>
      </c>
      <c r="F2584" s="2"/>
      <c r="G2584" s="3" t="s">
        <v>3190</v>
      </c>
      <c r="H2584" s="5">
        <v>0</v>
      </c>
      <c r="I2584" s="6">
        <v>710000000</v>
      </c>
      <c r="J2584" s="4" t="s">
        <v>1931</v>
      </c>
      <c r="K2584" s="4" t="s">
        <v>5297</v>
      </c>
      <c r="L2584" s="3" t="s">
        <v>1165</v>
      </c>
      <c r="M2584" s="8" t="s">
        <v>3195</v>
      </c>
      <c r="N2584" s="3" t="s">
        <v>1890</v>
      </c>
      <c r="O2584" s="8" t="s">
        <v>1935</v>
      </c>
      <c r="P2584" s="8">
        <v>796</v>
      </c>
      <c r="Q2584" s="8" t="s">
        <v>3196</v>
      </c>
      <c r="R2584" s="69">
        <f>28+20+5</f>
        <v>53</v>
      </c>
      <c r="S2584" s="69">
        <v>121</v>
      </c>
      <c r="T2584" s="10">
        <v>0</v>
      </c>
      <c r="U2584" s="10">
        <f t="shared" si="1532"/>
        <v>0</v>
      </c>
      <c r="V2584" s="7"/>
      <c r="W2584" s="1">
        <v>2015</v>
      </c>
      <c r="X2584" s="62">
        <v>11</v>
      </c>
    </row>
    <row r="2585" spans="1:24" s="13" customFormat="1" ht="76.5" customHeight="1" outlineLevel="1" x14ac:dyDescent="0.2">
      <c r="A2585" s="1" t="s">
        <v>7857</v>
      </c>
      <c r="B2585" s="2" t="s">
        <v>5277</v>
      </c>
      <c r="C2585" s="2" t="s">
        <v>233</v>
      </c>
      <c r="D2585" s="2" t="s">
        <v>6022</v>
      </c>
      <c r="E2585" s="2" t="s">
        <v>232</v>
      </c>
      <c r="F2585" s="2"/>
      <c r="G2585" s="3" t="s">
        <v>3190</v>
      </c>
      <c r="H2585" s="5">
        <v>0</v>
      </c>
      <c r="I2585" s="6">
        <v>710000000</v>
      </c>
      <c r="J2585" s="4" t="s">
        <v>1931</v>
      </c>
      <c r="K2585" s="4" t="s">
        <v>756</v>
      </c>
      <c r="L2585" s="3" t="s">
        <v>1165</v>
      </c>
      <c r="M2585" s="8" t="s">
        <v>3195</v>
      </c>
      <c r="N2585" s="3" t="s">
        <v>1890</v>
      </c>
      <c r="O2585" s="8" t="s">
        <v>1935</v>
      </c>
      <c r="P2585" s="8">
        <v>796</v>
      </c>
      <c r="Q2585" s="8" t="s">
        <v>3196</v>
      </c>
      <c r="R2585" s="69">
        <f>28+20+5</f>
        <v>53</v>
      </c>
      <c r="S2585" s="69">
        <v>121</v>
      </c>
      <c r="T2585" s="10">
        <f t="shared" ref="T2585" si="1533">S2585*R2585</f>
        <v>6413</v>
      </c>
      <c r="U2585" s="10">
        <f t="shared" ref="U2585" si="1534">T2585*1.12</f>
        <v>7182.56</v>
      </c>
      <c r="V2585" s="7"/>
      <c r="W2585" s="1">
        <v>2015</v>
      </c>
      <c r="X2585" s="62"/>
    </row>
    <row r="2586" spans="1:24" s="13" customFormat="1" ht="76.5" customHeight="1" outlineLevel="1" x14ac:dyDescent="0.2">
      <c r="A2586" s="1" t="s">
        <v>4097</v>
      </c>
      <c r="B2586" s="2" t="s">
        <v>5277</v>
      </c>
      <c r="C2586" s="2" t="s">
        <v>3101</v>
      </c>
      <c r="D2586" s="2" t="s">
        <v>5686</v>
      </c>
      <c r="E2586" s="2" t="s">
        <v>231</v>
      </c>
      <c r="F2586" s="2"/>
      <c r="G2586" s="3" t="s">
        <v>3190</v>
      </c>
      <c r="H2586" s="5">
        <v>0</v>
      </c>
      <c r="I2586" s="6">
        <v>710000000</v>
      </c>
      <c r="J2586" s="4" t="s">
        <v>1931</v>
      </c>
      <c r="K2586" s="4" t="s">
        <v>5297</v>
      </c>
      <c r="L2586" s="3" t="s">
        <v>1165</v>
      </c>
      <c r="M2586" s="8" t="s">
        <v>3195</v>
      </c>
      <c r="N2586" s="3" t="s">
        <v>1890</v>
      </c>
      <c r="O2586" s="8" t="s">
        <v>1935</v>
      </c>
      <c r="P2586" s="8">
        <v>796</v>
      </c>
      <c r="Q2586" s="8" t="s">
        <v>3196</v>
      </c>
      <c r="R2586" s="69">
        <f>160+49</f>
        <v>209</v>
      </c>
      <c r="S2586" s="69">
        <v>24.11</v>
      </c>
      <c r="T2586" s="10">
        <v>0</v>
      </c>
      <c r="U2586" s="10">
        <f t="shared" si="1532"/>
        <v>0</v>
      </c>
      <c r="V2586" s="7"/>
      <c r="W2586" s="1">
        <v>2015</v>
      </c>
      <c r="X2586" s="62">
        <v>11</v>
      </c>
    </row>
    <row r="2587" spans="1:24" s="13" customFormat="1" ht="76.5" customHeight="1" outlineLevel="1" x14ac:dyDescent="0.2">
      <c r="A2587" s="1" t="s">
        <v>7858</v>
      </c>
      <c r="B2587" s="2" t="s">
        <v>5277</v>
      </c>
      <c r="C2587" s="2" t="s">
        <v>3101</v>
      </c>
      <c r="D2587" s="2" t="s">
        <v>5686</v>
      </c>
      <c r="E2587" s="2" t="s">
        <v>231</v>
      </c>
      <c r="F2587" s="2"/>
      <c r="G2587" s="3" t="s">
        <v>3190</v>
      </c>
      <c r="H2587" s="5">
        <v>0</v>
      </c>
      <c r="I2587" s="6">
        <v>710000000</v>
      </c>
      <c r="J2587" s="4" t="s">
        <v>1931</v>
      </c>
      <c r="K2587" s="4" t="s">
        <v>756</v>
      </c>
      <c r="L2587" s="3" t="s">
        <v>1165</v>
      </c>
      <c r="M2587" s="8" t="s">
        <v>3195</v>
      </c>
      <c r="N2587" s="3" t="s">
        <v>1890</v>
      </c>
      <c r="O2587" s="8" t="s">
        <v>1935</v>
      </c>
      <c r="P2587" s="8">
        <v>796</v>
      </c>
      <c r="Q2587" s="8" t="s">
        <v>3196</v>
      </c>
      <c r="R2587" s="69">
        <f>160+49</f>
        <v>209</v>
      </c>
      <c r="S2587" s="69">
        <v>24.11</v>
      </c>
      <c r="T2587" s="10">
        <f t="shared" ref="T2587" si="1535">S2587*R2587</f>
        <v>5038.99</v>
      </c>
      <c r="U2587" s="10">
        <f t="shared" ref="U2587" si="1536">T2587*1.12</f>
        <v>5643.6688000000004</v>
      </c>
      <c r="V2587" s="7"/>
      <c r="W2587" s="1">
        <v>2015</v>
      </c>
      <c r="X2587" s="62"/>
    </row>
    <row r="2588" spans="1:24" s="13" customFormat="1" ht="76.5" customHeight="1" outlineLevel="1" x14ac:dyDescent="0.2">
      <c r="A2588" s="1" t="s">
        <v>4098</v>
      </c>
      <c r="B2588" s="38" t="s">
        <v>5277</v>
      </c>
      <c r="C2588" s="2" t="s">
        <v>230</v>
      </c>
      <c r="D2588" s="2" t="s">
        <v>3850</v>
      </c>
      <c r="E2588" s="2" t="s">
        <v>5950</v>
      </c>
      <c r="F2588" s="39"/>
      <c r="G2588" s="50" t="s">
        <v>3190</v>
      </c>
      <c r="H2588" s="5">
        <v>0</v>
      </c>
      <c r="I2588" s="6">
        <v>710000000</v>
      </c>
      <c r="J2588" s="4" t="s">
        <v>1931</v>
      </c>
      <c r="K2588" s="4" t="s">
        <v>5297</v>
      </c>
      <c r="L2588" s="3" t="s">
        <v>1165</v>
      </c>
      <c r="M2588" s="8" t="s">
        <v>3195</v>
      </c>
      <c r="N2588" s="3" t="s">
        <v>1890</v>
      </c>
      <c r="O2588" s="8" t="s">
        <v>1935</v>
      </c>
      <c r="P2588" s="8">
        <v>796</v>
      </c>
      <c r="Q2588" s="8" t="s">
        <v>3196</v>
      </c>
      <c r="R2588" s="9">
        <f>84+42</f>
        <v>126</v>
      </c>
      <c r="S2588" s="9">
        <v>200</v>
      </c>
      <c r="T2588" s="10">
        <v>0</v>
      </c>
      <c r="U2588" s="10">
        <f t="shared" si="1532"/>
        <v>0</v>
      </c>
      <c r="V2588" s="7"/>
      <c r="W2588" s="11">
        <v>2015</v>
      </c>
      <c r="X2588" s="12" t="s">
        <v>6562</v>
      </c>
    </row>
    <row r="2589" spans="1:24" s="13" customFormat="1" ht="76.5" customHeight="1" outlineLevel="1" x14ac:dyDescent="0.2">
      <c r="A2589" s="1" t="s">
        <v>6681</v>
      </c>
      <c r="B2589" s="2" t="s">
        <v>5277</v>
      </c>
      <c r="C2589" s="2" t="s">
        <v>230</v>
      </c>
      <c r="D2589" s="2" t="s">
        <v>3850</v>
      </c>
      <c r="E2589" s="2" t="s">
        <v>5950</v>
      </c>
      <c r="F2589" s="2"/>
      <c r="G2589" s="3" t="s">
        <v>3190</v>
      </c>
      <c r="H2589" s="5">
        <v>0</v>
      </c>
      <c r="I2589" s="6">
        <v>710000000</v>
      </c>
      <c r="J2589" s="4" t="s">
        <v>1931</v>
      </c>
      <c r="K2589" s="4" t="s">
        <v>5297</v>
      </c>
      <c r="L2589" s="3" t="s">
        <v>1165</v>
      </c>
      <c r="M2589" s="8" t="s">
        <v>3195</v>
      </c>
      <c r="N2589" s="3" t="s">
        <v>1890</v>
      </c>
      <c r="O2589" s="8" t="s">
        <v>1935</v>
      </c>
      <c r="P2589" s="8">
        <v>796</v>
      </c>
      <c r="Q2589" s="8" t="s">
        <v>3196</v>
      </c>
      <c r="R2589" s="69">
        <f>82+42</f>
        <v>124</v>
      </c>
      <c r="S2589" s="69">
        <v>200</v>
      </c>
      <c r="T2589" s="10">
        <v>0</v>
      </c>
      <c r="U2589" s="10">
        <f t="shared" si="1532"/>
        <v>0</v>
      </c>
      <c r="V2589" s="7"/>
      <c r="W2589" s="1">
        <v>2015</v>
      </c>
      <c r="X2589" s="62">
        <v>11</v>
      </c>
    </row>
    <row r="2590" spans="1:24" s="13" customFormat="1" ht="76.5" customHeight="1" outlineLevel="1" x14ac:dyDescent="0.2">
      <c r="A2590" s="1" t="s">
        <v>7859</v>
      </c>
      <c r="B2590" s="2" t="s">
        <v>5277</v>
      </c>
      <c r="C2590" s="2" t="s">
        <v>230</v>
      </c>
      <c r="D2590" s="2" t="s">
        <v>3850</v>
      </c>
      <c r="E2590" s="2" t="s">
        <v>5950</v>
      </c>
      <c r="F2590" s="2"/>
      <c r="G2590" s="3" t="s">
        <v>3190</v>
      </c>
      <c r="H2590" s="5">
        <v>0</v>
      </c>
      <c r="I2590" s="6">
        <v>710000000</v>
      </c>
      <c r="J2590" s="4" t="s">
        <v>1931</v>
      </c>
      <c r="K2590" s="4" t="s">
        <v>756</v>
      </c>
      <c r="L2590" s="3" t="s">
        <v>1165</v>
      </c>
      <c r="M2590" s="8" t="s">
        <v>3195</v>
      </c>
      <c r="N2590" s="3" t="s">
        <v>1890</v>
      </c>
      <c r="O2590" s="8" t="s">
        <v>1935</v>
      </c>
      <c r="P2590" s="8">
        <v>796</v>
      </c>
      <c r="Q2590" s="8" t="s">
        <v>3196</v>
      </c>
      <c r="R2590" s="69">
        <f>82+42</f>
        <v>124</v>
      </c>
      <c r="S2590" s="69">
        <v>200</v>
      </c>
      <c r="T2590" s="10">
        <f t="shared" ref="T2590" si="1537">S2590*R2590</f>
        <v>24800</v>
      </c>
      <c r="U2590" s="10">
        <f t="shared" ref="U2590" si="1538">T2590*1.12</f>
        <v>27776.000000000004</v>
      </c>
      <c r="V2590" s="7"/>
      <c r="W2590" s="1">
        <v>2015</v>
      </c>
      <c r="X2590" s="62"/>
    </row>
    <row r="2591" spans="1:24" s="13" customFormat="1" ht="76.5" customHeight="1" outlineLevel="1" x14ac:dyDescent="0.2">
      <c r="A2591" s="1" t="s">
        <v>4099</v>
      </c>
      <c r="B2591" s="38" t="s">
        <v>5277</v>
      </c>
      <c r="C2591" s="2" t="s">
        <v>229</v>
      </c>
      <c r="D2591" s="2" t="s">
        <v>228</v>
      </c>
      <c r="E2591" s="2" t="s">
        <v>7613</v>
      </c>
      <c r="F2591" s="39"/>
      <c r="G2591" s="50" t="s">
        <v>3190</v>
      </c>
      <c r="H2591" s="5">
        <v>0</v>
      </c>
      <c r="I2591" s="6">
        <v>710000000</v>
      </c>
      <c r="J2591" s="4" t="s">
        <v>1931</v>
      </c>
      <c r="K2591" s="4" t="s">
        <v>5297</v>
      </c>
      <c r="L2591" s="3" t="s">
        <v>1165</v>
      </c>
      <c r="M2591" s="8" t="s">
        <v>3195</v>
      </c>
      <c r="N2591" s="3" t="s">
        <v>1890</v>
      </c>
      <c r="O2591" s="8" t="s">
        <v>1935</v>
      </c>
      <c r="P2591" s="8">
        <v>796</v>
      </c>
      <c r="Q2591" s="8" t="s">
        <v>3196</v>
      </c>
      <c r="R2591" s="9">
        <v>4</v>
      </c>
      <c r="S2591" s="9">
        <v>16223.21</v>
      </c>
      <c r="T2591" s="10">
        <v>0</v>
      </c>
      <c r="U2591" s="10">
        <f t="shared" si="1532"/>
        <v>0</v>
      </c>
      <c r="V2591" s="7"/>
      <c r="W2591" s="11">
        <v>2015</v>
      </c>
      <c r="X2591" s="12" t="s">
        <v>6562</v>
      </c>
    </row>
    <row r="2592" spans="1:24" s="13" customFormat="1" ht="76.5" customHeight="1" outlineLevel="1" x14ac:dyDescent="0.2">
      <c r="A2592" s="1" t="s">
        <v>6682</v>
      </c>
      <c r="B2592" s="2" t="s">
        <v>5277</v>
      </c>
      <c r="C2592" s="2" t="s">
        <v>229</v>
      </c>
      <c r="D2592" s="2" t="s">
        <v>228</v>
      </c>
      <c r="E2592" s="2" t="s">
        <v>7613</v>
      </c>
      <c r="F2592" s="2"/>
      <c r="G2592" s="3" t="s">
        <v>3190</v>
      </c>
      <c r="H2592" s="5">
        <v>0</v>
      </c>
      <c r="I2592" s="6">
        <v>710000000</v>
      </c>
      <c r="J2592" s="4" t="s">
        <v>1931</v>
      </c>
      <c r="K2592" s="4" t="s">
        <v>5297</v>
      </c>
      <c r="L2592" s="3" t="s">
        <v>1165</v>
      </c>
      <c r="M2592" s="8" t="s">
        <v>3195</v>
      </c>
      <c r="N2592" s="3" t="s">
        <v>1890</v>
      </c>
      <c r="O2592" s="8" t="s">
        <v>1935</v>
      </c>
      <c r="P2592" s="8">
        <v>796</v>
      </c>
      <c r="Q2592" s="8" t="s">
        <v>3196</v>
      </c>
      <c r="R2592" s="69">
        <v>3</v>
      </c>
      <c r="S2592" s="69">
        <v>16223.21</v>
      </c>
      <c r="T2592" s="10">
        <v>0</v>
      </c>
      <c r="U2592" s="10">
        <f t="shared" si="1532"/>
        <v>0</v>
      </c>
      <c r="V2592" s="7"/>
      <c r="W2592" s="1">
        <v>2015</v>
      </c>
      <c r="X2592" s="62">
        <v>11</v>
      </c>
    </row>
    <row r="2593" spans="1:24" s="13" customFormat="1" ht="76.5" customHeight="1" outlineLevel="1" x14ac:dyDescent="0.2">
      <c r="A2593" s="1" t="s">
        <v>7860</v>
      </c>
      <c r="B2593" s="2" t="s">
        <v>5277</v>
      </c>
      <c r="C2593" s="2" t="s">
        <v>229</v>
      </c>
      <c r="D2593" s="2" t="s">
        <v>228</v>
      </c>
      <c r="E2593" s="2" t="s">
        <v>7613</v>
      </c>
      <c r="F2593" s="2"/>
      <c r="G2593" s="3" t="s">
        <v>3190</v>
      </c>
      <c r="H2593" s="5">
        <v>0</v>
      </c>
      <c r="I2593" s="6">
        <v>710000000</v>
      </c>
      <c r="J2593" s="4" t="s">
        <v>1931</v>
      </c>
      <c r="K2593" s="4" t="s">
        <v>756</v>
      </c>
      <c r="L2593" s="3" t="s">
        <v>1165</v>
      </c>
      <c r="M2593" s="8" t="s">
        <v>3195</v>
      </c>
      <c r="N2593" s="3" t="s">
        <v>1890</v>
      </c>
      <c r="O2593" s="8" t="s">
        <v>1935</v>
      </c>
      <c r="P2593" s="8">
        <v>796</v>
      </c>
      <c r="Q2593" s="8" t="s">
        <v>3196</v>
      </c>
      <c r="R2593" s="69">
        <v>3</v>
      </c>
      <c r="S2593" s="69">
        <v>16223.21</v>
      </c>
      <c r="T2593" s="10">
        <f t="shared" ref="T2593" si="1539">S2593*R2593</f>
        <v>48669.63</v>
      </c>
      <c r="U2593" s="10">
        <f t="shared" ref="U2593" si="1540">T2593*1.12</f>
        <v>54509.9856</v>
      </c>
      <c r="V2593" s="7"/>
      <c r="W2593" s="1">
        <v>2015</v>
      </c>
      <c r="X2593" s="62"/>
    </row>
    <row r="2594" spans="1:24" s="13" customFormat="1" ht="76.5" customHeight="1" outlineLevel="1" x14ac:dyDescent="0.2">
      <c r="A2594" s="1" t="s">
        <v>4100</v>
      </c>
      <c r="B2594" s="2" t="s">
        <v>5277</v>
      </c>
      <c r="C2594" s="2" t="s">
        <v>3837</v>
      </c>
      <c r="D2594" s="2" t="s">
        <v>5500</v>
      </c>
      <c r="E2594" s="6" t="s">
        <v>5501</v>
      </c>
      <c r="F2594" s="52" t="s">
        <v>5502</v>
      </c>
      <c r="G2594" s="3" t="s">
        <v>3190</v>
      </c>
      <c r="H2594" s="5">
        <v>0</v>
      </c>
      <c r="I2594" s="6">
        <v>710000000</v>
      </c>
      <c r="J2594" s="4" t="s">
        <v>1931</v>
      </c>
      <c r="K2594" s="4" t="s">
        <v>5297</v>
      </c>
      <c r="L2594" s="3" t="s">
        <v>1165</v>
      </c>
      <c r="M2594" s="8" t="s">
        <v>3195</v>
      </c>
      <c r="N2594" s="3" t="s">
        <v>1890</v>
      </c>
      <c r="O2594" s="8" t="s">
        <v>1935</v>
      </c>
      <c r="P2594" s="62" t="s">
        <v>3331</v>
      </c>
      <c r="Q2594" s="62" t="s">
        <v>3819</v>
      </c>
      <c r="R2594" s="69">
        <v>24</v>
      </c>
      <c r="S2594" s="69">
        <v>709.82</v>
      </c>
      <c r="T2594" s="10">
        <v>0</v>
      </c>
      <c r="U2594" s="10">
        <f t="shared" si="1532"/>
        <v>0</v>
      </c>
      <c r="V2594" s="7"/>
      <c r="W2594" s="1">
        <v>2015</v>
      </c>
      <c r="X2594" s="62">
        <v>11</v>
      </c>
    </row>
    <row r="2595" spans="1:24" s="13" customFormat="1" ht="76.5" customHeight="1" outlineLevel="1" x14ac:dyDescent="0.2">
      <c r="A2595" s="1" t="s">
        <v>7861</v>
      </c>
      <c r="B2595" s="2" t="s">
        <v>5277</v>
      </c>
      <c r="C2595" s="2" t="s">
        <v>3837</v>
      </c>
      <c r="D2595" s="2" t="s">
        <v>5500</v>
      </c>
      <c r="E2595" s="6" t="s">
        <v>5501</v>
      </c>
      <c r="F2595" s="52" t="s">
        <v>5502</v>
      </c>
      <c r="G2595" s="3" t="s">
        <v>3190</v>
      </c>
      <c r="H2595" s="5">
        <v>0</v>
      </c>
      <c r="I2595" s="6">
        <v>710000000</v>
      </c>
      <c r="J2595" s="4" t="s">
        <v>1931</v>
      </c>
      <c r="K2595" s="4" t="s">
        <v>756</v>
      </c>
      <c r="L2595" s="3" t="s">
        <v>1165</v>
      </c>
      <c r="M2595" s="8" t="s">
        <v>3195</v>
      </c>
      <c r="N2595" s="3" t="s">
        <v>1890</v>
      </c>
      <c r="O2595" s="8" t="s">
        <v>1935</v>
      </c>
      <c r="P2595" s="62" t="s">
        <v>3331</v>
      </c>
      <c r="Q2595" s="62" t="s">
        <v>3819</v>
      </c>
      <c r="R2595" s="69">
        <v>24</v>
      </c>
      <c r="S2595" s="69">
        <v>709.82</v>
      </c>
      <c r="T2595" s="10">
        <f t="shared" ref="T2595" si="1541">S2595*R2595</f>
        <v>17035.68</v>
      </c>
      <c r="U2595" s="10">
        <f t="shared" ref="U2595" si="1542">T2595*1.12</f>
        <v>19079.961600000002</v>
      </c>
      <c r="V2595" s="7"/>
      <c r="W2595" s="1">
        <v>2015</v>
      </c>
      <c r="X2595" s="62"/>
    </row>
    <row r="2596" spans="1:24" s="13" customFormat="1" ht="76.5" customHeight="1" outlineLevel="1" x14ac:dyDescent="0.2">
      <c r="A2596" s="1" t="s">
        <v>4101</v>
      </c>
      <c r="B2596" s="2" t="s">
        <v>5277</v>
      </c>
      <c r="C2596" s="2" t="s">
        <v>227</v>
      </c>
      <c r="D2596" s="2" t="s">
        <v>5500</v>
      </c>
      <c r="E2596" s="2" t="s">
        <v>226</v>
      </c>
      <c r="F2596" s="52" t="s">
        <v>5502</v>
      </c>
      <c r="G2596" s="3" t="s">
        <v>3190</v>
      </c>
      <c r="H2596" s="5">
        <v>0</v>
      </c>
      <c r="I2596" s="6">
        <v>710000000</v>
      </c>
      <c r="J2596" s="4" t="s">
        <v>1931</v>
      </c>
      <c r="K2596" s="4" t="s">
        <v>5297</v>
      </c>
      <c r="L2596" s="3" t="s">
        <v>1165</v>
      </c>
      <c r="M2596" s="8" t="s">
        <v>3195</v>
      </c>
      <c r="N2596" s="3" t="s">
        <v>1890</v>
      </c>
      <c r="O2596" s="8" t="s">
        <v>1935</v>
      </c>
      <c r="P2596" s="62">
        <v>168</v>
      </c>
      <c r="Q2596" s="62" t="s">
        <v>3444</v>
      </c>
      <c r="R2596" s="69">
        <v>1</v>
      </c>
      <c r="S2596" s="69">
        <v>709.82</v>
      </c>
      <c r="T2596" s="10">
        <v>0</v>
      </c>
      <c r="U2596" s="10">
        <f>T2596*1.12</f>
        <v>0</v>
      </c>
      <c r="V2596" s="7"/>
      <c r="W2596" s="1">
        <v>2015</v>
      </c>
      <c r="X2596" s="62">
        <v>11</v>
      </c>
    </row>
    <row r="2597" spans="1:24" s="13" customFormat="1" ht="76.5" customHeight="1" outlineLevel="1" x14ac:dyDescent="0.2">
      <c r="A2597" s="1" t="s">
        <v>7862</v>
      </c>
      <c r="B2597" s="2" t="s">
        <v>5277</v>
      </c>
      <c r="C2597" s="2" t="s">
        <v>227</v>
      </c>
      <c r="D2597" s="2" t="s">
        <v>5500</v>
      </c>
      <c r="E2597" s="2" t="s">
        <v>226</v>
      </c>
      <c r="F2597" s="52" t="s">
        <v>5502</v>
      </c>
      <c r="G2597" s="3" t="s">
        <v>3190</v>
      </c>
      <c r="H2597" s="5">
        <v>0</v>
      </c>
      <c r="I2597" s="6">
        <v>710000000</v>
      </c>
      <c r="J2597" s="4" t="s">
        <v>1931</v>
      </c>
      <c r="K2597" s="4" t="s">
        <v>756</v>
      </c>
      <c r="L2597" s="3" t="s">
        <v>1165</v>
      </c>
      <c r="M2597" s="8" t="s">
        <v>3195</v>
      </c>
      <c r="N2597" s="3" t="s">
        <v>1890</v>
      </c>
      <c r="O2597" s="8" t="s">
        <v>1935</v>
      </c>
      <c r="P2597" s="62">
        <v>168</v>
      </c>
      <c r="Q2597" s="62" t="s">
        <v>3444</v>
      </c>
      <c r="R2597" s="69">
        <v>1</v>
      </c>
      <c r="S2597" s="69">
        <v>709.82</v>
      </c>
      <c r="T2597" s="10">
        <f>S2597*R2597</f>
        <v>709.82</v>
      </c>
      <c r="U2597" s="10">
        <f>T2597*1.12</f>
        <v>794.99840000000017</v>
      </c>
      <c r="V2597" s="7"/>
      <c r="W2597" s="1">
        <v>2015</v>
      </c>
      <c r="X2597" s="62"/>
    </row>
    <row r="2598" spans="1:24" s="13" customFormat="1" ht="76.5" customHeight="1" outlineLevel="1" x14ac:dyDescent="0.2">
      <c r="A2598" s="1" t="s">
        <v>4102</v>
      </c>
      <c r="B2598" s="38" t="s">
        <v>5277</v>
      </c>
      <c r="C2598" s="2" t="s">
        <v>225</v>
      </c>
      <c r="D2598" s="2" t="s">
        <v>224</v>
      </c>
      <c r="E2598" s="2" t="s">
        <v>7614</v>
      </c>
      <c r="F2598" s="39"/>
      <c r="G2598" s="50" t="s">
        <v>3190</v>
      </c>
      <c r="H2598" s="5">
        <v>0</v>
      </c>
      <c r="I2598" s="6">
        <v>710000000</v>
      </c>
      <c r="J2598" s="4" t="s">
        <v>1931</v>
      </c>
      <c r="K2598" s="4" t="s">
        <v>5297</v>
      </c>
      <c r="L2598" s="3" t="s">
        <v>1165</v>
      </c>
      <c r="M2598" s="8" t="s">
        <v>3195</v>
      </c>
      <c r="N2598" s="3" t="s">
        <v>1890</v>
      </c>
      <c r="O2598" s="8" t="s">
        <v>1935</v>
      </c>
      <c r="P2598" s="62">
        <v>168</v>
      </c>
      <c r="Q2598" s="62" t="s">
        <v>3444</v>
      </c>
      <c r="R2598" s="9">
        <v>1.0629999999999999</v>
      </c>
      <c r="S2598" s="9">
        <v>709.82</v>
      </c>
      <c r="T2598" s="10">
        <v>0</v>
      </c>
      <c r="U2598" s="10">
        <f t="shared" si="1532"/>
        <v>0</v>
      </c>
      <c r="V2598" s="7"/>
      <c r="W2598" s="11">
        <v>2015</v>
      </c>
      <c r="X2598" s="12" t="s">
        <v>6562</v>
      </c>
    </row>
    <row r="2599" spans="1:24" s="13" customFormat="1" ht="76.5" customHeight="1" outlineLevel="1" x14ac:dyDescent="0.2">
      <c r="A2599" s="1" t="s">
        <v>6683</v>
      </c>
      <c r="B2599" s="2" t="s">
        <v>5277</v>
      </c>
      <c r="C2599" s="2" t="s">
        <v>225</v>
      </c>
      <c r="D2599" s="2" t="s">
        <v>224</v>
      </c>
      <c r="E2599" s="2" t="s">
        <v>7614</v>
      </c>
      <c r="F2599" s="2"/>
      <c r="G2599" s="3" t="s">
        <v>3190</v>
      </c>
      <c r="H2599" s="5">
        <v>0</v>
      </c>
      <c r="I2599" s="6">
        <v>710000000</v>
      </c>
      <c r="J2599" s="4" t="s">
        <v>1931</v>
      </c>
      <c r="K2599" s="4" t="s">
        <v>5297</v>
      </c>
      <c r="L2599" s="3" t="s">
        <v>1165</v>
      </c>
      <c r="M2599" s="8" t="s">
        <v>3195</v>
      </c>
      <c r="N2599" s="3" t="s">
        <v>1890</v>
      </c>
      <c r="O2599" s="8" t="s">
        <v>1935</v>
      </c>
      <c r="P2599" s="62">
        <v>168</v>
      </c>
      <c r="Q2599" s="62" t="s">
        <v>3444</v>
      </c>
      <c r="R2599" s="69">
        <v>1</v>
      </c>
      <c r="S2599" s="69">
        <v>709.82</v>
      </c>
      <c r="T2599" s="10">
        <v>0</v>
      </c>
      <c r="U2599" s="10">
        <f t="shared" si="1532"/>
        <v>0</v>
      </c>
      <c r="V2599" s="7"/>
      <c r="W2599" s="1">
        <v>2015</v>
      </c>
      <c r="X2599" s="62">
        <v>11</v>
      </c>
    </row>
    <row r="2600" spans="1:24" s="13" customFormat="1" ht="76.5" customHeight="1" outlineLevel="1" x14ac:dyDescent="0.2">
      <c r="A2600" s="1" t="s">
        <v>7863</v>
      </c>
      <c r="B2600" s="2" t="s">
        <v>5277</v>
      </c>
      <c r="C2600" s="2" t="s">
        <v>225</v>
      </c>
      <c r="D2600" s="2" t="s">
        <v>224</v>
      </c>
      <c r="E2600" s="2" t="s">
        <v>7614</v>
      </c>
      <c r="F2600" s="2"/>
      <c r="G2600" s="3" t="s">
        <v>3190</v>
      </c>
      <c r="H2600" s="5">
        <v>0</v>
      </c>
      <c r="I2600" s="6">
        <v>710000000</v>
      </c>
      <c r="J2600" s="4" t="s">
        <v>1931</v>
      </c>
      <c r="K2600" s="4" t="s">
        <v>756</v>
      </c>
      <c r="L2600" s="3" t="s">
        <v>1165</v>
      </c>
      <c r="M2600" s="8" t="s">
        <v>3195</v>
      </c>
      <c r="N2600" s="3" t="s">
        <v>1890</v>
      </c>
      <c r="O2600" s="8" t="s">
        <v>1935</v>
      </c>
      <c r="P2600" s="62">
        <v>168</v>
      </c>
      <c r="Q2600" s="62" t="s">
        <v>3444</v>
      </c>
      <c r="R2600" s="69">
        <v>1</v>
      </c>
      <c r="S2600" s="69">
        <v>709.82</v>
      </c>
      <c r="T2600" s="10">
        <f t="shared" ref="T2600" si="1543">S2600*R2600</f>
        <v>709.82</v>
      </c>
      <c r="U2600" s="10">
        <f t="shared" ref="U2600" si="1544">T2600*1.12</f>
        <v>794.99840000000017</v>
      </c>
      <c r="V2600" s="7"/>
      <c r="W2600" s="1">
        <v>2015</v>
      </c>
      <c r="X2600" s="62"/>
    </row>
    <row r="2601" spans="1:24" s="13" customFormat="1" ht="76.5" customHeight="1" outlineLevel="1" x14ac:dyDescent="0.2">
      <c r="A2601" s="1" t="s">
        <v>4103</v>
      </c>
      <c r="B2601" s="2" t="s">
        <v>5277</v>
      </c>
      <c r="C2601" s="2" t="s">
        <v>3836</v>
      </c>
      <c r="D2601" s="2" t="s">
        <v>5503</v>
      </c>
      <c r="E2601" s="6" t="s">
        <v>5504</v>
      </c>
      <c r="F2601" s="52" t="s">
        <v>5505</v>
      </c>
      <c r="G2601" s="3" t="s">
        <v>3190</v>
      </c>
      <c r="H2601" s="5">
        <v>0</v>
      </c>
      <c r="I2601" s="6">
        <v>710000000</v>
      </c>
      <c r="J2601" s="4" t="s">
        <v>1931</v>
      </c>
      <c r="K2601" s="4" t="s">
        <v>5297</v>
      </c>
      <c r="L2601" s="3" t="s">
        <v>1165</v>
      </c>
      <c r="M2601" s="8" t="s">
        <v>3195</v>
      </c>
      <c r="N2601" s="3" t="s">
        <v>1890</v>
      </c>
      <c r="O2601" s="8" t="s">
        <v>1935</v>
      </c>
      <c r="P2601" s="60" t="s">
        <v>3331</v>
      </c>
      <c r="Q2601" s="3" t="s">
        <v>3819</v>
      </c>
      <c r="R2601" s="69">
        <f>18+7.8</f>
        <v>25.8</v>
      </c>
      <c r="S2601" s="69">
        <v>525</v>
      </c>
      <c r="T2601" s="10">
        <v>0</v>
      </c>
      <c r="U2601" s="10">
        <f t="shared" si="1532"/>
        <v>0</v>
      </c>
      <c r="V2601" s="7"/>
      <c r="W2601" s="1">
        <v>2015</v>
      </c>
      <c r="X2601" s="62">
        <v>11</v>
      </c>
    </row>
    <row r="2602" spans="1:24" s="13" customFormat="1" ht="76.5" customHeight="1" outlineLevel="1" x14ac:dyDescent="0.2">
      <c r="A2602" s="1" t="s">
        <v>7864</v>
      </c>
      <c r="B2602" s="2" t="s">
        <v>5277</v>
      </c>
      <c r="C2602" s="2" t="s">
        <v>3836</v>
      </c>
      <c r="D2602" s="2" t="s">
        <v>5503</v>
      </c>
      <c r="E2602" s="6" t="s">
        <v>5504</v>
      </c>
      <c r="F2602" s="52" t="s">
        <v>5505</v>
      </c>
      <c r="G2602" s="3" t="s">
        <v>3190</v>
      </c>
      <c r="H2602" s="5">
        <v>0</v>
      </c>
      <c r="I2602" s="6">
        <v>710000000</v>
      </c>
      <c r="J2602" s="4" t="s">
        <v>1931</v>
      </c>
      <c r="K2602" s="4" t="s">
        <v>756</v>
      </c>
      <c r="L2602" s="3" t="s">
        <v>1165</v>
      </c>
      <c r="M2602" s="8" t="s">
        <v>3195</v>
      </c>
      <c r="N2602" s="3" t="s">
        <v>1890</v>
      </c>
      <c r="O2602" s="8" t="s">
        <v>1935</v>
      </c>
      <c r="P2602" s="60" t="s">
        <v>3331</v>
      </c>
      <c r="Q2602" s="3" t="s">
        <v>3819</v>
      </c>
      <c r="R2602" s="69">
        <f>18+7.8</f>
        <v>25.8</v>
      </c>
      <c r="S2602" s="69">
        <v>525</v>
      </c>
      <c r="T2602" s="10">
        <f t="shared" ref="T2602" si="1545">S2602*R2602</f>
        <v>13545</v>
      </c>
      <c r="U2602" s="10">
        <f t="shared" ref="U2602" si="1546">T2602*1.12</f>
        <v>15170.400000000001</v>
      </c>
      <c r="V2602" s="7"/>
      <c r="W2602" s="1">
        <v>2015</v>
      </c>
      <c r="X2602" s="62"/>
    </row>
    <row r="2603" spans="1:24" s="13" customFormat="1" ht="76.5" customHeight="1" outlineLevel="1" x14ac:dyDescent="0.2">
      <c r="A2603" s="1" t="s">
        <v>4104</v>
      </c>
      <c r="B2603" s="38" t="s">
        <v>5277</v>
      </c>
      <c r="C2603" s="2" t="s">
        <v>223</v>
      </c>
      <c r="D2603" s="2" t="s">
        <v>222</v>
      </c>
      <c r="E2603" s="2" t="s">
        <v>221</v>
      </c>
      <c r="F2603" s="52" t="s">
        <v>5505</v>
      </c>
      <c r="G2603" s="50" t="s">
        <v>3190</v>
      </c>
      <c r="H2603" s="5">
        <v>0</v>
      </c>
      <c r="I2603" s="6">
        <v>710000000</v>
      </c>
      <c r="J2603" s="4" t="s">
        <v>1931</v>
      </c>
      <c r="K2603" s="4" t="s">
        <v>5297</v>
      </c>
      <c r="L2603" s="3" t="s">
        <v>1165</v>
      </c>
      <c r="M2603" s="8" t="s">
        <v>3195</v>
      </c>
      <c r="N2603" s="3" t="s">
        <v>1890</v>
      </c>
      <c r="O2603" s="8" t="s">
        <v>1935</v>
      </c>
      <c r="P2603" s="8">
        <v>796</v>
      </c>
      <c r="Q2603" s="8" t="s">
        <v>3196</v>
      </c>
      <c r="R2603" s="9">
        <f>10+10</f>
        <v>20</v>
      </c>
      <c r="S2603" s="9">
        <v>525</v>
      </c>
      <c r="T2603" s="10">
        <v>0</v>
      </c>
      <c r="U2603" s="10">
        <f t="shared" si="1532"/>
        <v>0</v>
      </c>
      <c r="V2603" s="7"/>
      <c r="W2603" s="11">
        <v>2015</v>
      </c>
      <c r="X2603" s="12" t="s">
        <v>6562</v>
      </c>
    </row>
    <row r="2604" spans="1:24" s="13" customFormat="1" ht="76.5" customHeight="1" outlineLevel="1" x14ac:dyDescent="0.2">
      <c r="A2604" s="1" t="s">
        <v>6684</v>
      </c>
      <c r="B2604" s="2" t="s">
        <v>5277</v>
      </c>
      <c r="C2604" s="2" t="s">
        <v>223</v>
      </c>
      <c r="D2604" s="2" t="s">
        <v>222</v>
      </c>
      <c r="E2604" s="2" t="s">
        <v>221</v>
      </c>
      <c r="F2604" s="52" t="s">
        <v>5505</v>
      </c>
      <c r="G2604" s="3" t="s">
        <v>3190</v>
      </c>
      <c r="H2604" s="5">
        <v>0</v>
      </c>
      <c r="I2604" s="6">
        <v>710000000</v>
      </c>
      <c r="J2604" s="4" t="s">
        <v>1931</v>
      </c>
      <c r="K2604" s="4" t="s">
        <v>5297</v>
      </c>
      <c r="L2604" s="3" t="s">
        <v>1165</v>
      </c>
      <c r="M2604" s="8" t="s">
        <v>3195</v>
      </c>
      <c r="N2604" s="3" t="s">
        <v>1890</v>
      </c>
      <c r="O2604" s="8" t="s">
        <v>1935</v>
      </c>
      <c r="P2604" s="8">
        <v>796</v>
      </c>
      <c r="Q2604" s="8" t="s">
        <v>3196</v>
      </c>
      <c r="R2604" s="69">
        <f>7+10</f>
        <v>17</v>
      </c>
      <c r="S2604" s="69">
        <v>525</v>
      </c>
      <c r="T2604" s="10">
        <v>0</v>
      </c>
      <c r="U2604" s="10">
        <f t="shared" si="1532"/>
        <v>0</v>
      </c>
      <c r="V2604" s="7"/>
      <c r="W2604" s="1">
        <v>2015</v>
      </c>
      <c r="X2604" s="62">
        <v>11</v>
      </c>
    </row>
    <row r="2605" spans="1:24" s="13" customFormat="1" ht="76.5" customHeight="1" outlineLevel="1" x14ac:dyDescent="0.2">
      <c r="A2605" s="1" t="s">
        <v>7865</v>
      </c>
      <c r="B2605" s="2" t="s">
        <v>5277</v>
      </c>
      <c r="C2605" s="2" t="s">
        <v>223</v>
      </c>
      <c r="D2605" s="2" t="s">
        <v>222</v>
      </c>
      <c r="E2605" s="2" t="s">
        <v>221</v>
      </c>
      <c r="F2605" s="52" t="s">
        <v>5505</v>
      </c>
      <c r="G2605" s="3" t="s">
        <v>3190</v>
      </c>
      <c r="H2605" s="5">
        <v>0</v>
      </c>
      <c r="I2605" s="6">
        <v>710000000</v>
      </c>
      <c r="J2605" s="4" t="s">
        <v>1931</v>
      </c>
      <c r="K2605" s="4" t="s">
        <v>756</v>
      </c>
      <c r="L2605" s="3" t="s">
        <v>1165</v>
      </c>
      <c r="M2605" s="8" t="s">
        <v>3195</v>
      </c>
      <c r="N2605" s="3" t="s">
        <v>1890</v>
      </c>
      <c r="O2605" s="8" t="s">
        <v>1935</v>
      </c>
      <c r="P2605" s="8">
        <v>796</v>
      </c>
      <c r="Q2605" s="8" t="s">
        <v>3196</v>
      </c>
      <c r="R2605" s="69">
        <f>7+10</f>
        <v>17</v>
      </c>
      <c r="S2605" s="69">
        <v>525</v>
      </c>
      <c r="T2605" s="10">
        <f t="shared" ref="T2605" si="1547">S2605*R2605</f>
        <v>8925</v>
      </c>
      <c r="U2605" s="10">
        <f t="shared" ref="U2605" si="1548">T2605*1.12</f>
        <v>9996.0000000000018</v>
      </c>
      <c r="V2605" s="7"/>
      <c r="W2605" s="1">
        <v>2015</v>
      </c>
      <c r="X2605" s="62"/>
    </row>
    <row r="2606" spans="1:24" s="13" customFormat="1" ht="76.5" customHeight="1" outlineLevel="1" x14ac:dyDescent="0.2">
      <c r="A2606" s="1" t="s">
        <v>4105</v>
      </c>
      <c r="B2606" s="38" t="s">
        <v>5277</v>
      </c>
      <c r="C2606" s="2" t="s">
        <v>3833</v>
      </c>
      <c r="D2606" s="2" t="s">
        <v>220</v>
      </c>
      <c r="E2606" s="2" t="s">
        <v>7615</v>
      </c>
      <c r="F2606" s="75"/>
      <c r="G2606" s="50" t="s">
        <v>3190</v>
      </c>
      <c r="H2606" s="5">
        <v>0</v>
      </c>
      <c r="I2606" s="6">
        <v>710000000</v>
      </c>
      <c r="J2606" s="4" t="s">
        <v>1931</v>
      </c>
      <c r="K2606" s="4" t="s">
        <v>5297</v>
      </c>
      <c r="L2606" s="3" t="s">
        <v>1165</v>
      </c>
      <c r="M2606" s="8" t="s">
        <v>3195</v>
      </c>
      <c r="N2606" s="3" t="s">
        <v>1890</v>
      </c>
      <c r="O2606" s="8" t="s">
        <v>1935</v>
      </c>
      <c r="P2606" s="8">
        <v>796</v>
      </c>
      <c r="Q2606" s="8" t="s">
        <v>3196</v>
      </c>
      <c r="R2606" s="9">
        <f>18+16</f>
        <v>34</v>
      </c>
      <c r="S2606" s="9">
        <v>1244.6400000000001</v>
      </c>
      <c r="T2606" s="10">
        <v>0</v>
      </c>
      <c r="U2606" s="10">
        <f t="shared" si="1532"/>
        <v>0</v>
      </c>
      <c r="V2606" s="7"/>
      <c r="W2606" s="11">
        <v>2015</v>
      </c>
      <c r="X2606" s="12" t="s">
        <v>6562</v>
      </c>
    </row>
    <row r="2607" spans="1:24" s="13" customFormat="1" ht="76.5" customHeight="1" outlineLevel="1" x14ac:dyDescent="0.2">
      <c r="A2607" s="1" t="s">
        <v>6685</v>
      </c>
      <c r="B2607" s="2" t="s">
        <v>5277</v>
      </c>
      <c r="C2607" s="2" t="s">
        <v>3833</v>
      </c>
      <c r="D2607" s="2" t="s">
        <v>220</v>
      </c>
      <c r="E2607" s="2" t="s">
        <v>7615</v>
      </c>
      <c r="F2607" s="75"/>
      <c r="G2607" s="3" t="s">
        <v>3190</v>
      </c>
      <c r="H2607" s="5">
        <v>0</v>
      </c>
      <c r="I2607" s="6">
        <v>710000000</v>
      </c>
      <c r="J2607" s="4" t="s">
        <v>1931</v>
      </c>
      <c r="K2607" s="4" t="s">
        <v>5297</v>
      </c>
      <c r="L2607" s="3" t="s">
        <v>1165</v>
      </c>
      <c r="M2607" s="8" t="s">
        <v>3195</v>
      </c>
      <c r="N2607" s="3" t="s">
        <v>1890</v>
      </c>
      <c r="O2607" s="8" t="s">
        <v>1935</v>
      </c>
      <c r="P2607" s="8">
        <v>796</v>
      </c>
      <c r="Q2607" s="8" t="s">
        <v>3196</v>
      </c>
      <c r="R2607" s="69">
        <f>16+14</f>
        <v>30</v>
      </c>
      <c r="S2607" s="69">
        <v>1244.6400000000001</v>
      </c>
      <c r="T2607" s="10">
        <v>0</v>
      </c>
      <c r="U2607" s="10">
        <f t="shared" si="1532"/>
        <v>0</v>
      </c>
      <c r="V2607" s="7"/>
      <c r="W2607" s="1">
        <v>2015</v>
      </c>
      <c r="X2607" s="62" t="s">
        <v>7518</v>
      </c>
    </row>
    <row r="2608" spans="1:24" s="13" customFormat="1" ht="76.5" customHeight="1" outlineLevel="1" x14ac:dyDescent="0.2">
      <c r="A2608" s="1" t="s">
        <v>7866</v>
      </c>
      <c r="B2608" s="2" t="s">
        <v>5277</v>
      </c>
      <c r="C2608" s="2" t="s">
        <v>3833</v>
      </c>
      <c r="D2608" s="2" t="s">
        <v>220</v>
      </c>
      <c r="E2608" s="2" t="s">
        <v>7615</v>
      </c>
      <c r="F2608" s="75"/>
      <c r="G2608" s="3" t="s">
        <v>3190</v>
      </c>
      <c r="H2608" s="5">
        <v>0</v>
      </c>
      <c r="I2608" s="6">
        <v>710000000</v>
      </c>
      <c r="J2608" s="4" t="s">
        <v>1931</v>
      </c>
      <c r="K2608" s="4" t="s">
        <v>756</v>
      </c>
      <c r="L2608" s="3" t="s">
        <v>1165</v>
      </c>
      <c r="M2608" s="8" t="s">
        <v>3195</v>
      </c>
      <c r="N2608" s="3" t="s">
        <v>1890</v>
      </c>
      <c r="O2608" s="8" t="s">
        <v>1935</v>
      </c>
      <c r="P2608" s="8">
        <v>796</v>
      </c>
      <c r="Q2608" s="8" t="s">
        <v>3196</v>
      </c>
      <c r="R2608" s="69">
        <f>10+10</f>
        <v>20</v>
      </c>
      <c r="S2608" s="69">
        <v>1244.6400000000001</v>
      </c>
      <c r="T2608" s="10">
        <f t="shared" ref="T2608" si="1549">S2608*R2608</f>
        <v>24892.800000000003</v>
      </c>
      <c r="U2608" s="10">
        <f t="shared" ref="U2608" si="1550">T2608*1.12</f>
        <v>27879.936000000005</v>
      </c>
      <c r="V2608" s="7"/>
      <c r="W2608" s="1">
        <v>2015</v>
      </c>
      <c r="X2608" s="62"/>
    </row>
    <row r="2609" spans="1:24" s="13" customFormat="1" ht="76.5" customHeight="1" outlineLevel="1" x14ac:dyDescent="0.2">
      <c r="A2609" s="1" t="s">
        <v>4106</v>
      </c>
      <c r="B2609" s="38" t="s">
        <v>5277</v>
      </c>
      <c r="C2609" s="2" t="s">
        <v>3832</v>
      </c>
      <c r="D2609" s="2" t="s">
        <v>5507</v>
      </c>
      <c r="E2609" s="2" t="s">
        <v>5508</v>
      </c>
      <c r="F2609" s="2"/>
      <c r="G2609" s="50" t="s">
        <v>3190</v>
      </c>
      <c r="H2609" s="5">
        <v>0</v>
      </c>
      <c r="I2609" s="6">
        <v>710000000</v>
      </c>
      <c r="J2609" s="4" t="s">
        <v>1931</v>
      </c>
      <c r="K2609" s="4" t="s">
        <v>5297</v>
      </c>
      <c r="L2609" s="3" t="s">
        <v>1165</v>
      </c>
      <c r="M2609" s="8" t="s">
        <v>3195</v>
      </c>
      <c r="N2609" s="3" t="s">
        <v>1890</v>
      </c>
      <c r="O2609" s="8" t="s">
        <v>1935</v>
      </c>
      <c r="P2609" s="60" t="s">
        <v>3443</v>
      </c>
      <c r="Q2609" s="3" t="s">
        <v>5676</v>
      </c>
      <c r="R2609" s="9">
        <f>50+40</f>
        <v>90</v>
      </c>
      <c r="S2609" s="9">
        <v>1273.21</v>
      </c>
      <c r="T2609" s="10">
        <v>0</v>
      </c>
      <c r="U2609" s="10">
        <f t="shared" si="1532"/>
        <v>0</v>
      </c>
      <c r="V2609" s="7"/>
      <c r="W2609" s="11">
        <v>2015</v>
      </c>
      <c r="X2609" s="12" t="s">
        <v>6562</v>
      </c>
    </row>
    <row r="2610" spans="1:24" s="13" customFormat="1" ht="76.5" customHeight="1" outlineLevel="1" x14ac:dyDescent="0.2">
      <c r="A2610" s="1" t="s">
        <v>6686</v>
      </c>
      <c r="B2610" s="2" t="s">
        <v>5277</v>
      </c>
      <c r="C2610" s="2" t="s">
        <v>3832</v>
      </c>
      <c r="D2610" s="2" t="s">
        <v>5507</v>
      </c>
      <c r="E2610" s="2" t="s">
        <v>5508</v>
      </c>
      <c r="F2610" s="2"/>
      <c r="G2610" s="3" t="s">
        <v>3190</v>
      </c>
      <c r="H2610" s="5">
        <v>0</v>
      </c>
      <c r="I2610" s="6">
        <v>710000000</v>
      </c>
      <c r="J2610" s="4" t="s">
        <v>1931</v>
      </c>
      <c r="K2610" s="4" t="s">
        <v>5297</v>
      </c>
      <c r="L2610" s="3" t="s">
        <v>1165</v>
      </c>
      <c r="M2610" s="8" t="s">
        <v>3195</v>
      </c>
      <c r="N2610" s="3" t="s">
        <v>1890</v>
      </c>
      <c r="O2610" s="8" t="s">
        <v>1935</v>
      </c>
      <c r="P2610" s="60" t="s">
        <v>3443</v>
      </c>
      <c r="Q2610" s="3" t="s">
        <v>5676</v>
      </c>
      <c r="R2610" s="69">
        <f>15+20</f>
        <v>35</v>
      </c>
      <c r="S2610" s="69">
        <v>1273.21</v>
      </c>
      <c r="T2610" s="10">
        <v>0</v>
      </c>
      <c r="U2610" s="10">
        <f t="shared" si="1532"/>
        <v>0</v>
      </c>
      <c r="V2610" s="7"/>
      <c r="W2610" s="1">
        <v>2015</v>
      </c>
      <c r="X2610" s="62">
        <v>11</v>
      </c>
    </row>
    <row r="2611" spans="1:24" s="13" customFormat="1" ht="76.5" customHeight="1" outlineLevel="1" x14ac:dyDescent="0.2">
      <c r="A2611" s="1" t="s">
        <v>8798</v>
      </c>
      <c r="B2611" s="2" t="s">
        <v>5277</v>
      </c>
      <c r="C2611" s="2" t="s">
        <v>3832</v>
      </c>
      <c r="D2611" s="2" t="s">
        <v>5507</v>
      </c>
      <c r="E2611" s="2" t="s">
        <v>5508</v>
      </c>
      <c r="F2611" s="2"/>
      <c r="G2611" s="3" t="s">
        <v>3190</v>
      </c>
      <c r="H2611" s="5">
        <v>0</v>
      </c>
      <c r="I2611" s="6">
        <v>710000000</v>
      </c>
      <c r="J2611" s="4" t="s">
        <v>1931</v>
      </c>
      <c r="K2611" s="4" t="s">
        <v>756</v>
      </c>
      <c r="L2611" s="3" t="s">
        <v>1165</v>
      </c>
      <c r="M2611" s="8" t="s">
        <v>3195</v>
      </c>
      <c r="N2611" s="3" t="s">
        <v>1890</v>
      </c>
      <c r="O2611" s="8" t="s">
        <v>1935</v>
      </c>
      <c r="P2611" s="60" t="s">
        <v>3443</v>
      </c>
      <c r="Q2611" s="3" t="s">
        <v>5676</v>
      </c>
      <c r="R2611" s="69">
        <f>15+20</f>
        <v>35</v>
      </c>
      <c r="S2611" s="69">
        <v>1273.21</v>
      </c>
      <c r="T2611" s="10">
        <f t="shared" ref="T2611" si="1551">S2611*R2611</f>
        <v>44562.35</v>
      </c>
      <c r="U2611" s="10">
        <f t="shared" ref="U2611" si="1552">T2611*1.12</f>
        <v>49909.832000000002</v>
      </c>
      <c r="V2611" s="7"/>
      <c r="W2611" s="1">
        <v>2015</v>
      </c>
      <c r="X2611" s="62"/>
    </row>
    <row r="2612" spans="1:24" s="13" customFormat="1" ht="76.5" customHeight="1" outlineLevel="1" x14ac:dyDescent="0.2">
      <c r="A2612" s="1" t="s">
        <v>4107</v>
      </c>
      <c r="B2612" s="38" t="s">
        <v>5277</v>
      </c>
      <c r="C2612" s="2" t="s">
        <v>3815</v>
      </c>
      <c r="D2612" s="2" t="s">
        <v>3814</v>
      </c>
      <c r="E2612" s="6" t="s">
        <v>5978</v>
      </c>
      <c r="F2612" s="39"/>
      <c r="G2612" s="50" t="s">
        <v>3190</v>
      </c>
      <c r="H2612" s="5">
        <v>0</v>
      </c>
      <c r="I2612" s="6">
        <v>710000000</v>
      </c>
      <c r="J2612" s="4" t="s">
        <v>1931</v>
      </c>
      <c r="K2612" s="4" t="s">
        <v>5297</v>
      </c>
      <c r="L2612" s="3" t="s">
        <v>1165</v>
      </c>
      <c r="M2612" s="8" t="s">
        <v>3195</v>
      </c>
      <c r="N2612" s="3" t="s">
        <v>1890</v>
      </c>
      <c r="O2612" s="8" t="s">
        <v>1935</v>
      </c>
      <c r="P2612" s="60" t="s">
        <v>3334</v>
      </c>
      <c r="Q2612" s="3" t="s">
        <v>5472</v>
      </c>
      <c r="R2612" s="9">
        <f>45+10</f>
        <v>55</v>
      </c>
      <c r="S2612" s="9">
        <v>534.82000000000005</v>
      </c>
      <c r="T2612" s="10">
        <v>0</v>
      </c>
      <c r="U2612" s="10">
        <f t="shared" si="1532"/>
        <v>0</v>
      </c>
      <c r="V2612" s="7"/>
      <c r="W2612" s="11">
        <v>2015</v>
      </c>
      <c r="X2612" s="12" t="s">
        <v>6562</v>
      </c>
    </row>
    <row r="2613" spans="1:24" s="13" customFormat="1" ht="76.5" customHeight="1" outlineLevel="1" x14ac:dyDescent="0.2">
      <c r="A2613" s="1" t="s">
        <v>6687</v>
      </c>
      <c r="B2613" s="2" t="s">
        <v>5277</v>
      </c>
      <c r="C2613" s="2" t="s">
        <v>3815</v>
      </c>
      <c r="D2613" s="2" t="s">
        <v>3814</v>
      </c>
      <c r="E2613" s="6" t="s">
        <v>5978</v>
      </c>
      <c r="F2613" s="2"/>
      <c r="G2613" s="3" t="s">
        <v>3190</v>
      </c>
      <c r="H2613" s="5">
        <v>0</v>
      </c>
      <c r="I2613" s="6">
        <v>710000000</v>
      </c>
      <c r="J2613" s="4" t="s">
        <v>1931</v>
      </c>
      <c r="K2613" s="4" t="s">
        <v>5297</v>
      </c>
      <c r="L2613" s="3" t="s">
        <v>1165</v>
      </c>
      <c r="M2613" s="8" t="s">
        <v>3195</v>
      </c>
      <c r="N2613" s="3" t="s">
        <v>1890</v>
      </c>
      <c r="O2613" s="8" t="s">
        <v>1935</v>
      </c>
      <c r="P2613" s="60" t="s">
        <v>3334</v>
      </c>
      <c r="Q2613" s="3" t="s">
        <v>5472</v>
      </c>
      <c r="R2613" s="69">
        <f>38+10</f>
        <v>48</v>
      </c>
      <c r="S2613" s="69">
        <v>534.82000000000005</v>
      </c>
      <c r="T2613" s="10">
        <v>0</v>
      </c>
      <c r="U2613" s="10">
        <f t="shared" si="1532"/>
        <v>0</v>
      </c>
      <c r="V2613" s="7"/>
      <c r="W2613" s="1">
        <v>2015</v>
      </c>
      <c r="X2613" s="62">
        <v>11</v>
      </c>
    </row>
    <row r="2614" spans="1:24" s="13" customFormat="1" ht="76.5" customHeight="1" outlineLevel="1" x14ac:dyDescent="0.2">
      <c r="A2614" s="1" t="s">
        <v>7867</v>
      </c>
      <c r="B2614" s="2" t="s">
        <v>5277</v>
      </c>
      <c r="C2614" s="2" t="s">
        <v>3815</v>
      </c>
      <c r="D2614" s="2" t="s">
        <v>3814</v>
      </c>
      <c r="E2614" s="6" t="s">
        <v>5978</v>
      </c>
      <c r="F2614" s="2"/>
      <c r="G2614" s="3" t="s">
        <v>3190</v>
      </c>
      <c r="H2614" s="5">
        <v>0</v>
      </c>
      <c r="I2614" s="6">
        <v>710000000</v>
      </c>
      <c r="J2614" s="4" t="s">
        <v>1931</v>
      </c>
      <c r="K2614" s="4" t="s">
        <v>756</v>
      </c>
      <c r="L2614" s="3" t="s">
        <v>1165</v>
      </c>
      <c r="M2614" s="8" t="s">
        <v>3195</v>
      </c>
      <c r="N2614" s="3" t="s">
        <v>1890</v>
      </c>
      <c r="O2614" s="8" t="s">
        <v>1935</v>
      </c>
      <c r="P2614" s="60" t="s">
        <v>3334</v>
      </c>
      <c r="Q2614" s="3" t="s">
        <v>5472</v>
      </c>
      <c r="R2614" s="69">
        <f>38+10</f>
        <v>48</v>
      </c>
      <c r="S2614" s="69">
        <v>534.82000000000005</v>
      </c>
      <c r="T2614" s="10">
        <f t="shared" ref="T2614" si="1553">S2614*R2614</f>
        <v>25671.360000000001</v>
      </c>
      <c r="U2614" s="10">
        <f t="shared" ref="U2614" si="1554">T2614*1.12</f>
        <v>28751.923200000005</v>
      </c>
      <c r="V2614" s="7"/>
      <c r="W2614" s="1">
        <v>2015</v>
      </c>
      <c r="X2614" s="62"/>
    </row>
    <row r="2615" spans="1:24" s="13" customFormat="1" ht="76.5" customHeight="1" outlineLevel="1" x14ac:dyDescent="0.2">
      <c r="A2615" s="1" t="s">
        <v>4108</v>
      </c>
      <c r="B2615" s="38" t="s">
        <v>5277</v>
      </c>
      <c r="C2615" s="2" t="s">
        <v>3813</v>
      </c>
      <c r="D2615" s="2" t="s">
        <v>5979</v>
      </c>
      <c r="E2615" s="2" t="s">
        <v>5980</v>
      </c>
      <c r="F2615" s="39"/>
      <c r="G2615" s="50" t="s">
        <v>3190</v>
      </c>
      <c r="H2615" s="5">
        <v>0</v>
      </c>
      <c r="I2615" s="6">
        <v>710000000</v>
      </c>
      <c r="J2615" s="4" t="s">
        <v>1931</v>
      </c>
      <c r="K2615" s="4" t="s">
        <v>5297</v>
      </c>
      <c r="L2615" s="3" t="s">
        <v>1165</v>
      </c>
      <c r="M2615" s="8" t="s">
        <v>3195</v>
      </c>
      <c r="N2615" s="3" t="s">
        <v>1890</v>
      </c>
      <c r="O2615" s="8" t="s">
        <v>1935</v>
      </c>
      <c r="P2615" s="8">
        <v>796</v>
      </c>
      <c r="Q2615" s="8" t="s">
        <v>3196</v>
      </c>
      <c r="R2615" s="9">
        <v>7</v>
      </c>
      <c r="S2615" s="9">
        <v>8054</v>
      </c>
      <c r="T2615" s="10">
        <v>0</v>
      </c>
      <c r="U2615" s="10">
        <f t="shared" si="1532"/>
        <v>0</v>
      </c>
      <c r="V2615" s="7"/>
      <c r="W2615" s="11">
        <v>2015</v>
      </c>
      <c r="X2615" s="12" t="s">
        <v>6562</v>
      </c>
    </row>
    <row r="2616" spans="1:24" s="13" customFormat="1" ht="76.5" customHeight="1" outlineLevel="1" x14ac:dyDescent="0.2">
      <c r="A2616" s="1" t="s">
        <v>6688</v>
      </c>
      <c r="B2616" s="2" t="s">
        <v>5277</v>
      </c>
      <c r="C2616" s="2" t="s">
        <v>3813</v>
      </c>
      <c r="D2616" s="2" t="s">
        <v>5979</v>
      </c>
      <c r="E2616" s="2" t="s">
        <v>5980</v>
      </c>
      <c r="F2616" s="2"/>
      <c r="G2616" s="3" t="s">
        <v>3190</v>
      </c>
      <c r="H2616" s="5">
        <v>0</v>
      </c>
      <c r="I2616" s="6">
        <v>710000000</v>
      </c>
      <c r="J2616" s="4" t="s">
        <v>1931</v>
      </c>
      <c r="K2616" s="4" t="s">
        <v>5297</v>
      </c>
      <c r="L2616" s="3" t="s">
        <v>1165</v>
      </c>
      <c r="M2616" s="8" t="s">
        <v>3195</v>
      </c>
      <c r="N2616" s="3" t="s">
        <v>1890</v>
      </c>
      <c r="O2616" s="8" t="s">
        <v>1935</v>
      </c>
      <c r="P2616" s="8">
        <v>796</v>
      </c>
      <c r="Q2616" s="8" t="s">
        <v>3196</v>
      </c>
      <c r="R2616" s="69">
        <v>4</v>
      </c>
      <c r="S2616" s="69">
        <v>8054</v>
      </c>
      <c r="T2616" s="10">
        <v>0</v>
      </c>
      <c r="U2616" s="10">
        <f t="shared" si="1532"/>
        <v>0</v>
      </c>
      <c r="V2616" s="7"/>
      <c r="W2616" s="1">
        <v>2015</v>
      </c>
      <c r="X2616" s="62">
        <v>11</v>
      </c>
    </row>
    <row r="2617" spans="1:24" s="13" customFormat="1" ht="76.5" customHeight="1" outlineLevel="1" x14ac:dyDescent="0.2">
      <c r="A2617" s="1" t="s">
        <v>7868</v>
      </c>
      <c r="B2617" s="2" t="s">
        <v>5277</v>
      </c>
      <c r="C2617" s="2" t="s">
        <v>3813</v>
      </c>
      <c r="D2617" s="2" t="s">
        <v>5979</v>
      </c>
      <c r="E2617" s="2" t="s">
        <v>5980</v>
      </c>
      <c r="F2617" s="2"/>
      <c r="G2617" s="3" t="s">
        <v>3190</v>
      </c>
      <c r="H2617" s="5">
        <v>0</v>
      </c>
      <c r="I2617" s="6">
        <v>710000000</v>
      </c>
      <c r="J2617" s="4" t="s">
        <v>1931</v>
      </c>
      <c r="K2617" s="4" t="s">
        <v>756</v>
      </c>
      <c r="L2617" s="3" t="s">
        <v>1165</v>
      </c>
      <c r="M2617" s="8" t="s">
        <v>3195</v>
      </c>
      <c r="N2617" s="3" t="s">
        <v>1890</v>
      </c>
      <c r="O2617" s="8" t="s">
        <v>1935</v>
      </c>
      <c r="P2617" s="8">
        <v>796</v>
      </c>
      <c r="Q2617" s="8" t="s">
        <v>3196</v>
      </c>
      <c r="R2617" s="69">
        <v>4</v>
      </c>
      <c r="S2617" s="69">
        <v>8054</v>
      </c>
      <c r="T2617" s="10">
        <f t="shared" ref="T2617" si="1555">S2617*R2617</f>
        <v>32216</v>
      </c>
      <c r="U2617" s="10">
        <f t="shared" ref="U2617" si="1556">T2617*1.12</f>
        <v>36081.920000000006</v>
      </c>
      <c r="V2617" s="7"/>
      <c r="W2617" s="1">
        <v>2015</v>
      </c>
      <c r="X2617" s="62"/>
    </row>
    <row r="2618" spans="1:24" s="13" customFormat="1" ht="76.5" customHeight="1" outlineLevel="1" x14ac:dyDescent="0.2">
      <c r="A2618" s="1" t="s">
        <v>4109</v>
      </c>
      <c r="B2618" s="38" t="s">
        <v>5277</v>
      </c>
      <c r="C2618" s="2" t="s">
        <v>219</v>
      </c>
      <c r="D2618" s="2" t="s">
        <v>6009</v>
      </c>
      <c r="E2618" s="6" t="s">
        <v>5980</v>
      </c>
      <c r="F2618" s="39"/>
      <c r="G2618" s="50" t="s">
        <v>3190</v>
      </c>
      <c r="H2618" s="5">
        <v>0</v>
      </c>
      <c r="I2618" s="6">
        <v>710000000</v>
      </c>
      <c r="J2618" s="4" t="s">
        <v>1931</v>
      </c>
      <c r="K2618" s="4" t="s">
        <v>5297</v>
      </c>
      <c r="L2618" s="3" t="s">
        <v>1165</v>
      </c>
      <c r="M2618" s="8" t="s">
        <v>3195</v>
      </c>
      <c r="N2618" s="3" t="s">
        <v>1890</v>
      </c>
      <c r="O2618" s="8" t="s">
        <v>1935</v>
      </c>
      <c r="P2618" s="8">
        <v>796</v>
      </c>
      <c r="Q2618" s="8" t="s">
        <v>3196</v>
      </c>
      <c r="R2618" s="9">
        <f>10+3</f>
        <v>13</v>
      </c>
      <c r="S2618" s="9">
        <v>13566</v>
      </c>
      <c r="T2618" s="10">
        <v>0</v>
      </c>
      <c r="U2618" s="10">
        <f t="shared" si="1532"/>
        <v>0</v>
      </c>
      <c r="V2618" s="7"/>
      <c r="W2618" s="11">
        <v>2015</v>
      </c>
      <c r="X2618" s="12" t="s">
        <v>6562</v>
      </c>
    </row>
    <row r="2619" spans="1:24" s="13" customFormat="1" ht="76.5" customHeight="1" outlineLevel="1" x14ac:dyDescent="0.2">
      <c r="A2619" s="1" t="s">
        <v>6689</v>
      </c>
      <c r="B2619" s="2" t="s">
        <v>5277</v>
      </c>
      <c r="C2619" s="2" t="s">
        <v>219</v>
      </c>
      <c r="D2619" s="2" t="s">
        <v>6009</v>
      </c>
      <c r="E2619" s="6" t="s">
        <v>5980</v>
      </c>
      <c r="F2619" s="2"/>
      <c r="G2619" s="3" t="s">
        <v>3190</v>
      </c>
      <c r="H2619" s="5">
        <v>0</v>
      </c>
      <c r="I2619" s="6">
        <v>710000000</v>
      </c>
      <c r="J2619" s="4" t="s">
        <v>1931</v>
      </c>
      <c r="K2619" s="4" t="s">
        <v>5297</v>
      </c>
      <c r="L2619" s="3" t="s">
        <v>1165</v>
      </c>
      <c r="M2619" s="8" t="s">
        <v>3195</v>
      </c>
      <c r="N2619" s="3" t="s">
        <v>1890</v>
      </c>
      <c r="O2619" s="8" t="s">
        <v>1935</v>
      </c>
      <c r="P2619" s="8">
        <v>796</v>
      </c>
      <c r="Q2619" s="8" t="s">
        <v>3196</v>
      </c>
      <c r="R2619" s="69">
        <f>4+3</f>
        <v>7</v>
      </c>
      <c r="S2619" s="69">
        <v>13566</v>
      </c>
      <c r="T2619" s="10">
        <v>0</v>
      </c>
      <c r="U2619" s="10">
        <f t="shared" si="1532"/>
        <v>0</v>
      </c>
      <c r="V2619" s="7"/>
      <c r="W2619" s="1">
        <v>2015</v>
      </c>
      <c r="X2619" s="62">
        <v>11</v>
      </c>
    </row>
    <row r="2620" spans="1:24" s="13" customFormat="1" ht="76.5" customHeight="1" outlineLevel="1" x14ac:dyDescent="0.2">
      <c r="A2620" s="1" t="s">
        <v>7869</v>
      </c>
      <c r="B2620" s="2" t="s">
        <v>5277</v>
      </c>
      <c r="C2620" s="2" t="s">
        <v>219</v>
      </c>
      <c r="D2620" s="2" t="s">
        <v>6009</v>
      </c>
      <c r="E2620" s="6" t="s">
        <v>5980</v>
      </c>
      <c r="F2620" s="2"/>
      <c r="G2620" s="3" t="s">
        <v>3190</v>
      </c>
      <c r="H2620" s="5">
        <v>0</v>
      </c>
      <c r="I2620" s="6">
        <v>710000000</v>
      </c>
      <c r="J2620" s="4" t="s">
        <v>1931</v>
      </c>
      <c r="K2620" s="4" t="s">
        <v>756</v>
      </c>
      <c r="L2620" s="3" t="s">
        <v>1165</v>
      </c>
      <c r="M2620" s="8" t="s">
        <v>3195</v>
      </c>
      <c r="N2620" s="3" t="s">
        <v>1890</v>
      </c>
      <c r="O2620" s="8" t="s">
        <v>1935</v>
      </c>
      <c r="P2620" s="8">
        <v>796</v>
      </c>
      <c r="Q2620" s="8" t="s">
        <v>3196</v>
      </c>
      <c r="R2620" s="69">
        <f>4+3</f>
        <v>7</v>
      </c>
      <c r="S2620" s="69">
        <v>13566</v>
      </c>
      <c r="T2620" s="10">
        <f t="shared" ref="T2620" si="1557">S2620*R2620</f>
        <v>94962</v>
      </c>
      <c r="U2620" s="10">
        <f t="shared" ref="U2620" si="1558">T2620*1.12</f>
        <v>106357.44000000002</v>
      </c>
      <c r="V2620" s="7"/>
      <c r="W2620" s="1">
        <v>2015</v>
      </c>
      <c r="X2620" s="62"/>
    </row>
    <row r="2621" spans="1:24" s="13" customFormat="1" ht="76.5" customHeight="1" outlineLevel="1" x14ac:dyDescent="0.2">
      <c r="A2621" s="1" t="s">
        <v>4110</v>
      </c>
      <c r="B2621" s="38" t="s">
        <v>5277</v>
      </c>
      <c r="C2621" s="2" t="s">
        <v>3812</v>
      </c>
      <c r="D2621" s="2" t="s">
        <v>5981</v>
      </c>
      <c r="E2621" s="6" t="s">
        <v>5982</v>
      </c>
      <c r="F2621" s="39" t="s">
        <v>218</v>
      </c>
      <c r="G2621" s="50" t="s">
        <v>3190</v>
      </c>
      <c r="H2621" s="5">
        <v>0</v>
      </c>
      <c r="I2621" s="6">
        <v>710000000</v>
      </c>
      <c r="J2621" s="4" t="s">
        <v>1931</v>
      </c>
      <c r="K2621" s="4" t="s">
        <v>5297</v>
      </c>
      <c r="L2621" s="3" t="s">
        <v>1165</v>
      </c>
      <c r="M2621" s="8" t="s">
        <v>3195</v>
      </c>
      <c r="N2621" s="3" t="s">
        <v>1890</v>
      </c>
      <c r="O2621" s="8" t="s">
        <v>1935</v>
      </c>
      <c r="P2621" s="8">
        <v>796</v>
      </c>
      <c r="Q2621" s="8" t="s">
        <v>3196</v>
      </c>
      <c r="R2621" s="9">
        <f>183+74</f>
        <v>257</v>
      </c>
      <c r="S2621" s="9">
        <v>23</v>
      </c>
      <c r="T2621" s="10">
        <v>0</v>
      </c>
      <c r="U2621" s="10">
        <f t="shared" si="1532"/>
        <v>0</v>
      </c>
      <c r="V2621" s="7"/>
      <c r="W2621" s="11">
        <v>2015</v>
      </c>
      <c r="X2621" s="12" t="s">
        <v>6562</v>
      </c>
    </row>
    <row r="2622" spans="1:24" s="13" customFormat="1" ht="76.5" customHeight="1" outlineLevel="1" x14ac:dyDescent="0.2">
      <c r="A2622" s="1" t="s">
        <v>6690</v>
      </c>
      <c r="B2622" s="2" t="s">
        <v>5277</v>
      </c>
      <c r="C2622" s="2" t="s">
        <v>3812</v>
      </c>
      <c r="D2622" s="2" t="s">
        <v>5981</v>
      </c>
      <c r="E2622" s="6" t="s">
        <v>5982</v>
      </c>
      <c r="F2622" s="2" t="s">
        <v>218</v>
      </c>
      <c r="G2622" s="3" t="s">
        <v>3190</v>
      </c>
      <c r="H2622" s="5">
        <v>0</v>
      </c>
      <c r="I2622" s="6">
        <v>710000000</v>
      </c>
      <c r="J2622" s="4" t="s">
        <v>1931</v>
      </c>
      <c r="K2622" s="4" t="s">
        <v>5297</v>
      </c>
      <c r="L2622" s="3" t="s">
        <v>1165</v>
      </c>
      <c r="M2622" s="8" t="s">
        <v>3195</v>
      </c>
      <c r="N2622" s="3" t="s">
        <v>1890</v>
      </c>
      <c r="O2622" s="8" t="s">
        <v>1935</v>
      </c>
      <c r="P2622" s="8">
        <v>796</v>
      </c>
      <c r="Q2622" s="8" t="s">
        <v>3196</v>
      </c>
      <c r="R2622" s="69">
        <f>166+74</f>
        <v>240</v>
      </c>
      <c r="S2622" s="69">
        <v>23</v>
      </c>
      <c r="T2622" s="10">
        <f t="shared" ref="T2622:T2730" si="1559">S2622*R2622</f>
        <v>5520</v>
      </c>
      <c r="U2622" s="10">
        <f t="shared" si="1532"/>
        <v>6182.4000000000005</v>
      </c>
      <c r="V2622" s="7"/>
      <c r="W2622" s="1">
        <v>2015</v>
      </c>
      <c r="X2622" s="62" t="s">
        <v>7518</v>
      </c>
    </row>
    <row r="2623" spans="1:24" s="13" customFormat="1" ht="76.5" customHeight="1" outlineLevel="1" x14ac:dyDescent="0.2">
      <c r="A2623" s="1" t="s">
        <v>7870</v>
      </c>
      <c r="B2623" s="2" t="s">
        <v>5277</v>
      </c>
      <c r="C2623" s="2" t="s">
        <v>3812</v>
      </c>
      <c r="D2623" s="2" t="s">
        <v>5981</v>
      </c>
      <c r="E2623" s="6" t="s">
        <v>5982</v>
      </c>
      <c r="F2623" s="2" t="s">
        <v>218</v>
      </c>
      <c r="G2623" s="3" t="s">
        <v>3190</v>
      </c>
      <c r="H2623" s="5">
        <v>0</v>
      </c>
      <c r="I2623" s="6">
        <v>710000000</v>
      </c>
      <c r="J2623" s="4" t="s">
        <v>1931</v>
      </c>
      <c r="K2623" s="4" t="s">
        <v>756</v>
      </c>
      <c r="L2623" s="3" t="s">
        <v>1165</v>
      </c>
      <c r="M2623" s="8" t="s">
        <v>3195</v>
      </c>
      <c r="N2623" s="3" t="s">
        <v>1890</v>
      </c>
      <c r="O2623" s="8" t="s">
        <v>1935</v>
      </c>
      <c r="P2623" s="8">
        <v>796</v>
      </c>
      <c r="Q2623" s="8" t="s">
        <v>3196</v>
      </c>
      <c r="R2623" s="69">
        <f>110+74</f>
        <v>184</v>
      </c>
      <c r="S2623" s="69">
        <v>23</v>
      </c>
      <c r="T2623" s="10">
        <f t="shared" ref="T2623" si="1560">S2623*R2623</f>
        <v>4232</v>
      </c>
      <c r="U2623" s="10">
        <f t="shared" ref="U2623" si="1561">T2623*1.12</f>
        <v>4739.84</v>
      </c>
      <c r="V2623" s="7"/>
      <c r="W2623" s="1">
        <v>2015</v>
      </c>
      <c r="X2623" s="62"/>
    </row>
    <row r="2624" spans="1:24" s="13" customFormat="1" ht="76.5" customHeight="1" outlineLevel="1" x14ac:dyDescent="0.2">
      <c r="A2624" s="1" t="s">
        <v>4111</v>
      </c>
      <c r="B2624" s="2" t="s">
        <v>5277</v>
      </c>
      <c r="C2624" s="2" t="s">
        <v>3812</v>
      </c>
      <c r="D2624" s="2" t="s">
        <v>5981</v>
      </c>
      <c r="E2624" s="6" t="s">
        <v>5982</v>
      </c>
      <c r="F2624" s="2" t="s">
        <v>217</v>
      </c>
      <c r="G2624" s="3" t="s">
        <v>3190</v>
      </c>
      <c r="H2624" s="5">
        <v>0</v>
      </c>
      <c r="I2624" s="6">
        <v>710000000</v>
      </c>
      <c r="J2624" s="4" t="s">
        <v>1931</v>
      </c>
      <c r="K2624" s="4" t="s">
        <v>5297</v>
      </c>
      <c r="L2624" s="3" t="s">
        <v>1165</v>
      </c>
      <c r="M2624" s="8" t="s">
        <v>3195</v>
      </c>
      <c r="N2624" s="3" t="s">
        <v>1890</v>
      </c>
      <c r="O2624" s="8" t="s">
        <v>1935</v>
      </c>
      <c r="P2624" s="8">
        <v>796</v>
      </c>
      <c r="Q2624" s="8" t="s">
        <v>3196</v>
      </c>
      <c r="R2624" s="69">
        <f>70+69</f>
        <v>139</v>
      </c>
      <c r="S2624" s="69">
        <v>20</v>
      </c>
      <c r="T2624" s="10">
        <v>0</v>
      </c>
      <c r="U2624" s="10">
        <f t="shared" si="1532"/>
        <v>0</v>
      </c>
      <c r="V2624" s="7"/>
      <c r="W2624" s="1">
        <v>2015</v>
      </c>
      <c r="X2624" s="62" t="s">
        <v>7518</v>
      </c>
    </row>
    <row r="2625" spans="1:24" s="13" customFormat="1" ht="76.5" customHeight="1" outlineLevel="1" x14ac:dyDescent="0.2">
      <c r="A2625" s="1" t="s">
        <v>7871</v>
      </c>
      <c r="B2625" s="2" t="s">
        <v>5277</v>
      </c>
      <c r="C2625" s="2" t="s">
        <v>3812</v>
      </c>
      <c r="D2625" s="2" t="s">
        <v>5981</v>
      </c>
      <c r="E2625" s="6" t="s">
        <v>5982</v>
      </c>
      <c r="F2625" s="2" t="s">
        <v>217</v>
      </c>
      <c r="G2625" s="3" t="s">
        <v>3190</v>
      </c>
      <c r="H2625" s="5">
        <v>0</v>
      </c>
      <c r="I2625" s="6">
        <v>710000000</v>
      </c>
      <c r="J2625" s="4" t="s">
        <v>1931</v>
      </c>
      <c r="K2625" s="4" t="s">
        <v>756</v>
      </c>
      <c r="L2625" s="3" t="s">
        <v>1165</v>
      </c>
      <c r="M2625" s="8" t="s">
        <v>3195</v>
      </c>
      <c r="N2625" s="3" t="s">
        <v>1890</v>
      </c>
      <c r="O2625" s="8" t="s">
        <v>1935</v>
      </c>
      <c r="P2625" s="8">
        <v>796</v>
      </c>
      <c r="Q2625" s="8" t="s">
        <v>3196</v>
      </c>
      <c r="R2625" s="69">
        <f>60+50</f>
        <v>110</v>
      </c>
      <c r="S2625" s="69">
        <v>20</v>
      </c>
      <c r="T2625" s="10">
        <f t="shared" ref="T2625" si="1562">S2625*R2625</f>
        <v>2200</v>
      </c>
      <c r="U2625" s="10">
        <f t="shared" ref="U2625" si="1563">T2625*1.12</f>
        <v>2464.0000000000005</v>
      </c>
      <c r="V2625" s="7"/>
      <c r="W2625" s="1">
        <v>2015</v>
      </c>
      <c r="X2625" s="62"/>
    </row>
    <row r="2626" spans="1:24" s="13" customFormat="1" ht="76.5" customHeight="1" outlineLevel="1" x14ac:dyDescent="0.2">
      <c r="A2626" s="1" t="s">
        <v>4147</v>
      </c>
      <c r="B2626" s="2" t="s">
        <v>5277</v>
      </c>
      <c r="C2626" s="2" t="s">
        <v>3811</v>
      </c>
      <c r="D2626" s="2" t="s">
        <v>5983</v>
      </c>
      <c r="E2626" s="2" t="s">
        <v>5984</v>
      </c>
      <c r="F2626" s="2"/>
      <c r="G2626" s="3" t="s">
        <v>3190</v>
      </c>
      <c r="H2626" s="5">
        <v>0</v>
      </c>
      <c r="I2626" s="6">
        <v>710000000</v>
      </c>
      <c r="J2626" s="4" t="s">
        <v>1931</v>
      </c>
      <c r="K2626" s="4" t="s">
        <v>5297</v>
      </c>
      <c r="L2626" s="3" t="s">
        <v>1165</v>
      </c>
      <c r="M2626" s="8" t="s">
        <v>3195</v>
      </c>
      <c r="N2626" s="3" t="s">
        <v>1890</v>
      </c>
      <c r="O2626" s="8" t="s">
        <v>1935</v>
      </c>
      <c r="P2626" s="8">
        <v>796</v>
      </c>
      <c r="Q2626" s="8" t="s">
        <v>3196</v>
      </c>
      <c r="R2626" s="69">
        <f>1+2</f>
        <v>3</v>
      </c>
      <c r="S2626" s="69">
        <v>81205.36</v>
      </c>
      <c r="T2626" s="10">
        <v>0</v>
      </c>
      <c r="U2626" s="10">
        <f t="shared" si="1532"/>
        <v>0</v>
      </c>
      <c r="V2626" s="7"/>
      <c r="W2626" s="1">
        <v>2015</v>
      </c>
      <c r="X2626" s="62">
        <v>11</v>
      </c>
    </row>
    <row r="2627" spans="1:24" s="13" customFormat="1" ht="76.5" customHeight="1" outlineLevel="1" x14ac:dyDescent="0.2">
      <c r="A2627" s="1" t="s">
        <v>7872</v>
      </c>
      <c r="B2627" s="2" t="s">
        <v>5277</v>
      </c>
      <c r="C2627" s="2" t="s">
        <v>3811</v>
      </c>
      <c r="D2627" s="2" t="s">
        <v>5983</v>
      </c>
      <c r="E2627" s="2" t="s">
        <v>5984</v>
      </c>
      <c r="F2627" s="2"/>
      <c r="G2627" s="3" t="s">
        <v>3190</v>
      </c>
      <c r="H2627" s="5">
        <v>0</v>
      </c>
      <c r="I2627" s="6">
        <v>710000000</v>
      </c>
      <c r="J2627" s="4" t="s">
        <v>1931</v>
      </c>
      <c r="K2627" s="4" t="s">
        <v>756</v>
      </c>
      <c r="L2627" s="3" t="s">
        <v>1165</v>
      </c>
      <c r="M2627" s="8" t="s">
        <v>3195</v>
      </c>
      <c r="N2627" s="3" t="s">
        <v>1890</v>
      </c>
      <c r="O2627" s="8" t="s">
        <v>1935</v>
      </c>
      <c r="P2627" s="8">
        <v>796</v>
      </c>
      <c r="Q2627" s="8" t="s">
        <v>3196</v>
      </c>
      <c r="R2627" s="69">
        <f>1+2</f>
        <v>3</v>
      </c>
      <c r="S2627" s="69">
        <v>81205.36</v>
      </c>
      <c r="T2627" s="10">
        <f t="shared" ref="T2627" si="1564">S2627*R2627</f>
        <v>243616.08000000002</v>
      </c>
      <c r="U2627" s="10">
        <f t="shared" ref="U2627" si="1565">T2627*1.12</f>
        <v>272850.00960000005</v>
      </c>
      <c r="V2627" s="7"/>
      <c r="W2627" s="1">
        <v>2015</v>
      </c>
      <c r="X2627" s="62"/>
    </row>
    <row r="2628" spans="1:24" s="13" customFormat="1" ht="76.5" customHeight="1" outlineLevel="1" x14ac:dyDescent="0.2">
      <c r="A2628" s="1" t="s">
        <v>4148</v>
      </c>
      <c r="B2628" s="38" t="s">
        <v>5277</v>
      </c>
      <c r="C2628" s="2" t="s">
        <v>216</v>
      </c>
      <c r="D2628" s="2" t="s">
        <v>3809</v>
      </c>
      <c r="E2628" s="2" t="s">
        <v>215</v>
      </c>
      <c r="F2628" s="39"/>
      <c r="G2628" s="50" t="s">
        <v>3190</v>
      </c>
      <c r="H2628" s="5">
        <v>0</v>
      </c>
      <c r="I2628" s="6">
        <v>710000000</v>
      </c>
      <c r="J2628" s="4" t="s">
        <v>1931</v>
      </c>
      <c r="K2628" s="4" t="s">
        <v>5297</v>
      </c>
      <c r="L2628" s="3" t="s">
        <v>1165</v>
      </c>
      <c r="M2628" s="8" t="s">
        <v>3195</v>
      </c>
      <c r="N2628" s="3" t="s">
        <v>1890</v>
      </c>
      <c r="O2628" s="8" t="s">
        <v>1935</v>
      </c>
      <c r="P2628" s="8">
        <v>796</v>
      </c>
      <c r="Q2628" s="8" t="s">
        <v>3196</v>
      </c>
      <c r="R2628" s="9">
        <f>3+3</f>
        <v>6</v>
      </c>
      <c r="S2628" s="9">
        <v>18441</v>
      </c>
      <c r="T2628" s="10">
        <v>0</v>
      </c>
      <c r="U2628" s="10">
        <f t="shared" si="1532"/>
        <v>0</v>
      </c>
      <c r="V2628" s="7"/>
      <c r="W2628" s="11">
        <v>2015</v>
      </c>
      <c r="X2628" s="12" t="s">
        <v>6562</v>
      </c>
    </row>
    <row r="2629" spans="1:24" s="13" customFormat="1" ht="76.5" customHeight="1" outlineLevel="1" x14ac:dyDescent="0.2">
      <c r="A2629" s="1" t="s">
        <v>6691</v>
      </c>
      <c r="B2629" s="2" t="s">
        <v>5277</v>
      </c>
      <c r="C2629" s="2" t="s">
        <v>216</v>
      </c>
      <c r="D2629" s="2" t="s">
        <v>3809</v>
      </c>
      <c r="E2629" s="2" t="s">
        <v>215</v>
      </c>
      <c r="F2629" s="2"/>
      <c r="G2629" s="3" t="s">
        <v>3190</v>
      </c>
      <c r="H2629" s="5">
        <v>0</v>
      </c>
      <c r="I2629" s="6">
        <v>710000000</v>
      </c>
      <c r="J2629" s="4" t="s">
        <v>1931</v>
      </c>
      <c r="K2629" s="4" t="s">
        <v>5297</v>
      </c>
      <c r="L2629" s="3" t="s">
        <v>1165</v>
      </c>
      <c r="M2629" s="8" t="s">
        <v>3195</v>
      </c>
      <c r="N2629" s="3" t="s">
        <v>1890</v>
      </c>
      <c r="O2629" s="8" t="s">
        <v>1935</v>
      </c>
      <c r="P2629" s="8">
        <v>796</v>
      </c>
      <c r="Q2629" s="8" t="s">
        <v>3196</v>
      </c>
      <c r="R2629" s="69">
        <f>3+1</f>
        <v>4</v>
      </c>
      <c r="S2629" s="69">
        <v>18441</v>
      </c>
      <c r="T2629" s="10">
        <v>0</v>
      </c>
      <c r="U2629" s="10">
        <f t="shared" si="1532"/>
        <v>0</v>
      </c>
      <c r="V2629" s="7"/>
      <c r="W2629" s="1">
        <v>2015</v>
      </c>
      <c r="X2629" s="62">
        <v>11</v>
      </c>
    </row>
    <row r="2630" spans="1:24" s="13" customFormat="1" ht="76.5" customHeight="1" outlineLevel="1" x14ac:dyDescent="0.2">
      <c r="A2630" s="1" t="s">
        <v>7873</v>
      </c>
      <c r="B2630" s="2" t="s">
        <v>5277</v>
      </c>
      <c r="C2630" s="2" t="s">
        <v>216</v>
      </c>
      <c r="D2630" s="2" t="s">
        <v>3809</v>
      </c>
      <c r="E2630" s="2" t="s">
        <v>215</v>
      </c>
      <c r="F2630" s="2"/>
      <c r="G2630" s="3" t="s">
        <v>3190</v>
      </c>
      <c r="H2630" s="5">
        <v>0</v>
      </c>
      <c r="I2630" s="6">
        <v>710000000</v>
      </c>
      <c r="J2630" s="4" t="s">
        <v>1931</v>
      </c>
      <c r="K2630" s="4" t="s">
        <v>756</v>
      </c>
      <c r="L2630" s="3" t="s">
        <v>1165</v>
      </c>
      <c r="M2630" s="8" t="s">
        <v>3195</v>
      </c>
      <c r="N2630" s="3" t="s">
        <v>1890</v>
      </c>
      <c r="O2630" s="8" t="s">
        <v>1935</v>
      </c>
      <c r="P2630" s="8">
        <v>796</v>
      </c>
      <c r="Q2630" s="8" t="s">
        <v>3196</v>
      </c>
      <c r="R2630" s="69">
        <f>3+1</f>
        <v>4</v>
      </c>
      <c r="S2630" s="69">
        <v>18441</v>
      </c>
      <c r="T2630" s="10">
        <f t="shared" ref="T2630" si="1566">S2630*R2630</f>
        <v>73764</v>
      </c>
      <c r="U2630" s="10">
        <f t="shared" ref="U2630" si="1567">T2630*1.12</f>
        <v>82615.680000000008</v>
      </c>
      <c r="V2630" s="7"/>
      <c r="W2630" s="1">
        <v>2015</v>
      </c>
      <c r="X2630" s="62"/>
    </row>
    <row r="2631" spans="1:24" s="13" customFormat="1" ht="76.5" customHeight="1" outlineLevel="1" x14ac:dyDescent="0.2">
      <c r="A2631" s="1" t="s">
        <v>4149</v>
      </c>
      <c r="B2631" s="2" t="s">
        <v>5277</v>
      </c>
      <c r="C2631" s="2" t="s">
        <v>214</v>
      </c>
      <c r="D2631" s="2" t="s">
        <v>213</v>
      </c>
      <c r="E2631" s="2" t="s">
        <v>212</v>
      </c>
      <c r="F2631" s="2" t="s">
        <v>5986</v>
      </c>
      <c r="G2631" s="3" t="s">
        <v>3190</v>
      </c>
      <c r="H2631" s="5">
        <v>0</v>
      </c>
      <c r="I2631" s="6">
        <v>710000000</v>
      </c>
      <c r="J2631" s="4" t="s">
        <v>1931</v>
      </c>
      <c r="K2631" s="4" t="s">
        <v>5297</v>
      </c>
      <c r="L2631" s="3" t="s">
        <v>1165</v>
      </c>
      <c r="M2631" s="8" t="s">
        <v>3195</v>
      </c>
      <c r="N2631" s="3" t="s">
        <v>1890</v>
      </c>
      <c r="O2631" s="8" t="s">
        <v>1935</v>
      </c>
      <c r="P2631" s="62">
        <v>166</v>
      </c>
      <c r="Q2631" s="3" t="s">
        <v>3324</v>
      </c>
      <c r="R2631" s="69">
        <f>4+2</f>
        <v>6</v>
      </c>
      <c r="S2631" s="69">
        <v>6223.21</v>
      </c>
      <c r="T2631" s="10">
        <v>0</v>
      </c>
      <c r="U2631" s="10">
        <f t="shared" si="1532"/>
        <v>0</v>
      </c>
      <c r="V2631" s="7"/>
      <c r="W2631" s="1">
        <v>2015</v>
      </c>
      <c r="X2631" s="62">
        <v>11</v>
      </c>
    </row>
    <row r="2632" spans="1:24" s="13" customFormat="1" ht="76.5" customHeight="1" outlineLevel="1" x14ac:dyDescent="0.2">
      <c r="A2632" s="1" t="s">
        <v>7874</v>
      </c>
      <c r="B2632" s="2" t="s">
        <v>5277</v>
      </c>
      <c r="C2632" s="2" t="s">
        <v>214</v>
      </c>
      <c r="D2632" s="2" t="s">
        <v>213</v>
      </c>
      <c r="E2632" s="2" t="s">
        <v>212</v>
      </c>
      <c r="F2632" s="2" t="s">
        <v>5986</v>
      </c>
      <c r="G2632" s="3" t="s">
        <v>3190</v>
      </c>
      <c r="H2632" s="5">
        <v>0</v>
      </c>
      <c r="I2632" s="6">
        <v>710000000</v>
      </c>
      <c r="J2632" s="4" t="s">
        <v>1931</v>
      </c>
      <c r="K2632" s="4" t="s">
        <v>756</v>
      </c>
      <c r="L2632" s="3" t="s">
        <v>1165</v>
      </c>
      <c r="M2632" s="8" t="s">
        <v>3195</v>
      </c>
      <c r="N2632" s="3" t="s">
        <v>1890</v>
      </c>
      <c r="O2632" s="8" t="s">
        <v>1935</v>
      </c>
      <c r="P2632" s="62">
        <v>166</v>
      </c>
      <c r="Q2632" s="3" t="s">
        <v>3324</v>
      </c>
      <c r="R2632" s="69">
        <f>4+2</f>
        <v>6</v>
      </c>
      <c r="S2632" s="69">
        <v>6223.21</v>
      </c>
      <c r="T2632" s="10">
        <f t="shared" ref="T2632" si="1568">S2632*R2632</f>
        <v>37339.26</v>
      </c>
      <c r="U2632" s="10">
        <f t="shared" ref="U2632" si="1569">T2632*1.12</f>
        <v>41819.971200000007</v>
      </c>
      <c r="V2632" s="7"/>
      <c r="W2632" s="1">
        <v>2015</v>
      </c>
      <c r="X2632" s="62"/>
    </row>
    <row r="2633" spans="1:24" s="13" customFormat="1" ht="76.5" customHeight="1" outlineLevel="1" x14ac:dyDescent="0.2">
      <c r="A2633" s="1" t="s">
        <v>4150</v>
      </c>
      <c r="B2633" s="38" t="s">
        <v>5277</v>
      </c>
      <c r="C2633" s="2" t="s">
        <v>210</v>
      </c>
      <c r="D2633" s="2" t="s">
        <v>5979</v>
      </c>
      <c r="E2633" s="2" t="s">
        <v>6480</v>
      </c>
      <c r="F2633" s="39" t="s">
        <v>211</v>
      </c>
      <c r="G2633" s="50" t="s">
        <v>3190</v>
      </c>
      <c r="H2633" s="5">
        <v>0</v>
      </c>
      <c r="I2633" s="6">
        <v>710000000</v>
      </c>
      <c r="J2633" s="4" t="s">
        <v>1931</v>
      </c>
      <c r="K2633" s="4" t="s">
        <v>5297</v>
      </c>
      <c r="L2633" s="3" t="s">
        <v>1165</v>
      </c>
      <c r="M2633" s="8" t="s">
        <v>3195</v>
      </c>
      <c r="N2633" s="3" t="s">
        <v>1890</v>
      </c>
      <c r="O2633" s="8" t="s">
        <v>1935</v>
      </c>
      <c r="P2633" s="62">
        <v>166</v>
      </c>
      <c r="Q2633" s="3" t="s">
        <v>3324</v>
      </c>
      <c r="R2633" s="9">
        <f>26+2</f>
        <v>28</v>
      </c>
      <c r="S2633" s="9">
        <v>1789.29</v>
      </c>
      <c r="T2633" s="10">
        <v>0</v>
      </c>
      <c r="U2633" s="10">
        <f t="shared" si="1532"/>
        <v>0</v>
      </c>
      <c r="V2633" s="7"/>
      <c r="W2633" s="11">
        <v>2015</v>
      </c>
      <c r="X2633" s="12" t="s">
        <v>6562</v>
      </c>
    </row>
    <row r="2634" spans="1:24" s="13" customFormat="1" ht="76.5" customHeight="1" outlineLevel="1" x14ac:dyDescent="0.2">
      <c r="A2634" s="1" t="s">
        <v>6692</v>
      </c>
      <c r="B2634" s="2" t="s">
        <v>5277</v>
      </c>
      <c r="C2634" s="2" t="s">
        <v>210</v>
      </c>
      <c r="D2634" s="2" t="s">
        <v>5979</v>
      </c>
      <c r="E2634" s="2" t="s">
        <v>6480</v>
      </c>
      <c r="F2634" s="2" t="s">
        <v>211</v>
      </c>
      <c r="G2634" s="3" t="s">
        <v>3190</v>
      </c>
      <c r="H2634" s="5">
        <v>0</v>
      </c>
      <c r="I2634" s="6">
        <v>710000000</v>
      </c>
      <c r="J2634" s="4" t="s">
        <v>1931</v>
      </c>
      <c r="K2634" s="4" t="s">
        <v>5297</v>
      </c>
      <c r="L2634" s="3" t="s">
        <v>1165</v>
      </c>
      <c r="M2634" s="8" t="s">
        <v>3195</v>
      </c>
      <c r="N2634" s="3" t="s">
        <v>1890</v>
      </c>
      <c r="O2634" s="8" t="s">
        <v>1935</v>
      </c>
      <c r="P2634" s="62">
        <v>166</v>
      </c>
      <c r="Q2634" s="3" t="s">
        <v>3324</v>
      </c>
      <c r="R2634" s="69">
        <f>22+2</f>
        <v>24</v>
      </c>
      <c r="S2634" s="69">
        <v>1789.29</v>
      </c>
      <c r="T2634" s="10">
        <v>0</v>
      </c>
      <c r="U2634" s="10">
        <f t="shared" si="1532"/>
        <v>0</v>
      </c>
      <c r="V2634" s="7"/>
      <c r="W2634" s="1">
        <v>2015</v>
      </c>
      <c r="X2634" s="62">
        <v>11</v>
      </c>
    </row>
    <row r="2635" spans="1:24" s="13" customFormat="1" ht="76.5" customHeight="1" outlineLevel="1" x14ac:dyDescent="0.2">
      <c r="A2635" s="1" t="s">
        <v>7875</v>
      </c>
      <c r="B2635" s="2" t="s">
        <v>5277</v>
      </c>
      <c r="C2635" s="2" t="s">
        <v>210</v>
      </c>
      <c r="D2635" s="2" t="s">
        <v>5979</v>
      </c>
      <c r="E2635" s="2" t="s">
        <v>6480</v>
      </c>
      <c r="F2635" s="2" t="s">
        <v>211</v>
      </c>
      <c r="G2635" s="3" t="s">
        <v>3190</v>
      </c>
      <c r="H2635" s="5">
        <v>0</v>
      </c>
      <c r="I2635" s="6">
        <v>710000000</v>
      </c>
      <c r="J2635" s="4" t="s">
        <v>1931</v>
      </c>
      <c r="K2635" s="4" t="s">
        <v>756</v>
      </c>
      <c r="L2635" s="3" t="s">
        <v>1165</v>
      </c>
      <c r="M2635" s="8" t="s">
        <v>3195</v>
      </c>
      <c r="N2635" s="3" t="s">
        <v>1890</v>
      </c>
      <c r="O2635" s="8" t="s">
        <v>1935</v>
      </c>
      <c r="P2635" s="62">
        <v>166</v>
      </c>
      <c r="Q2635" s="3" t="s">
        <v>3324</v>
      </c>
      <c r="R2635" s="69">
        <f>22+2</f>
        <v>24</v>
      </c>
      <c r="S2635" s="69">
        <v>1789.29</v>
      </c>
      <c r="T2635" s="10">
        <f t="shared" ref="T2635" si="1570">S2635*R2635</f>
        <v>42942.96</v>
      </c>
      <c r="U2635" s="10">
        <f t="shared" ref="U2635" si="1571">T2635*1.12</f>
        <v>48096.1152</v>
      </c>
      <c r="V2635" s="7"/>
      <c r="W2635" s="1">
        <v>2015</v>
      </c>
      <c r="X2635" s="62"/>
    </row>
    <row r="2636" spans="1:24" s="13" customFormat="1" ht="76.5" customHeight="1" outlineLevel="1" x14ac:dyDescent="0.2">
      <c r="A2636" s="1" t="s">
        <v>4151</v>
      </c>
      <c r="B2636" s="2" t="s">
        <v>5277</v>
      </c>
      <c r="C2636" s="2" t="s">
        <v>210</v>
      </c>
      <c r="D2636" s="2" t="s">
        <v>5979</v>
      </c>
      <c r="E2636" s="2" t="s">
        <v>6480</v>
      </c>
      <c r="F2636" s="2" t="s">
        <v>209</v>
      </c>
      <c r="G2636" s="3" t="s">
        <v>3190</v>
      </c>
      <c r="H2636" s="5">
        <v>0</v>
      </c>
      <c r="I2636" s="6">
        <v>710000000</v>
      </c>
      <c r="J2636" s="4" t="s">
        <v>1931</v>
      </c>
      <c r="K2636" s="4" t="s">
        <v>5297</v>
      </c>
      <c r="L2636" s="3" t="s">
        <v>1165</v>
      </c>
      <c r="M2636" s="8" t="s">
        <v>3195</v>
      </c>
      <c r="N2636" s="3" t="s">
        <v>1890</v>
      </c>
      <c r="O2636" s="8" t="s">
        <v>1935</v>
      </c>
      <c r="P2636" s="62">
        <v>166</v>
      </c>
      <c r="Q2636" s="3" t="s">
        <v>3324</v>
      </c>
      <c r="R2636" s="69">
        <f>8+2</f>
        <v>10</v>
      </c>
      <c r="S2636" s="69">
        <v>2071.4299999999998</v>
      </c>
      <c r="T2636" s="10">
        <v>0</v>
      </c>
      <c r="U2636" s="10">
        <f>T2636*1.12</f>
        <v>0</v>
      </c>
      <c r="V2636" s="7"/>
      <c r="W2636" s="1">
        <v>2015</v>
      </c>
      <c r="X2636" s="62">
        <v>11</v>
      </c>
    </row>
    <row r="2637" spans="1:24" s="13" customFormat="1" ht="76.5" customHeight="1" outlineLevel="1" x14ac:dyDescent="0.2">
      <c r="A2637" s="1" t="s">
        <v>7876</v>
      </c>
      <c r="B2637" s="2" t="s">
        <v>5277</v>
      </c>
      <c r="C2637" s="2" t="s">
        <v>210</v>
      </c>
      <c r="D2637" s="2" t="s">
        <v>5979</v>
      </c>
      <c r="E2637" s="2" t="s">
        <v>6480</v>
      </c>
      <c r="F2637" s="2" t="s">
        <v>209</v>
      </c>
      <c r="G2637" s="3" t="s">
        <v>3190</v>
      </c>
      <c r="H2637" s="5">
        <v>0</v>
      </c>
      <c r="I2637" s="6">
        <v>710000000</v>
      </c>
      <c r="J2637" s="4" t="s">
        <v>1931</v>
      </c>
      <c r="K2637" s="4" t="s">
        <v>756</v>
      </c>
      <c r="L2637" s="3" t="s">
        <v>1165</v>
      </c>
      <c r="M2637" s="8" t="s">
        <v>3195</v>
      </c>
      <c r="N2637" s="3" t="s">
        <v>1890</v>
      </c>
      <c r="O2637" s="8" t="s">
        <v>1935</v>
      </c>
      <c r="P2637" s="62">
        <v>166</v>
      </c>
      <c r="Q2637" s="3" t="s">
        <v>3324</v>
      </c>
      <c r="R2637" s="69">
        <f>8+2</f>
        <v>10</v>
      </c>
      <c r="S2637" s="69">
        <v>2071.4299999999998</v>
      </c>
      <c r="T2637" s="10">
        <f>S2637*R2637</f>
        <v>20714.3</v>
      </c>
      <c r="U2637" s="10">
        <f>T2637*1.12</f>
        <v>23200.016</v>
      </c>
      <c r="V2637" s="7"/>
      <c r="W2637" s="1">
        <v>2015</v>
      </c>
      <c r="X2637" s="62"/>
    </row>
    <row r="2638" spans="1:24" s="13" customFormat="1" ht="76.5" customHeight="1" outlineLevel="1" x14ac:dyDescent="0.2">
      <c r="A2638" s="1" t="s">
        <v>5123</v>
      </c>
      <c r="B2638" s="38" t="s">
        <v>5277</v>
      </c>
      <c r="C2638" s="2" t="s">
        <v>3808</v>
      </c>
      <c r="D2638" s="2" t="s">
        <v>5987</v>
      </c>
      <c r="E2638" s="6" t="s">
        <v>5988</v>
      </c>
      <c r="F2638" s="52" t="s">
        <v>5989</v>
      </c>
      <c r="G2638" s="50" t="s">
        <v>3190</v>
      </c>
      <c r="H2638" s="5">
        <v>0</v>
      </c>
      <c r="I2638" s="6">
        <v>710000000</v>
      </c>
      <c r="J2638" s="4" t="s">
        <v>1931</v>
      </c>
      <c r="K2638" s="4" t="s">
        <v>5297</v>
      </c>
      <c r="L2638" s="3" t="s">
        <v>1165</v>
      </c>
      <c r="M2638" s="8" t="s">
        <v>3195</v>
      </c>
      <c r="N2638" s="3" t="s">
        <v>1890</v>
      </c>
      <c r="O2638" s="8" t="s">
        <v>1935</v>
      </c>
      <c r="P2638" s="8">
        <v>796</v>
      </c>
      <c r="Q2638" s="8" t="s">
        <v>3196</v>
      </c>
      <c r="R2638" s="9">
        <f>2+2</f>
        <v>4</v>
      </c>
      <c r="S2638" s="9">
        <v>52729.46</v>
      </c>
      <c r="T2638" s="10">
        <v>0</v>
      </c>
      <c r="U2638" s="10">
        <f t="shared" si="1532"/>
        <v>0</v>
      </c>
      <c r="V2638" s="7"/>
      <c r="W2638" s="11">
        <v>2015</v>
      </c>
      <c r="X2638" s="12" t="s">
        <v>6562</v>
      </c>
    </row>
    <row r="2639" spans="1:24" s="13" customFormat="1" ht="76.5" customHeight="1" outlineLevel="1" x14ac:dyDescent="0.2">
      <c r="A2639" s="1" t="s">
        <v>6693</v>
      </c>
      <c r="B2639" s="2" t="s">
        <v>5277</v>
      </c>
      <c r="C2639" s="2" t="s">
        <v>3808</v>
      </c>
      <c r="D2639" s="2" t="s">
        <v>5987</v>
      </c>
      <c r="E2639" s="6" t="s">
        <v>5988</v>
      </c>
      <c r="F2639" s="52" t="s">
        <v>5989</v>
      </c>
      <c r="G2639" s="3" t="s">
        <v>3190</v>
      </c>
      <c r="H2639" s="5">
        <v>0</v>
      </c>
      <c r="I2639" s="6">
        <v>710000000</v>
      </c>
      <c r="J2639" s="4" t="s">
        <v>1931</v>
      </c>
      <c r="K2639" s="4" t="s">
        <v>5297</v>
      </c>
      <c r="L2639" s="3" t="s">
        <v>1165</v>
      </c>
      <c r="M2639" s="8" t="s">
        <v>3195</v>
      </c>
      <c r="N2639" s="3" t="s">
        <v>1890</v>
      </c>
      <c r="O2639" s="8" t="s">
        <v>1935</v>
      </c>
      <c r="P2639" s="8">
        <v>796</v>
      </c>
      <c r="Q2639" s="8" t="s">
        <v>3196</v>
      </c>
      <c r="R2639" s="69">
        <v>1</v>
      </c>
      <c r="S2639" s="69">
        <v>52729.46</v>
      </c>
      <c r="T2639" s="10">
        <v>0</v>
      </c>
      <c r="U2639" s="10">
        <f t="shared" si="1532"/>
        <v>0</v>
      </c>
      <c r="V2639" s="7"/>
      <c r="W2639" s="1">
        <v>2015</v>
      </c>
      <c r="X2639" s="62">
        <v>11</v>
      </c>
    </row>
    <row r="2640" spans="1:24" s="13" customFormat="1" ht="76.5" customHeight="1" outlineLevel="1" x14ac:dyDescent="0.2">
      <c r="A2640" s="1" t="s">
        <v>7877</v>
      </c>
      <c r="B2640" s="2" t="s">
        <v>5277</v>
      </c>
      <c r="C2640" s="2" t="s">
        <v>3808</v>
      </c>
      <c r="D2640" s="2" t="s">
        <v>5987</v>
      </c>
      <c r="E2640" s="6" t="s">
        <v>5988</v>
      </c>
      <c r="F2640" s="52" t="s">
        <v>5989</v>
      </c>
      <c r="G2640" s="3" t="s">
        <v>3190</v>
      </c>
      <c r="H2640" s="5">
        <v>0</v>
      </c>
      <c r="I2640" s="6">
        <v>710000000</v>
      </c>
      <c r="J2640" s="4" t="s">
        <v>1931</v>
      </c>
      <c r="K2640" s="4" t="s">
        <v>756</v>
      </c>
      <c r="L2640" s="3" t="s">
        <v>1165</v>
      </c>
      <c r="M2640" s="8" t="s">
        <v>3195</v>
      </c>
      <c r="N2640" s="3" t="s">
        <v>1890</v>
      </c>
      <c r="O2640" s="8" t="s">
        <v>1935</v>
      </c>
      <c r="P2640" s="8">
        <v>796</v>
      </c>
      <c r="Q2640" s="8" t="s">
        <v>3196</v>
      </c>
      <c r="R2640" s="69">
        <v>1</v>
      </c>
      <c r="S2640" s="69">
        <v>52729.46</v>
      </c>
      <c r="T2640" s="10">
        <f t="shared" ref="T2640" si="1572">S2640*R2640</f>
        <v>52729.46</v>
      </c>
      <c r="U2640" s="10">
        <f t="shared" ref="U2640" si="1573">T2640*1.12</f>
        <v>59056.995200000005</v>
      </c>
      <c r="V2640" s="7"/>
      <c r="W2640" s="1">
        <v>2015</v>
      </c>
      <c r="X2640" s="62"/>
    </row>
    <row r="2641" spans="1:24" s="13" customFormat="1" ht="76.5" customHeight="1" outlineLevel="1" x14ac:dyDescent="0.2">
      <c r="A2641" s="1" t="s">
        <v>4152</v>
      </c>
      <c r="B2641" s="38" t="s">
        <v>5277</v>
      </c>
      <c r="C2641" s="2" t="s">
        <v>3458</v>
      </c>
      <c r="D2641" s="2" t="s">
        <v>5990</v>
      </c>
      <c r="E2641" s="6" t="s">
        <v>5991</v>
      </c>
      <c r="F2641" s="52" t="s">
        <v>5992</v>
      </c>
      <c r="G2641" s="50" t="s">
        <v>3190</v>
      </c>
      <c r="H2641" s="5">
        <v>0</v>
      </c>
      <c r="I2641" s="6">
        <v>710000000</v>
      </c>
      <c r="J2641" s="4" t="s">
        <v>1931</v>
      </c>
      <c r="K2641" s="4" t="s">
        <v>5297</v>
      </c>
      <c r="L2641" s="3" t="s">
        <v>1165</v>
      </c>
      <c r="M2641" s="8" t="s">
        <v>3195</v>
      </c>
      <c r="N2641" s="3" t="s">
        <v>1890</v>
      </c>
      <c r="O2641" s="8" t="s">
        <v>1935</v>
      </c>
      <c r="P2641" s="60" t="s">
        <v>3010</v>
      </c>
      <c r="Q2641" s="3" t="s">
        <v>3009</v>
      </c>
      <c r="R2641" s="9">
        <f>52+48</f>
        <v>100</v>
      </c>
      <c r="S2641" s="9">
        <v>208.93</v>
      </c>
      <c r="T2641" s="10">
        <v>0</v>
      </c>
      <c r="U2641" s="10">
        <f t="shared" si="1532"/>
        <v>0</v>
      </c>
      <c r="V2641" s="7"/>
      <c r="W2641" s="11">
        <v>2015</v>
      </c>
      <c r="X2641" s="12" t="s">
        <v>6562</v>
      </c>
    </row>
    <row r="2642" spans="1:24" s="13" customFormat="1" ht="76.5" customHeight="1" outlineLevel="1" x14ac:dyDescent="0.2">
      <c r="A2642" s="1" t="s">
        <v>6694</v>
      </c>
      <c r="B2642" s="2" t="s">
        <v>5277</v>
      </c>
      <c r="C2642" s="2" t="s">
        <v>3458</v>
      </c>
      <c r="D2642" s="2" t="s">
        <v>5990</v>
      </c>
      <c r="E2642" s="6" t="s">
        <v>5991</v>
      </c>
      <c r="F2642" s="52" t="s">
        <v>5992</v>
      </c>
      <c r="G2642" s="3" t="s">
        <v>3190</v>
      </c>
      <c r="H2642" s="5">
        <v>0</v>
      </c>
      <c r="I2642" s="6">
        <v>710000000</v>
      </c>
      <c r="J2642" s="4" t="s">
        <v>1931</v>
      </c>
      <c r="K2642" s="4" t="s">
        <v>5297</v>
      </c>
      <c r="L2642" s="3" t="s">
        <v>1165</v>
      </c>
      <c r="M2642" s="8" t="s">
        <v>3195</v>
      </c>
      <c r="N2642" s="3" t="s">
        <v>1890</v>
      </c>
      <c r="O2642" s="8" t="s">
        <v>1935</v>
      </c>
      <c r="P2642" s="60" t="s">
        <v>3010</v>
      </c>
      <c r="Q2642" s="3" t="s">
        <v>3009</v>
      </c>
      <c r="R2642" s="69">
        <f>32+48</f>
        <v>80</v>
      </c>
      <c r="S2642" s="69">
        <v>208.93</v>
      </c>
      <c r="T2642" s="10">
        <v>0</v>
      </c>
      <c r="U2642" s="10">
        <f t="shared" si="1532"/>
        <v>0</v>
      </c>
      <c r="V2642" s="7"/>
      <c r="W2642" s="1">
        <v>2015</v>
      </c>
      <c r="X2642" s="62">
        <v>11</v>
      </c>
    </row>
    <row r="2643" spans="1:24" s="13" customFormat="1" ht="76.5" customHeight="1" outlineLevel="1" x14ac:dyDescent="0.2">
      <c r="A2643" s="1" t="s">
        <v>7878</v>
      </c>
      <c r="B2643" s="2" t="s">
        <v>5277</v>
      </c>
      <c r="C2643" s="2" t="s">
        <v>3458</v>
      </c>
      <c r="D2643" s="2" t="s">
        <v>5990</v>
      </c>
      <c r="E2643" s="6" t="s">
        <v>5991</v>
      </c>
      <c r="F2643" s="52" t="s">
        <v>5992</v>
      </c>
      <c r="G2643" s="3" t="s">
        <v>3190</v>
      </c>
      <c r="H2643" s="5">
        <v>0</v>
      </c>
      <c r="I2643" s="6">
        <v>710000000</v>
      </c>
      <c r="J2643" s="4" t="s">
        <v>1931</v>
      </c>
      <c r="K2643" s="4" t="s">
        <v>756</v>
      </c>
      <c r="L2643" s="3" t="s">
        <v>1165</v>
      </c>
      <c r="M2643" s="8" t="s">
        <v>3195</v>
      </c>
      <c r="N2643" s="3" t="s">
        <v>1890</v>
      </c>
      <c r="O2643" s="8" t="s">
        <v>1935</v>
      </c>
      <c r="P2643" s="60" t="s">
        <v>3010</v>
      </c>
      <c r="Q2643" s="3" t="s">
        <v>3009</v>
      </c>
      <c r="R2643" s="69">
        <f>32+48</f>
        <v>80</v>
      </c>
      <c r="S2643" s="69">
        <v>208.93</v>
      </c>
      <c r="T2643" s="10">
        <f t="shared" ref="T2643" si="1574">S2643*R2643</f>
        <v>16714.400000000001</v>
      </c>
      <c r="U2643" s="10">
        <f t="shared" ref="U2643" si="1575">T2643*1.12</f>
        <v>18720.128000000004</v>
      </c>
      <c r="V2643" s="7"/>
      <c r="W2643" s="1">
        <v>2015</v>
      </c>
      <c r="X2643" s="62"/>
    </row>
    <row r="2644" spans="1:24" s="13" customFormat="1" ht="102" customHeight="1" outlineLevel="1" x14ac:dyDescent="0.2">
      <c r="A2644" s="1" t="s">
        <v>4153</v>
      </c>
      <c r="B2644" s="38" t="s">
        <v>5277</v>
      </c>
      <c r="C2644" s="2" t="s">
        <v>3456</v>
      </c>
      <c r="D2644" s="2" t="s">
        <v>5994</v>
      </c>
      <c r="E2644" s="6" t="s">
        <v>7616</v>
      </c>
      <c r="F2644" s="39"/>
      <c r="G2644" s="50" t="s">
        <v>3190</v>
      </c>
      <c r="H2644" s="5">
        <v>0</v>
      </c>
      <c r="I2644" s="6">
        <v>710000000</v>
      </c>
      <c r="J2644" s="4" t="s">
        <v>1931</v>
      </c>
      <c r="K2644" s="4" t="s">
        <v>5297</v>
      </c>
      <c r="L2644" s="3" t="s">
        <v>1165</v>
      </c>
      <c r="M2644" s="8" t="s">
        <v>3195</v>
      </c>
      <c r="N2644" s="3" t="s">
        <v>1890</v>
      </c>
      <c r="O2644" s="8" t="s">
        <v>1935</v>
      </c>
      <c r="P2644" s="62">
        <v>166</v>
      </c>
      <c r="Q2644" s="3" t="s">
        <v>3324</v>
      </c>
      <c r="R2644" s="9">
        <v>2.8</v>
      </c>
      <c r="S2644" s="9">
        <v>1031.25</v>
      </c>
      <c r="T2644" s="10">
        <v>0</v>
      </c>
      <c r="U2644" s="10">
        <f t="shared" si="1532"/>
        <v>0</v>
      </c>
      <c r="V2644" s="7"/>
      <c r="W2644" s="11">
        <v>2015</v>
      </c>
      <c r="X2644" s="12" t="s">
        <v>6562</v>
      </c>
    </row>
    <row r="2645" spans="1:24" s="13" customFormat="1" ht="102" customHeight="1" outlineLevel="1" x14ac:dyDescent="0.2">
      <c r="A2645" s="1" t="s">
        <v>6695</v>
      </c>
      <c r="B2645" s="2" t="s">
        <v>5277</v>
      </c>
      <c r="C2645" s="2" t="s">
        <v>3456</v>
      </c>
      <c r="D2645" s="2" t="s">
        <v>5994</v>
      </c>
      <c r="E2645" s="6" t="s">
        <v>7616</v>
      </c>
      <c r="F2645" s="2"/>
      <c r="G2645" s="3" t="s">
        <v>3190</v>
      </c>
      <c r="H2645" s="5">
        <v>0</v>
      </c>
      <c r="I2645" s="6">
        <v>710000000</v>
      </c>
      <c r="J2645" s="4" t="s">
        <v>1931</v>
      </c>
      <c r="K2645" s="4" t="s">
        <v>5297</v>
      </c>
      <c r="L2645" s="3" t="s">
        <v>1165</v>
      </c>
      <c r="M2645" s="8" t="s">
        <v>3195</v>
      </c>
      <c r="N2645" s="3" t="s">
        <v>1890</v>
      </c>
      <c r="O2645" s="8" t="s">
        <v>1935</v>
      </c>
      <c r="P2645" s="62">
        <v>166</v>
      </c>
      <c r="Q2645" s="3" t="s">
        <v>3324</v>
      </c>
      <c r="R2645" s="69">
        <v>5.2</v>
      </c>
      <c r="S2645" s="69">
        <v>1031.25</v>
      </c>
      <c r="T2645" s="10">
        <v>0</v>
      </c>
      <c r="U2645" s="10">
        <f>T2645*1.12</f>
        <v>0</v>
      </c>
      <c r="V2645" s="7"/>
      <c r="W2645" s="1">
        <v>2015</v>
      </c>
      <c r="X2645" s="62">
        <v>11</v>
      </c>
    </row>
    <row r="2646" spans="1:24" s="13" customFormat="1" ht="102" customHeight="1" outlineLevel="1" x14ac:dyDescent="0.2">
      <c r="A2646" s="1" t="s">
        <v>7879</v>
      </c>
      <c r="B2646" s="2" t="s">
        <v>5277</v>
      </c>
      <c r="C2646" s="2" t="s">
        <v>3456</v>
      </c>
      <c r="D2646" s="2" t="s">
        <v>5994</v>
      </c>
      <c r="E2646" s="6" t="s">
        <v>7616</v>
      </c>
      <c r="F2646" s="2"/>
      <c r="G2646" s="3" t="s">
        <v>3190</v>
      </c>
      <c r="H2646" s="5">
        <v>0</v>
      </c>
      <c r="I2646" s="6">
        <v>710000000</v>
      </c>
      <c r="J2646" s="4" t="s">
        <v>1931</v>
      </c>
      <c r="K2646" s="4" t="s">
        <v>756</v>
      </c>
      <c r="L2646" s="3" t="s">
        <v>1165</v>
      </c>
      <c r="M2646" s="8" t="s">
        <v>3195</v>
      </c>
      <c r="N2646" s="3" t="s">
        <v>1890</v>
      </c>
      <c r="O2646" s="8" t="s">
        <v>1935</v>
      </c>
      <c r="P2646" s="62">
        <v>166</v>
      </c>
      <c r="Q2646" s="3" t="s">
        <v>3324</v>
      </c>
      <c r="R2646" s="69">
        <v>5.2</v>
      </c>
      <c r="S2646" s="69">
        <v>1031.25</v>
      </c>
      <c r="T2646" s="10">
        <f>R2646*S2646</f>
        <v>5362.5</v>
      </c>
      <c r="U2646" s="10">
        <f>T2646*1.12</f>
        <v>6006.0000000000009</v>
      </c>
      <c r="V2646" s="7"/>
      <c r="W2646" s="1">
        <v>2015</v>
      </c>
      <c r="X2646" s="62"/>
    </row>
    <row r="2647" spans="1:24" s="13" customFormat="1" ht="76.5" customHeight="1" outlineLevel="1" x14ac:dyDescent="0.2">
      <c r="A2647" s="1" t="s">
        <v>4154</v>
      </c>
      <c r="B2647" s="38" t="s">
        <v>5277</v>
      </c>
      <c r="C2647" s="2" t="s">
        <v>99</v>
      </c>
      <c r="D2647" s="2" t="s">
        <v>3449</v>
      </c>
      <c r="E2647" s="2" t="s">
        <v>98</v>
      </c>
      <c r="F2647" s="39"/>
      <c r="G2647" s="50" t="s">
        <v>3190</v>
      </c>
      <c r="H2647" s="5">
        <v>0</v>
      </c>
      <c r="I2647" s="6">
        <v>710000000</v>
      </c>
      <c r="J2647" s="4" t="s">
        <v>1931</v>
      </c>
      <c r="K2647" s="4" t="s">
        <v>5297</v>
      </c>
      <c r="L2647" s="3" t="s">
        <v>1165</v>
      </c>
      <c r="M2647" s="8" t="s">
        <v>3195</v>
      </c>
      <c r="N2647" s="3" t="s">
        <v>1890</v>
      </c>
      <c r="O2647" s="8" t="s">
        <v>1935</v>
      </c>
      <c r="P2647" s="60" t="s">
        <v>3010</v>
      </c>
      <c r="Q2647" s="3" t="s">
        <v>5142</v>
      </c>
      <c r="R2647" s="9">
        <f>60+47+5+50+200</f>
        <v>362</v>
      </c>
      <c r="S2647" s="9">
        <v>551</v>
      </c>
      <c r="T2647" s="10">
        <v>0</v>
      </c>
      <c r="U2647" s="10">
        <f t="shared" si="1532"/>
        <v>0</v>
      </c>
      <c r="V2647" s="7"/>
      <c r="W2647" s="11">
        <v>2015</v>
      </c>
      <c r="X2647" s="12" t="s">
        <v>6562</v>
      </c>
    </row>
    <row r="2648" spans="1:24" s="13" customFormat="1" ht="76.5" customHeight="1" outlineLevel="1" x14ac:dyDescent="0.2">
      <c r="A2648" s="1" t="s">
        <v>6696</v>
      </c>
      <c r="B2648" s="2" t="s">
        <v>5277</v>
      </c>
      <c r="C2648" s="2" t="s">
        <v>99</v>
      </c>
      <c r="D2648" s="2" t="s">
        <v>3449</v>
      </c>
      <c r="E2648" s="2" t="s">
        <v>98</v>
      </c>
      <c r="F2648" s="2"/>
      <c r="G2648" s="3" t="s">
        <v>3190</v>
      </c>
      <c r="H2648" s="5">
        <v>0</v>
      </c>
      <c r="I2648" s="6">
        <v>710000000</v>
      </c>
      <c r="J2648" s="4" t="s">
        <v>1931</v>
      </c>
      <c r="K2648" s="4" t="s">
        <v>5297</v>
      </c>
      <c r="L2648" s="3" t="s">
        <v>1165</v>
      </c>
      <c r="M2648" s="8" t="s">
        <v>3195</v>
      </c>
      <c r="N2648" s="3" t="s">
        <v>1890</v>
      </c>
      <c r="O2648" s="8" t="s">
        <v>1935</v>
      </c>
      <c r="P2648" s="60" t="s">
        <v>3010</v>
      </c>
      <c r="Q2648" s="3" t="s">
        <v>5142</v>
      </c>
      <c r="R2648" s="69">
        <f>30+47+5+27+200</f>
        <v>309</v>
      </c>
      <c r="S2648" s="69">
        <v>551</v>
      </c>
      <c r="T2648" s="10">
        <v>0</v>
      </c>
      <c r="U2648" s="10">
        <f t="shared" si="1532"/>
        <v>0</v>
      </c>
      <c r="V2648" s="7"/>
      <c r="W2648" s="1">
        <v>2015</v>
      </c>
      <c r="X2648" s="62" t="s">
        <v>7518</v>
      </c>
    </row>
    <row r="2649" spans="1:24" s="13" customFormat="1" ht="76.5" customHeight="1" outlineLevel="1" x14ac:dyDescent="0.2">
      <c r="A2649" s="1" t="s">
        <v>7880</v>
      </c>
      <c r="B2649" s="2" t="s">
        <v>5277</v>
      </c>
      <c r="C2649" s="2" t="s">
        <v>99</v>
      </c>
      <c r="D2649" s="2" t="s">
        <v>3449</v>
      </c>
      <c r="E2649" s="2" t="s">
        <v>98</v>
      </c>
      <c r="F2649" s="2"/>
      <c r="G2649" s="3" t="s">
        <v>3190</v>
      </c>
      <c r="H2649" s="5">
        <v>0</v>
      </c>
      <c r="I2649" s="6">
        <v>710000000</v>
      </c>
      <c r="J2649" s="4" t="s">
        <v>1931</v>
      </c>
      <c r="K2649" s="4" t="s">
        <v>756</v>
      </c>
      <c r="L2649" s="3" t="s">
        <v>1165</v>
      </c>
      <c r="M2649" s="8" t="s">
        <v>3195</v>
      </c>
      <c r="N2649" s="3" t="s">
        <v>1890</v>
      </c>
      <c r="O2649" s="8" t="s">
        <v>1935</v>
      </c>
      <c r="P2649" s="60" t="s">
        <v>3010</v>
      </c>
      <c r="Q2649" s="3" t="s">
        <v>5142</v>
      </c>
      <c r="R2649" s="69">
        <f>20+40+20+150</f>
        <v>230</v>
      </c>
      <c r="S2649" s="69">
        <v>551</v>
      </c>
      <c r="T2649" s="10">
        <f t="shared" ref="T2649" si="1576">S2649*R2649</f>
        <v>126730</v>
      </c>
      <c r="U2649" s="10">
        <f t="shared" ref="U2649" si="1577">T2649*1.12</f>
        <v>141937.60000000001</v>
      </c>
      <c r="V2649" s="7"/>
      <c r="W2649" s="1">
        <v>2015</v>
      </c>
      <c r="X2649" s="62"/>
    </row>
    <row r="2650" spans="1:24" s="13" customFormat="1" ht="76.5" customHeight="1" outlineLevel="1" x14ac:dyDescent="0.2">
      <c r="A2650" s="1" t="s">
        <v>4155</v>
      </c>
      <c r="B2650" s="38" t="s">
        <v>5277</v>
      </c>
      <c r="C2650" s="2" t="s">
        <v>208</v>
      </c>
      <c r="D2650" s="2" t="s">
        <v>3449</v>
      </c>
      <c r="E2650" s="2" t="s">
        <v>7617</v>
      </c>
      <c r="F2650" s="39"/>
      <c r="G2650" s="50" t="s">
        <v>3190</v>
      </c>
      <c r="H2650" s="5">
        <v>0</v>
      </c>
      <c r="I2650" s="6">
        <v>710000000</v>
      </c>
      <c r="J2650" s="4" t="s">
        <v>1931</v>
      </c>
      <c r="K2650" s="4" t="s">
        <v>5297</v>
      </c>
      <c r="L2650" s="3" t="s">
        <v>1165</v>
      </c>
      <c r="M2650" s="8" t="s">
        <v>3195</v>
      </c>
      <c r="N2650" s="3" t="s">
        <v>1890</v>
      </c>
      <c r="O2650" s="8" t="s">
        <v>1935</v>
      </c>
      <c r="P2650" s="60" t="s">
        <v>3010</v>
      </c>
      <c r="Q2650" s="3" t="s">
        <v>3009</v>
      </c>
      <c r="R2650" s="9">
        <f>20+50</f>
        <v>70</v>
      </c>
      <c r="S2650" s="9">
        <v>278.57</v>
      </c>
      <c r="T2650" s="10">
        <v>0</v>
      </c>
      <c r="U2650" s="10">
        <f t="shared" si="1532"/>
        <v>0</v>
      </c>
      <c r="V2650" s="7"/>
      <c r="W2650" s="11">
        <v>2015</v>
      </c>
      <c r="X2650" s="12" t="s">
        <v>6562</v>
      </c>
    </row>
    <row r="2651" spans="1:24" s="13" customFormat="1" ht="76.5" customHeight="1" outlineLevel="1" x14ac:dyDescent="0.2">
      <c r="A2651" s="1" t="s">
        <v>6697</v>
      </c>
      <c r="B2651" s="2" t="s">
        <v>5277</v>
      </c>
      <c r="C2651" s="2" t="s">
        <v>208</v>
      </c>
      <c r="D2651" s="2" t="s">
        <v>3449</v>
      </c>
      <c r="E2651" s="2" t="s">
        <v>7617</v>
      </c>
      <c r="F2651" s="2"/>
      <c r="G2651" s="3" t="s">
        <v>3190</v>
      </c>
      <c r="H2651" s="5">
        <v>0</v>
      </c>
      <c r="I2651" s="6">
        <v>710000000</v>
      </c>
      <c r="J2651" s="4" t="s">
        <v>1931</v>
      </c>
      <c r="K2651" s="4" t="s">
        <v>5297</v>
      </c>
      <c r="L2651" s="3" t="s">
        <v>1165</v>
      </c>
      <c r="M2651" s="8" t="s">
        <v>3195</v>
      </c>
      <c r="N2651" s="3" t="s">
        <v>1890</v>
      </c>
      <c r="O2651" s="8" t="s">
        <v>1935</v>
      </c>
      <c r="P2651" s="60" t="s">
        <v>3010</v>
      </c>
      <c r="Q2651" s="3" t="s">
        <v>3009</v>
      </c>
      <c r="R2651" s="69">
        <f>20+30</f>
        <v>50</v>
      </c>
      <c r="S2651" s="69">
        <v>278.57</v>
      </c>
      <c r="T2651" s="10">
        <v>0</v>
      </c>
      <c r="U2651" s="10">
        <f t="shared" si="1532"/>
        <v>0</v>
      </c>
      <c r="V2651" s="7"/>
      <c r="W2651" s="1">
        <v>2015</v>
      </c>
      <c r="X2651" s="62" t="s">
        <v>7518</v>
      </c>
    </row>
    <row r="2652" spans="1:24" s="13" customFormat="1" ht="76.5" customHeight="1" outlineLevel="1" x14ac:dyDescent="0.2">
      <c r="A2652" s="1" t="s">
        <v>7881</v>
      </c>
      <c r="B2652" s="2" t="s">
        <v>5277</v>
      </c>
      <c r="C2652" s="2" t="s">
        <v>208</v>
      </c>
      <c r="D2652" s="2" t="s">
        <v>3449</v>
      </c>
      <c r="E2652" s="2" t="s">
        <v>7617</v>
      </c>
      <c r="F2652" s="2"/>
      <c r="G2652" s="3" t="s">
        <v>3190</v>
      </c>
      <c r="H2652" s="5">
        <v>0</v>
      </c>
      <c r="I2652" s="6">
        <v>710000000</v>
      </c>
      <c r="J2652" s="4" t="s">
        <v>1931</v>
      </c>
      <c r="K2652" s="4" t="s">
        <v>756</v>
      </c>
      <c r="L2652" s="3" t="s">
        <v>1165</v>
      </c>
      <c r="M2652" s="8" t="s">
        <v>3195</v>
      </c>
      <c r="N2652" s="3" t="s">
        <v>1890</v>
      </c>
      <c r="O2652" s="8" t="s">
        <v>1935</v>
      </c>
      <c r="P2652" s="60" t="s">
        <v>3010</v>
      </c>
      <c r="Q2652" s="3" t="s">
        <v>3009</v>
      </c>
      <c r="R2652" s="69">
        <f>10+20</f>
        <v>30</v>
      </c>
      <c r="S2652" s="69">
        <v>278.57</v>
      </c>
      <c r="T2652" s="10">
        <f t="shared" ref="T2652" si="1578">S2652*R2652</f>
        <v>8357.1</v>
      </c>
      <c r="U2652" s="10">
        <f t="shared" ref="U2652" si="1579">T2652*1.12</f>
        <v>9359.9520000000011</v>
      </c>
      <c r="V2652" s="7"/>
      <c r="W2652" s="1">
        <v>2015</v>
      </c>
      <c r="X2652" s="62"/>
    </row>
    <row r="2653" spans="1:24" s="13" customFormat="1" ht="76.5" customHeight="1" outlineLevel="1" x14ac:dyDescent="0.2">
      <c r="A2653" s="1" t="s">
        <v>4156</v>
      </c>
      <c r="B2653" s="38" t="s">
        <v>5277</v>
      </c>
      <c r="C2653" s="2" t="s">
        <v>3448</v>
      </c>
      <c r="D2653" s="2" t="s">
        <v>6023</v>
      </c>
      <c r="E2653" s="2" t="s">
        <v>6024</v>
      </c>
      <c r="F2653" s="39"/>
      <c r="G2653" s="50" t="s">
        <v>3190</v>
      </c>
      <c r="H2653" s="5">
        <v>0</v>
      </c>
      <c r="I2653" s="6">
        <v>710000000</v>
      </c>
      <c r="J2653" s="4" t="s">
        <v>1931</v>
      </c>
      <c r="K2653" s="4" t="s">
        <v>5297</v>
      </c>
      <c r="L2653" s="3" t="s">
        <v>1165</v>
      </c>
      <c r="M2653" s="8" t="s">
        <v>3195</v>
      </c>
      <c r="N2653" s="3" t="s">
        <v>1890</v>
      </c>
      <c r="O2653" s="8" t="s">
        <v>1935</v>
      </c>
      <c r="P2653" s="8">
        <v>796</v>
      </c>
      <c r="Q2653" s="8" t="s">
        <v>3196</v>
      </c>
      <c r="R2653" s="9">
        <f>44+32</f>
        <v>76</v>
      </c>
      <c r="S2653" s="9">
        <v>535.71</v>
      </c>
      <c r="T2653" s="10">
        <v>0</v>
      </c>
      <c r="U2653" s="10">
        <f t="shared" si="1532"/>
        <v>0</v>
      </c>
      <c r="V2653" s="7"/>
      <c r="W2653" s="11">
        <v>2015</v>
      </c>
      <c r="X2653" s="12" t="s">
        <v>6562</v>
      </c>
    </row>
    <row r="2654" spans="1:24" s="13" customFormat="1" ht="76.5" customHeight="1" outlineLevel="1" x14ac:dyDescent="0.2">
      <c r="A2654" s="1" t="s">
        <v>6698</v>
      </c>
      <c r="B2654" s="2" t="s">
        <v>5277</v>
      </c>
      <c r="C2654" s="2" t="s">
        <v>3448</v>
      </c>
      <c r="D2654" s="2" t="s">
        <v>6023</v>
      </c>
      <c r="E2654" s="2" t="s">
        <v>6024</v>
      </c>
      <c r="F2654" s="2"/>
      <c r="G2654" s="3" t="s">
        <v>3190</v>
      </c>
      <c r="H2654" s="5">
        <v>0</v>
      </c>
      <c r="I2654" s="6">
        <v>710000000</v>
      </c>
      <c r="J2654" s="4" t="s">
        <v>1931</v>
      </c>
      <c r="K2654" s="4" t="s">
        <v>5297</v>
      </c>
      <c r="L2654" s="3" t="s">
        <v>1165</v>
      </c>
      <c r="M2654" s="8" t="s">
        <v>3195</v>
      </c>
      <c r="N2654" s="3" t="s">
        <v>1890</v>
      </c>
      <c r="O2654" s="8" t="s">
        <v>1935</v>
      </c>
      <c r="P2654" s="8">
        <v>796</v>
      </c>
      <c r="Q2654" s="8" t="s">
        <v>3196</v>
      </c>
      <c r="R2654" s="69">
        <f>40+24</f>
        <v>64</v>
      </c>
      <c r="S2654" s="69">
        <v>535.71</v>
      </c>
      <c r="T2654" s="10">
        <v>0</v>
      </c>
      <c r="U2654" s="10">
        <f t="shared" si="1532"/>
        <v>0</v>
      </c>
      <c r="V2654" s="7"/>
      <c r="W2654" s="1">
        <v>2015</v>
      </c>
      <c r="X2654" s="62" t="s">
        <v>7518</v>
      </c>
    </row>
    <row r="2655" spans="1:24" s="13" customFormat="1" ht="76.5" customHeight="1" outlineLevel="1" x14ac:dyDescent="0.2">
      <c r="A2655" s="1" t="s">
        <v>7882</v>
      </c>
      <c r="B2655" s="2" t="s">
        <v>5277</v>
      </c>
      <c r="C2655" s="2" t="s">
        <v>3448</v>
      </c>
      <c r="D2655" s="2" t="s">
        <v>6023</v>
      </c>
      <c r="E2655" s="2" t="s">
        <v>6024</v>
      </c>
      <c r="F2655" s="2"/>
      <c r="G2655" s="3" t="s">
        <v>3190</v>
      </c>
      <c r="H2655" s="5">
        <v>0</v>
      </c>
      <c r="I2655" s="6">
        <v>710000000</v>
      </c>
      <c r="J2655" s="4" t="s">
        <v>1931</v>
      </c>
      <c r="K2655" s="4" t="s">
        <v>756</v>
      </c>
      <c r="L2655" s="3" t="s">
        <v>1165</v>
      </c>
      <c r="M2655" s="8" t="s">
        <v>3195</v>
      </c>
      <c r="N2655" s="3" t="s">
        <v>1890</v>
      </c>
      <c r="O2655" s="8" t="s">
        <v>1935</v>
      </c>
      <c r="P2655" s="8">
        <v>796</v>
      </c>
      <c r="Q2655" s="8" t="s">
        <v>3196</v>
      </c>
      <c r="R2655" s="69">
        <f>20+15</f>
        <v>35</v>
      </c>
      <c r="S2655" s="69">
        <v>535.71</v>
      </c>
      <c r="T2655" s="10">
        <f t="shared" ref="T2655" si="1580">S2655*R2655</f>
        <v>18749.850000000002</v>
      </c>
      <c r="U2655" s="10">
        <f t="shared" ref="U2655" si="1581">T2655*1.12</f>
        <v>20999.832000000006</v>
      </c>
      <c r="V2655" s="7"/>
      <c r="W2655" s="1">
        <v>2015</v>
      </c>
      <c r="X2655" s="62"/>
    </row>
    <row r="2656" spans="1:24" s="13" customFormat="1" ht="76.5" customHeight="1" outlineLevel="1" x14ac:dyDescent="0.2">
      <c r="A2656" s="1" t="s">
        <v>4157</v>
      </c>
      <c r="B2656" s="38" t="s">
        <v>5277</v>
      </c>
      <c r="C2656" s="2" t="s">
        <v>3447</v>
      </c>
      <c r="D2656" s="2" t="s">
        <v>6023</v>
      </c>
      <c r="E2656" s="6" t="s">
        <v>6025</v>
      </c>
      <c r="F2656" s="39"/>
      <c r="G2656" s="50" t="s">
        <v>3190</v>
      </c>
      <c r="H2656" s="5">
        <v>0</v>
      </c>
      <c r="I2656" s="6">
        <v>710000000</v>
      </c>
      <c r="J2656" s="4" t="s">
        <v>1931</v>
      </c>
      <c r="K2656" s="4" t="s">
        <v>5297</v>
      </c>
      <c r="L2656" s="3" t="s">
        <v>1165</v>
      </c>
      <c r="M2656" s="8" t="s">
        <v>3195</v>
      </c>
      <c r="N2656" s="3" t="s">
        <v>1890</v>
      </c>
      <c r="O2656" s="8" t="s">
        <v>1935</v>
      </c>
      <c r="P2656" s="8">
        <v>796</v>
      </c>
      <c r="Q2656" s="8" t="s">
        <v>3196</v>
      </c>
      <c r="R2656" s="9">
        <f>45+34</f>
        <v>79</v>
      </c>
      <c r="S2656" s="9">
        <v>625</v>
      </c>
      <c r="T2656" s="10">
        <v>0</v>
      </c>
      <c r="U2656" s="10">
        <f t="shared" si="1532"/>
        <v>0</v>
      </c>
      <c r="V2656" s="7"/>
      <c r="W2656" s="11">
        <v>2015</v>
      </c>
      <c r="X2656" s="12" t="s">
        <v>6562</v>
      </c>
    </row>
    <row r="2657" spans="1:24" s="13" customFormat="1" ht="76.5" customHeight="1" outlineLevel="1" x14ac:dyDescent="0.2">
      <c r="A2657" s="1" t="s">
        <v>6699</v>
      </c>
      <c r="B2657" s="2" t="s">
        <v>5277</v>
      </c>
      <c r="C2657" s="2" t="s">
        <v>3447</v>
      </c>
      <c r="D2657" s="2" t="s">
        <v>6023</v>
      </c>
      <c r="E2657" s="6" t="s">
        <v>6025</v>
      </c>
      <c r="F2657" s="2"/>
      <c r="G2657" s="3" t="s">
        <v>3190</v>
      </c>
      <c r="H2657" s="5">
        <v>0</v>
      </c>
      <c r="I2657" s="6">
        <v>710000000</v>
      </c>
      <c r="J2657" s="4" t="s">
        <v>1931</v>
      </c>
      <c r="K2657" s="4" t="s">
        <v>5297</v>
      </c>
      <c r="L2657" s="3" t="s">
        <v>1165</v>
      </c>
      <c r="M2657" s="8" t="s">
        <v>3195</v>
      </c>
      <c r="N2657" s="3" t="s">
        <v>1890</v>
      </c>
      <c r="O2657" s="8" t="s">
        <v>1935</v>
      </c>
      <c r="P2657" s="8">
        <v>796</v>
      </c>
      <c r="Q2657" s="8" t="s">
        <v>3196</v>
      </c>
      <c r="R2657" s="69">
        <f>39+24</f>
        <v>63</v>
      </c>
      <c r="S2657" s="69">
        <v>625</v>
      </c>
      <c r="T2657" s="10">
        <v>0</v>
      </c>
      <c r="U2657" s="10">
        <f t="shared" si="1532"/>
        <v>0</v>
      </c>
      <c r="V2657" s="7"/>
      <c r="W2657" s="1">
        <v>2015</v>
      </c>
      <c r="X2657" s="62" t="s">
        <v>7518</v>
      </c>
    </row>
    <row r="2658" spans="1:24" s="13" customFormat="1" ht="76.5" customHeight="1" outlineLevel="1" x14ac:dyDescent="0.2">
      <c r="A2658" s="1" t="s">
        <v>7883</v>
      </c>
      <c r="B2658" s="2" t="s">
        <v>5277</v>
      </c>
      <c r="C2658" s="2" t="s">
        <v>3447</v>
      </c>
      <c r="D2658" s="2" t="s">
        <v>6023</v>
      </c>
      <c r="E2658" s="6" t="s">
        <v>6025</v>
      </c>
      <c r="F2658" s="2"/>
      <c r="G2658" s="3" t="s">
        <v>3190</v>
      </c>
      <c r="H2658" s="5">
        <v>0</v>
      </c>
      <c r="I2658" s="6">
        <v>710000000</v>
      </c>
      <c r="J2658" s="4" t="s">
        <v>1931</v>
      </c>
      <c r="K2658" s="4" t="s">
        <v>756</v>
      </c>
      <c r="L2658" s="3" t="s">
        <v>1165</v>
      </c>
      <c r="M2658" s="8" t="s">
        <v>3195</v>
      </c>
      <c r="N2658" s="3" t="s">
        <v>1890</v>
      </c>
      <c r="O2658" s="8" t="s">
        <v>1935</v>
      </c>
      <c r="P2658" s="8">
        <v>796</v>
      </c>
      <c r="Q2658" s="8" t="s">
        <v>3196</v>
      </c>
      <c r="R2658" s="69">
        <f>25+20</f>
        <v>45</v>
      </c>
      <c r="S2658" s="69">
        <v>625</v>
      </c>
      <c r="T2658" s="10">
        <f t="shared" ref="T2658" si="1582">S2658*R2658</f>
        <v>28125</v>
      </c>
      <c r="U2658" s="10">
        <f t="shared" ref="U2658" si="1583">T2658*1.12</f>
        <v>31500.000000000004</v>
      </c>
      <c r="V2658" s="7"/>
      <c r="W2658" s="1">
        <v>2015</v>
      </c>
      <c r="X2658" s="62"/>
    </row>
    <row r="2659" spans="1:24" s="13" customFormat="1" ht="76.5" customHeight="1" outlineLevel="1" x14ac:dyDescent="0.2">
      <c r="A2659" s="1" t="s">
        <v>4158</v>
      </c>
      <c r="B2659" s="38" t="s">
        <v>5277</v>
      </c>
      <c r="C2659" s="2" t="s">
        <v>207</v>
      </c>
      <c r="D2659" s="2" t="s">
        <v>206</v>
      </c>
      <c r="E2659" s="2" t="s">
        <v>205</v>
      </c>
      <c r="F2659" s="39" t="s">
        <v>204</v>
      </c>
      <c r="G2659" s="50" t="s">
        <v>3190</v>
      </c>
      <c r="H2659" s="5">
        <v>0</v>
      </c>
      <c r="I2659" s="6">
        <v>710000000</v>
      </c>
      <c r="J2659" s="4" t="s">
        <v>1931</v>
      </c>
      <c r="K2659" s="4" t="s">
        <v>5297</v>
      </c>
      <c r="L2659" s="3" t="s">
        <v>1165</v>
      </c>
      <c r="M2659" s="8" t="s">
        <v>3195</v>
      </c>
      <c r="N2659" s="3" t="s">
        <v>1890</v>
      </c>
      <c r="O2659" s="8" t="s">
        <v>1935</v>
      </c>
      <c r="P2659" s="8">
        <v>796</v>
      </c>
      <c r="Q2659" s="8" t="s">
        <v>3196</v>
      </c>
      <c r="R2659" s="9">
        <f>28+30</f>
        <v>58</v>
      </c>
      <c r="S2659" s="9">
        <v>631.25</v>
      </c>
      <c r="T2659" s="10">
        <v>0</v>
      </c>
      <c r="U2659" s="10">
        <f t="shared" si="1532"/>
        <v>0</v>
      </c>
      <c r="V2659" s="7"/>
      <c r="W2659" s="11">
        <v>2015</v>
      </c>
      <c r="X2659" s="12" t="s">
        <v>6562</v>
      </c>
    </row>
    <row r="2660" spans="1:24" s="13" customFormat="1" ht="76.5" customHeight="1" outlineLevel="1" x14ac:dyDescent="0.2">
      <c r="A2660" s="1" t="s">
        <v>6700</v>
      </c>
      <c r="B2660" s="2" t="s">
        <v>5277</v>
      </c>
      <c r="C2660" s="2" t="s">
        <v>207</v>
      </c>
      <c r="D2660" s="2" t="s">
        <v>206</v>
      </c>
      <c r="E2660" s="2" t="s">
        <v>205</v>
      </c>
      <c r="F2660" s="2" t="s">
        <v>204</v>
      </c>
      <c r="G2660" s="3" t="s">
        <v>3190</v>
      </c>
      <c r="H2660" s="5">
        <v>0</v>
      </c>
      <c r="I2660" s="6">
        <v>710000000</v>
      </c>
      <c r="J2660" s="4" t="s">
        <v>1931</v>
      </c>
      <c r="K2660" s="4" t="s">
        <v>5297</v>
      </c>
      <c r="L2660" s="3" t="s">
        <v>1165</v>
      </c>
      <c r="M2660" s="8" t="s">
        <v>3195</v>
      </c>
      <c r="N2660" s="3" t="s">
        <v>1890</v>
      </c>
      <c r="O2660" s="8" t="s">
        <v>1935</v>
      </c>
      <c r="P2660" s="8">
        <v>796</v>
      </c>
      <c r="Q2660" s="8" t="s">
        <v>3196</v>
      </c>
      <c r="R2660" s="69">
        <f>13+30</f>
        <v>43</v>
      </c>
      <c r="S2660" s="69">
        <v>631.25</v>
      </c>
      <c r="T2660" s="10">
        <v>0</v>
      </c>
      <c r="U2660" s="10">
        <f t="shared" si="1532"/>
        <v>0</v>
      </c>
      <c r="V2660" s="7"/>
      <c r="W2660" s="1">
        <v>2015</v>
      </c>
      <c r="X2660" s="62" t="s">
        <v>7518</v>
      </c>
    </row>
    <row r="2661" spans="1:24" s="13" customFormat="1" ht="76.5" customHeight="1" outlineLevel="1" x14ac:dyDescent="0.2">
      <c r="A2661" s="1" t="s">
        <v>7884</v>
      </c>
      <c r="B2661" s="2" t="s">
        <v>5277</v>
      </c>
      <c r="C2661" s="2" t="s">
        <v>207</v>
      </c>
      <c r="D2661" s="2" t="s">
        <v>206</v>
      </c>
      <c r="E2661" s="2" t="s">
        <v>205</v>
      </c>
      <c r="F2661" s="2" t="s">
        <v>204</v>
      </c>
      <c r="G2661" s="3" t="s">
        <v>3190</v>
      </c>
      <c r="H2661" s="5">
        <v>0</v>
      </c>
      <c r="I2661" s="6">
        <v>710000000</v>
      </c>
      <c r="J2661" s="4" t="s">
        <v>1931</v>
      </c>
      <c r="K2661" s="4" t="s">
        <v>756</v>
      </c>
      <c r="L2661" s="3" t="s">
        <v>1165</v>
      </c>
      <c r="M2661" s="8" t="s">
        <v>3195</v>
      </c>
      <c r="N2661" s="3" t="s">
        <v>1890</v>
      </c>
      <c r="O2661" s="8" t="s">
        <v>1935</v>
      </c>
      <c r="P2661" s="8">
        <v>796</v>
      </c>
      <c r="Q2661" s="8" t="s">
        <v>3196</v>
      </c>
      <c r="R2661" s="69">
        <f>10+25</f>
        <v>35</v>
      </c>
      <c r="S2661" s="69">
        <v>631.25</v>
      </c>
      <c r="T2661" s="10">
        <f t="shared" ref="T2661" si="1584">S2661*R2661</f>
        <v>22093.75</v>
      </c>
      <c r="U2661" s="10">
        <f t="shared" ref="U2661" si="1585">T2661*1.12</f>
        <v>24745.000000000004</v>
      </c>
      <c r="V2661" s="7"/>
      <c r="W2661" s="1">
        <v>2015</v>
      </c>
      <c r="X2661" s="62"/>
    </row>
    <row r="2662" spans="1:24" s="13" customFormat="1" ht="76.5" customHeight="1" outlineLevel="1" x14ac:dyDescent="0.2">
      <c r="A2662" s="1" t="s">
        <v>4159</v>
      </c>
      <c r="B2662" s="38" t="s">
        <v>5277</v>
      </c>
      <c r="C2662" s="2" t="s">
        <v>203</v>
      </c>
      <c r="D2662" s="2" t="s">
        <v>5192</v>
      </c>
      <c r="E2662" s="2" t="s">
        <v>202</v>
      </c>
      <c r="F2662" s="2" t="s">
        <v>201</v>
      </c>
      <c r="G2662" s="50" t="s">
        <v>3190</v>
      </c>
      <c r="H2662" s="5">
        <v>0</v>
      </c>
      <c r="I2662" s="6">
        <v>710000000</v>
      </c>
      <c r="J2662" s="4" t="s">
        <v>1931</v>
      </c>
      <c r="K2662" s="4" t="s">
        <v>5297</v>
      </c>
      <c r="L2662" s="3" t="s">
        <v>1165</v>
      </c>
      <c r="M2662" s="8" t="s">
        <v>3195</v>
      </c>
      <c r="N2662" s="3" t="s">
        <v>1890</v>
      </c>
      <c r="O2662" s="8" t="s">
        <v>1935</v>
      </c>
      <c r="P2662" s="62">
        <v>625</v>
      </c>
      <c r="Q2662" s="3" t="s">
        <v>5192</v>
      </c>
      <c r="R2662" s="9">
        <f>4+8</f>
        <v>12</v>
      </c>
      <c r="S2662" s="9">
        <v>2900</v>
      </c>
      <c r="T2662" s="10">
        <v>0</v>
      </c>
      <c r="U2662" s="10">
        <f t="shared" si="1532"/>
        <v>0</v>
      </c>
      <c r="V2662" s="7"/>
      <c r="W2662" s="11">
        <v>2015</v>
      </c>
      <c r="X2662" s="12" t="s">
        <v>6562</v>
      </c>
    </row>
    <row r="2663" spans="1:24" s="13" customFormat="1" ht="76.5" customHeight="1" outlineLevel="1" x14ac:dyDescent="0.2">
      <c r="A2663" s="1" t="s">
        <v>6701</v>
      </c>
      <c r="B2663" s="2" t="s">
        <v>5277</v>
      </c>
      <c r="C2663" s="2" t="s">
        <v>203</v>
      </c>
      <c r="D2663" s="2" t="s">
        <v>5192</v>
      </c>
      <c r="E2663" s="2" t="s">
        <v>202</v>
      </c>
      <c r="F2663" s="2" t="s">
        <v>201</v>
      </c>
      <c r="G2663" s="3" t="s">
        <v>3190</v>
      </c>
      <c r="H2663" s="5">
        <v>0</v>
      </c>
      <c r="I2663" s="6">
        <v>710000000</v>
      </c>
      <c r="J2663" s="4" t="s">
        <v>1931</v>
      </c>
      <c r="K2663" s="4" t="s">
        <v>5297</v>
      </c>
      <c r="L2663" s="3" t="s">
        <v>1165</v>
      </c>
      <c r="M2663" s="8" t="s">
        <v>3195</v>
      </c>
      <c r="N2663" s="3" t="s">
        <v>1890</v>
      </c>
      <c r="O2663" s="8" t="s">
        <v>1935</v>
      </c>
      <c r="P2663" s="62">
        <v>625</v>
      </c>
      <c r="Q2663" s="3" t="s">
        <v>5192</v>
      </c>
      <c r="R2663" s="69">
        <f>3+4</f>
        <v>7</v>
      </c>
      <c r="S2663" s="69">
        <v>2900</v>
      </c>
      <c r="T2663" s="10">
        <v>0</v>
      </c>
      <c r="U2663" s="10">
        <f t="shared" si="1532"/>
        <v>0</v>
      </c>
      <c r="V2663" s="7"/>
      <c r="W2663" s="1">
        <v>2015</v>
      </c>
      <c r="X2663" s="62">
        <v>11</v>
      </c>
    </row>
    <row r="2664" spans="1:24" s="13" customFormat="1" ht="76.5" customHeight="1" outlineLevel="1" x14ac:dyDescent="0.2">
      <c r="A2664" s="1" t="s">
        <v>7885</v>
      </c>
      <c r="B2664" s="2" t="s">
        <v>5277</v>
      </c>
      <c r="C2664" s="2" t="s">
        <v>203</v>
      </c>
      <c r="D2664" s="2" t="s">
        <v>5192</v>
      </c>
      <c r="E2664" s="2" t="s">
        <v>202</v>
      </c>
      <c r="F2664" s="2" t="s">
        <v>201</v>
      </c>
      <c r="G2664" s="3" t="s">
        <v>3190</v>
      </c>
      <c r="H2664" s="5">
        <v>0</v>
      </c>
      <c r="I2664" s="6">
        <v>710000000</v>
      </c>
      <c r="J2664" s="4" t="s">
        <v>1931</v>
      </c>
      <c r="K2664" s="4" t="s">
        <v>756</v>
      </c>
      <c r="L2664" s="3" t="s">
        <v>1165</v>
      </c>
      <c r="M2664" s="8" t="s">
        <v>3195</v>
      </c>
      <c r="N2664" s="3" t="s">
        <v>1890</v>
      </c>
      <c r="O2664" s="8" t="s">
        <v>1935</v>
      </c>
      <c r="P2664" s="62">
        <v>625</v>
      </c>
      <c r="Q2664" s="3" t="s">
        <v>5192</v>
      </c>
      <c r="R2664" s="69">
        <f>3+4</f>
        <v>7</v>
      </c>
      <c r="S2664" s="69">
        <v>2900</v>
      </c>
      <c r="T2664" s="10">
        <f t="shared" ref="T2664" si="1586">S2664*R2664</f>
        <v>20300</v>
      </c>
      <c r="U2664" s="10">
        <f t="shared" ref="U2664" si="1587">T2664*1.12</f>
        <v>22736.000000000004</v>
      </c>
      <c r="V2664" s="7"/>
      <c r="W2664" s="1">
        <v>2015</v>
      </c>
      <c r="X2664" s="62"/>
    </row>
    <row r="2665" spans="1:24" s="13" customFormat="1" ht="76.5" customHeight="1" outlineLevel="1" x14ac:dyDescent="0.2">
      <c r="A2665" s="1" t="s">
        <v>4160</v>
      </c>
      <c r="B2665" s="2" t="s">
        <v>5277</v>
      </c>
      <c r="C2665" s="2" t="s">
        <v>200</v>
      </c>
      <c r="D2665" s="2" t="s">
        <v>199</v>
      </c>
      <c r="E2665" s="2" t="s">
        <v>198</v>
      </c>
      <c r="F2665" s="2"/>
      <c r="G2665" s="3" t="s">
        <v>3190</v>
      </c>
      <c r="H2665" s="5">
        <v>0</v>
      </c>
      <c r="I2665" s="6">
        <v>710000000</v>
      </c>
      <c r="J2665" s="4" t="s">
        <v>1931</v>
      </c>
      <c r="K2665" s="4" t="s">
        <v>5297</v>
      </c>
      <c r="L2665" s="3" t="s">
        <v>1165</v>
      </c>
      <c r="M2665" s="8" t="s">
        <v>3195</v>
      </c>
      <c r="N2665" s="3" t="s">
        <v>1890</v>
      </c>
      <c r="O2665" s="8" t="s">
        <v>1935</v>
      </c>
      <c r="P2665" s="60">
        <v>168</v>
      </c>
      <c r="Q2665" s="3" t="s">
        <v>3444</v>
      </c>
      <c r="R2665" s="69">
        <v>0.2</v>
      </c>
      <c r="S2665" s="69">
        <v>128528.57</v>
      </c>
      <c r="T2665" s="10">
        <v>0</v>
      </c>
      <c r="U2665" s="10">
        <f t="shared" si="1532"/>
        <v>0</v>
      </c>
      <c r="V2665" s="7"/>
      <c r="W2665" s="1">
        <v>2015</v>
      </c>
      <c r="X2665" s="62">
        <v>11</v>
      </c>
    </row>
    <row r="2666" spans="1:24" s="13" customFormat="1" ht="76.5" customHeight="1" outlineLevel="1" x14ac:dyDescent="0.2">
      <c r="A2666" s="1" t="s">
        <v>7886</v>
      </c>
      <c r="B2666" s="2" t="s">
        <v>5277</v>
      </c>
      <c r="C2666" s="2" t="s">
        <v>200</v>
      </c>
      <c r="D2666" s="2" t="s">
        <v>199</v>
      </c>
      <c r="E2666" s="2" t="s">
        <v>198</v>
      </c>
      <c r="F2666" s="2"/>
      <c r="G2666" s="3" t="s">
        <v>3190</v>
      </c>
      <c r="H2666" s="5">
        <v>0</v>
      </c>
      <c r="I2666" s="6">
        <v>710000000</v>
      </c>
      <c r="J2666" s="4" t="s">
        <v>1931</v>
      </c>
      <c r="K2666" s="4" t="s">
        <v>756</v>
      </c>
      <c r="L2666" s="3" t="s">
        <v>1165</v>
      </c>
      <c r="M2666" s="8" t="s">
        <v>3195</v>
      </c>
      <c r="N2666" s="3" t="s">
        <v>1890</v>
      </c>
      <c r="O2666" s="8" t="s">
        <v>1935</v>
      </c>
      <c r="P2666" s="60">
        <v>168</v>
      </c>
      <c r="Q2666" s="3" t="s">
        <v>3444</v>
      </c>
      <c r="R2666" s="69">
        <v>0.2</v>
      </c>
      <c r="S2666" s="69">
        <v>128528.57</v>
      </c>
      <c r="T2666" s="10">
        <f t="shared" ref="T2666" si="1588">S2666*R2666</f>
        <v>25705.714000000004</v>
      </c>
      <c r="U2666" s="10">
        <f t="shared" ref="U2666" si="1589">T2666*1.12</f>
        <v>28790.399680000006</v>
      </c>
      <c r="V2666" s="7"/>
      <c r="W2666" s="1">
        <v>2015</v>
      </c>
      <c r="X2666" s="62"/>
    </row>
    <row r="2667" spans="1:24" s="13" customFormat="1" ht="76.5" customHeight="1" outlineLevel="1" x14ac:dyDescent="0.2">
      <c r="A2667" s="1" t="s">
        <v>4161</v>
      </c>
      <c r="B2667" s="38" t="s">
        <v>5277</v>
      </c>
      <c r="C2667" s="2" t="s">
        <v>3442</v>
      </c>
      <c r="D2667" s="2" t="s">
        <v>5403</v>
      </c>
      <c r="E2667" s="6" t="s">
        <v>9891</v>
      </c>
      <c r="F2667" s="39"/>
      <c r="G2667" s="50" t="s">
        <v>3190</v>
      </c>
      <c r="H2667" s="5">
        <v>0</v>
      </c>
      <c r="I2667" s="6">
        <v>710000000</v>
      </c>
      <c r="J2667" s="4" t="s">
        <v>1931</v>
      </c>
      <c r="K2667" s="4" t="s">
        <v>5297</v>
      </c>
      <c r="L2667" s="3" t="s">
        <v>1165</v>
      </c>
      <c r="M2667" s="8" t="s">
        <v>3195</v>
      </c>
      <c r="N2667" s="3" t="s">
        <v>1890</v>
      </c>
      <c r="O2667" s="8" t="s">
        <v>1935</v>
      </c>
      <c r="P2667" s="8">
        <v>796</v>
      </c>
      <c r="Q2667" s="8" t="s">
        <v>3196</v>
      </c>
      <c r="R2667" s="9">
        <f>18+20</f>
        <v>38</v>
      </c>
      <c r="S2667" s="9">
        <v>3059.82</v>
      </c>
      <c r="T2667" s="10">
        <v>0</v>
      </c>
      <c r="U2667" s="10">
        <f t="shared" si="1532"/>
        <v>0</v>
      </c>
      <c r="V2667" s="7"/>
      <c r="W2667" s="11">
        <v>2015</v>
      </c>
      <c r="X2667" s="12" t="s">
        <v>6562</v>
      </c>
    </row>
    <row r="2668" spans="1:24" s="13" customFormat="1" ht="76.5" customHeight="1" outlineLevel="1" x14ac:dyDescent="0.2">
      <c r="A2668" s="1" t="s">
        <v>6702</v>
      </c>
      <c r="B2668" s="2" t="s">
        <v>5277</v>
      </c>
      <c r="C2668" s="2" t="s">
        <v>3442</v>
      </c>
      <c r="D2668" s="2" t="s">
        <v>5403</v>
      </c>
      <c r="E2668" s="6" t="s">
        <v>9891</v>
      </c>
      <c r="F2668" s="2"/>
      <c r="G2668" s="3" t="s">
        <v>3190</v>
      </c>
      <c r="H2668" s="5">
        <v>0</v>
      </c>
      <c r="I2668" s="6">
        <v>710000000</v>
      </c>
      <c r="J2668" s="4" t="s">
        <v>1931</v>
      </c>
      <c r="K2668" s="4" t="s">
        <v>5297</v>
      </c>
      <c r="L2668" s="3" t="s">
        <v>1165</v>
      </c>
      <c r="M2668" s="8" t="s">
        <v>3195</v>
      </c>
      <c r="N2668" s="3" t="s">
        <v>1890</v>
      </c>
      <c r="O2668" s="8" t="s">
        <v>1935</v>
      </c>
      <c r="P2668" s="8">
        <v>796</v>
      </c>
      <c r="Q2668" s="8" t="s">
        <v>3196</v>
      </c>
      <c r="R2668" s="69">
        <f>12+16</f>
        <v>28</v>
      </c>
      <c r="S2668" s="69">
        <v>3059.82</v>
      </c>
      <c r="T2668" s="10">
        <v>0</v>
      </c>
      <c r="U2668" s="10">
        <f t="shared" si="1532"/>
        <v>0</v>
      </c>
      <c r="V2668" s="7"/>
      <c r="W2668" s="1">
        <v>2015</v>
      </c>
      <c r="X2668" s="62" t="s">
        <v>7518</v>
      </c>
    </row>
    <row r="2669" spans="1:24" s="13" customFormat="1" ht="76.5" customHeight="1" outlineLevel="1" x14ac:dyDescent="0.2">
      <c r="A2669" s="1" t="s">
        <v>7887</v>
      </c>
      <c r="B2669" s="2" t="s">
        <v>5277</v>
      </c>
      <c r="C2669" s="2" t="s">
        <v>3442</v>
      </c>
      <c r="D2669" s="2" t="s">
        <v>5403</v>
      </c>
      <c r="E2669" s="6" t="s">
        <v>9891</v>
      </c>
      <c r="F2669" s="2"/>
      <c r="G2669" s="3" t="s">
        <v>3190</v>
      </c>
      <c r="H2669" s="5">
        <v>0</v>
      </c>
      <c r="I2669" s="6">
        <v>710000000</v>
      </c>
      <c r="J2669" s="4" t="s">
        <v>1931</v>
      </c>
      <c r="K2669" s="4" t="s">
        <v>756</v>
      </c>
      <c r="L2669" s="3" t="s">
        <v>1165</v>
      </c>
      <c r="M2669" s="8" t="s">
        <v>3195</v>
      </c>
      <c r="N2669" s="3" t="s">
        <v>1890</v>
      </c>
      <c r="O2669" s="8" t="s">
        <v>1935</v>
      </c>
      <c r="P2669" s="8">
        <v>796</v>
      </c>
      <c r="Q2669" s="8" t="s">
        <v>3196</v>
      </c>
      <c r="R2669" s="69">
        <f>10+10</f>
        <v>20</v>
      </c>
      <c r="S2669" s="69">
        <v>3059.82</v>
      </c>
      <c r="T2669" s="10">
        <f t="shared" ref="T2669" si="1590">S2669*R2669</f>
        <v>61196.4</v>
      </c>
      <c r="U2669" s="10">
        <f t="shared" ref="U2669" si="1591">T2669*1.12</f>
        <v>68539.968000000008</v>
      </c>
      <c r="V2669" s="7"/>
      <c r="W2669" s="1">
        <v>2015</v>
      </c>
      <c r="X2669" s="62"/>
    </row>
    <row r="2670" spans="1:24" s="13" customFormat="1" ht="76.5" customHeight="1" outlineLevel="1" x14ac:dyDescent="0.2">
      <c r="A2670" s="1" t="s">
        <v>4162</v>
      </c>
      <c r="B2670" s="38" t="s">
        <v>5277</v>
      </c>
      <c r="C2670" s="2" t="s">
        <v>197</v>
      </c>
      <c r="D2670" s="2" t="s">
        <v>5403</v>
      </c>
      <c r="E2670" s="2" t="s">
        <v>9892</v>
      </c>
      <c r="F2670" s="39"/>
      <c r="G2670" s="50" t="s">
        <v>3190</v>
      </c>
      <c r="H2670" s="5">
        <v>0</v>
      </c>
      <c r="I2670" s="6">
        <v>710000000</v>
      </c>
      <c r="J2670" s="4" t="s">
        <v>1931</v>
      </c>
      <c r="K2670" s="4" t="s">
        <v>5297</v>
      </c>
      <c r="L2670" s="3" t="s">
        <v>1165</v>
      </c>
      <c r="M2670" s="8" t="s">
        <v>3195</v>
      </c>
      <c r="N2670" s="3" t="s">
        <v>1890</v>
      </c>
      <c r="O2670" s="8" t="s">
        <v>1935</v>
      </c>
      <c r="P2670" s="8">
        <v>796</v>
      </c>
      <c r="Q2670" s="8" t="s">
        <v>3196</v>
      </c>
      <c r="R2670" s="9">
        <f>10+20</f>
        <v>30</v>
      </c>
      <c r="S2670" s="9">
        <v>3059.82</v>
      </c>
      <c r="T2670" s="10">
        <v>0</v>
      </c>
      <c r="U2670" s="10">
        <f t="shared" si="1532"/>
        <v>0</v>
      </c>
      <c r="V2670" s="7"/>
      <c r="W2670" s="11">
        <v>2015</v>
      </c>
      <c r="X2670" s="12" t="s">
        <v>6562</v>
      </c>
    </row>
    <row r="2671" spans="1:24" s="13" customFormat="1" ht="76.5" customHeight="1" outlineLevel="1" x14ac:dyDescent="0.2">
      <c r="A2671" s="1" t="s">
        <v>6703</v>
      </c>
      <c r="B2671" s="2" t="s">
        <v>5277</v>
      </c>
      <c r="C2671" s="2" t="s">
        <v>197</v>
      </c>
      <c r="D2671" s="2" t="s">
        <v>5403</v>
      </c>
      <c r="E2671" s="2" t="s">
        <v>9893</v>
      </c>
      <c r="F2671" s="2"/>
      <c r="G2671" s="3" t="s">
        <v>3190</v>
      </c>
      <c r="H2671" s="5">
        <v>0</v>
      </c>
      <c r="I2671" s="6">
        <v>710000000</v>
      </c>
      <c r="J2671" s="4" t="s">
        <v>1931</v>
      </c>
      <c r="K2671" s="4" t="s">
        <v>5297</v>
      </c>
      <c r="L2671" s="3" t="s">
        <v>1165</v>
      </c>
      <c r="M2671" s="8" t="s">
        <v>3195</v>
      </c>
      <c r="N2671" s="3" t="s">
        <v>1890</v>
      </c>
      <c r="O2671" s="8" t="s">
        <v>1935</v>
      </c>
      <c r="P2671" s="8">
        <v>796</v>
      </c>
      <c r="Q2671" s="8" t="s">
        <v>3196</v>
      </c>
      <c r="R2671" s="69">
        <f>8+16</f>
        <v>24</v>
      </c>
      <c r="S2671" s="69">
        <v>3059.82</v>
      </c>
      <c r="T2671" s="10">
        <v>0</v>
      </c>
      <c r="U2671" s="10">
        <f t="shared" si="1532"/>
        <v>0</v>
      </c>
      <c r="V2671" s="7"/>
      <c r="W2671" s="1">
        <v>2015</v>
      </c>
      <c r="X2671" s="62">
        <v>11</v>
      </c>
    </row>
    <row r="2672" spans="1:24" s="13" customFormat="1" ht="76.5" customHeight="1" outlineLevel="1" x14ac:dyDescent="0.2">
      <c r="A2672" s="1" t="s">
        <v>7888</v>
      </c>
      <c r="B2672" s="2" t="s">
        <v>5277</v>
      </c>
      <c r="C2672" s="2" t="s">
        <v>197</v>
      </c>
      <c r="D2672" s="2" t="s">
        <v>5403</v>
      </c>
      <c r="E2672" s="2" t="s">
        <v>9893</v>
      </c>
      <c r="F2672" s="2"/>
      <c r="G2672" s="3" t="s">
        <v>3190</v>
      </c>
      <c r="H2672" s="5">
        <v>0</v>
      </c>
      <c r="I2672" s="6">
        <v>710000000</v>
      </c>
      <c r="J2672" s="4" t="s">
        <v>1931</v>
      </c>
      <c r="K2672" s="4" t="s">
        <v>756</v>
      </c>
      <c r="L2672" s="3" t="s">
        <v>1165</v>
      </c>
      <c r="M2672" s="8" t="s">
        <v>3195</v>
      </c>
      <c r="N2672" s="3" t="s">
        <v>1890</v>
      </c>
      <c r="O2672" s="8" t="s">
        <v>1935</v>
      </c>
      <c r="P2672" s="8">
        <v>796</v>
      </c>
      <c r="Q2672" s="8" t="s">
        <v>3196</v>
      </c>
      <c r="R2672" s="69">
        <f>8+16</f>
        <v>24</v>
      </c>
      <c r="S2672" s="69">
        <v>3059.82</v>
      </c>
      <c r="T2672" s="10">
        <f t="shared" ref="T2672" si="1592">S2672*R2672</f>
        <v>73435.680000000008</v>
      </c>
      <c r="U2672" s="10">
        <f t="shared" ref="U2672" si="1593">T2672*1.12</f>
        <v>82247.96160000001</v>
      </c>
      <c r="V2672" s="7"/>
      <c r="W2672" s="1">
        <v>2015</v>
      </c>
      <c r="X2672" s="62"/>
    </row>
    <row r="2673" spans="1:24" s="13" customFormat="1" ht="76.5" customHeight="1" outlineLevel="1" x14ac:dyDescent="0.2">
      <c r="A2673" s="1" t="s">
        <v>4163</v>
      </c>
      <c r="B2673" s="38" t="s">
        <v>5277</v>
      </c>
      <c r="C2673" s="2" t="s">
        <v>3436</v>
      </c>
      <c r="D2673" s="2" t="s">
        <v>6012</v>
      </c>
      <c r="E2673" s="6" t="s">
        <v>3435</v>
      </c>
      <c r="F2673" s="39" t="s">
        <v>196</v>
      </c>
      <c r="G2673" s="50" t="s">
        <v>3190</v>
      </c>
      <c r="H2673" s="5">
        <v>0</v>
      </c>
      <c r="I2673" s="6">
        <v>710000000</v>
      </c>
      <c r="J2673" s="4" t="s">
        <v>1931</v>
      </c>
      <c r="K2673" s="4" t="s">
        <v>5297</v>
      </c>
      <c r="L2673" s="3" t="s">
        <v>1165</v>
      </c>
      <c r="M2673" s="8" t="s">
        <v>3195</v>
      </c>
      <c r="N2673" s="3" t="s">
        <v>1890</v>
      </c>
      <c r="O2673" s="8" t="s">
        <v>1935</v>
      </c>
      <c r="P2673" s="8">
        <v>796</v>
      </c>
      <c r="Q2673" s="8" t="s">
        <v>3196</v>
      </c>
      <c r="R2673" s="9">
        <f>2+2+1</f>
        <v>5</v>
      </c>
      <c r="S2673" s="9">
        <v>4202</v>
      </c>
      <c r="T2673" s="10">
        <v>0</v>
      </c>
      <c r="U2673" s="10">
        <f t="shared" si="1532"/>
        <v>0</v>
      </c>
      <c r="V2673" s="7"/>
      <c r="W2673" s="11">
        <v>2015</v>
      </c>
      <c r="X2673" s="12" t="s">
        <v>6562</v>
      </c>
    </row>
    <row r="2674" spans="1:24" s="13" customFormat="1" ht="76.5" customHeight="1" outlineLevel="1" x14ac:dyDescent="0.2">
      <c r="A2674" s="1" t="s">
        <v>6704</v>
      </c>
      <c r="B2674" s="2" t="s">
        <v>5277</v>
      </c>
      <c r="C2674" s="2" t="s">
        <v>3436</v>
      </c>
      <c r="D2674" s="2" t="s">
        <v>6012</v>
      </c>
      <c r="E2674" s="6" t="s">
        <v>3435</v>
      </c>
      <c r="F2674" s="2" t="s">
        <v>196</v>
      </c>
      <c r="G2674" s="3" t="s">
        <v>3190</v>
      </c>
      <c r="H2674" s="5">
        <v>0</v>
      </c>
      <c r="I2674" s="6">
        <v>710000000</v>
      </c>
      <c r="J2674" s="4" t="s">
        <v>1931</v>
      </c>
      <c r="K2674" s="4" t="s">
        <v>5297</v>
      </c>
      <c r="L2674" s="3" t="s">
        <v>1165</v>
      </c>
      <c r="M2674" s="8" t="s">
        <v>3195</v>
      </c>
      <c r="N2674" s="3" t="s">
        <v>1890</v>
      </c>
      <c r="O2674" s="8" t="s">
        <v>1935</v>
      </c>
      <c r="P2674" s="8">
        <v>796</v>
      </c>
      <c r="Q2674" s="8" t="s">
        <v>3196</v>
      </c>
      <c r="R2674" s="69">
        <f>2+1</f>
        <v>3</v>
      </c>
      <c r="S2674" s="69">
        <v>4202</v>
      </c>
      <c r="T2674" s="10">
        <v>0</v>
      </c>
      <c r="U2674" s="10">
        <f t="shared" si="1532"/>
        <v>0</v>
      </c>
      <c r="V2674" s="7"/>
      <c r="W2674" s="1">
        <v>2015</v>
      </c>
      <c r="X2674" s="62">
        <v>11</v>
      </c>
    </row>
    <row r="2675" spans="1:24" s="13" customFormat="1" ht="76.5" customHeight="1" outlineLevel="1" x14ac:dyDescent="0.2">
      <c r="A2675" s="1" t="s">
        <v>7889</v>
      </c>
      <c r="B2675" s="2" t="s">
        <v>5277</v>
      </c>
      <c r="C2675" s="2" t="s">
        <v>3436</v>
      </c>
      <c r="D2675" s="2" t="s">
        <v>6012</v>
      </c>
      <c r="E2675" s="6" t="s">
        <v>3435</v>
      </c>
      <c r="F2675" s="2" t="s">
        <v>196</v>
      </c>
      <c r="G2675" s="3" t="s">
        <v>3190</v>
      </c>
      <c r="H2675" s="5">
        <v>0</v>
      </c>
      <c r="I2675" s="6">
        <v>710000000</v>
      </c>
      <c r="J2675" s="4" t="s">
        <v>1931</v>
      </c>
      <c r="K2675" s="4" t="s">
        <v>756</v>
      </c>
      <c r="L2675" s="3" t="s">
        <v>1165</v>
      </c>
      <c r="M2675" s="8" t="s">
        <v>3195</v>
      </c>
      <c r="N2675" s="3" t="s">
        <v>1890</v>
      </c>
      <c r="O2675" s="8" t="s">
        <v>1935</v>
      </c>
      <c r="P2675" s="8">
        <v>796</v>
      </c>
      <c r="Q2675" s="8" t="s">
        <v>3196</v>
      </c>
      <c r="R2675" s="69">
        <f>2+1</f>
        <v>3</v>
      </c>
      <c r="S2675" s="69">
        <v>4202</v>
      </c>
      <c r="T2675" s="10">
        <f t="shared" ref="T2675" si="1594">S2675*R2675</f>
        <v>12606</v>
      </c>
      <c r="U2675" s="10">
        <f t="shared" ref="U2675" si="1595">T2675*1.12</f>
        <v>14118.720000000001</v>
      </c>
      <c r="V2675" s="7"/>
      <c r="W2675" s="1">
        <v>2015</v>
      </c>
      <c r="X2675" s="62"/>
    </row>
    <row r="2676" spans="1:24" s="13" customFormat="1" ht="76.5" customHeight="1" outlineLevel="1" x14ac:dyDescent="0.2">
      <c r="A2676" s="1" t="s">
        <v>4164</v>
      </c>
      <c r="B2676" s="38" t="s">
        <v>5277</v>
      </c>
      <c r="C2676" s="2" t="s">
        <v>3441</v>
      </c>
      <c r="D2676" s="2" t="s">
        <v>3433</v>
      </c>
      <c r="E2676" s="6" t="s">
        <v>6030</v>
      </c>
      <c r="F2676" s="39" t="s">
        <v>195</v>
      </c>
      <c r="G2676" s="50" t="s">
        <v>3190</v>
      </c>
      <c r="H2676" s="5">
        <v>0</v>
      </c>
      <c r="I2676" s="6">
        <v>710000000</v>
      </c>
      <c r="J2676" s="4" t="s">
        <v>1931</v>
      </c>
      <c r="K2676" s="4" t="s">
        <v>5297</v>
      </c>
      <c r="L2676" s="3" t="s">
        <v>1165</v>
      </c>
      <c r="M2676" s="8" t="s">
        <v>3195</v>
      </c>
      <c r="N2676" s="3" t="s">
        <v>1890</v>
      </c>
      <c r="O2676" s="8" t="s">
        <v>1935</v>
      </c>
      <c r="P2676" s="8">
        <v>796</v>
      </c>
      <c r="Q2676" s="8" t="s">
        <v>3196</v>
      </c>
      <c r="R2676" s="9">
        <f>11+1</f>
        <v>12</v>
      </c>
      <c r="S2676" s="9">
        <v>11618.75</v>
      </c>
      <c r="T2676" s="10">
        <v>0</v>
      </c>
      <c r="U2676" s="10">
        <f t="shared" si="1532"/>
        <v>0</v>
      </c>
      <c r="V2676" s="7"/>
      <c r="W2676" s="11">
        <v>2015</v>
      </c>
      <c r="X2676" s="12" t="s">
        <v>6562</v>
      </c>
    </row>
    <row r="2677" spans="1:24" s="13" customFormat="1" ht="76.5" customHeight="1" outlineLevel="1" x14ac:dyDescent="0.2">
      <c r="A2677" s="1" t="s">
        <v>6705</v>
      </c>
      <c r="B2677" s="2" t="s">
        <v>5277</v>
      </c>
      <c r="C2677" s="2" t="s">
        <v>3441</v>
      </c>
      <c r="D2677" s="2" t="s">
        <v>3433</v>
      </c>
      <c r="E2677" s="6" t="s">
        <v>6030</v>
      </c>
      <c r="F2677" s="2" t="s">
        <v>195</v>
      </c>
      <c r="G2677" s="3" t="s">
        <v>3190</v>
      </c>
      <c r="H2677" s="5">
        <v>0</v>
      </c>
      <c r="I2677" s="6">
        <v>710000000</v>
      </c>
      <c r="J2677" s="4" t="s">
        <v>1931</v>
      </c>
      <c r="K2677" s="4" t="s">
        <v>5297</v>
      </c>
      <c r="L2677" s="3" t="s">
        <v>1165</v>
      </c>
      <c r="M2677" s="8" t="s">
        <v>3195</v>
      </c>
      <c r="N2677" s="3" t="s">
        <v>1890</v>
      </c>
      <c r="O2677" s="8" t="s">
        <v>1935</v>
      </c>
      <c r="P2677" s="8">
        <v>796</v>
      </c>
      <c r="Q2677" s="8" t="s">
        <v>3196</v>
      </c>
      <c r="R2677" s="69">
        <v>11</v>
      </c>
      <c r="S2677" s="69">
        <v>11618.75</v>
      </c>
      <c r="T2677" s="10">
        <v>0</v>
      </c>
      <c r="U2677" s="10">
        <f t="shared" si="1532"/>
        <v>0</v>
      </c>
      <c r="V2677" s="7"/>
      <c r="W2677" s="1">
        <v>2015</v>
      </c>
      <c r="X2677" s="62">
        <v>11</v>
      </c>
    </row>
    <row r="2678" spans="1:24" s="13" customFormat="1" ht="76.5" customHeight="1" outlineLevel="1" x14ac:dyDescent="0.2">
      <c r="A2678" s="1" t="s">
        <v>7890</v>
      </c>
      <c r="B2678" s="2" t="s">
        <v>5277</v>
      </c>
      <c r="C2678" s="2" t="s">
        <v>3441</v>
      </c>
      <c r="D2678" s="2" t="s">
        <v>3433</v>
      </c>
      <c r="E2678" s="6" t="s">
        <v>6030</v>
      </c>
      <c r="F2678" s="2" t="s">
        <v>195</v>
      </c>
      <c r="G2678" s="3" t="s">
        <v>3190</v>
      </c>
      <c r="H2678" s="5">
        <v>0</v>
      </c>
      <c r="I2678" s="6">
        <v>710000000</v>
      </c>
      <c r="J2678" s="4" t="s">
        <v>1931</v>
      </c>
      <c r="K2678" s="4" t="s">
        <v>756</v>
      </c>
      <c r="L2678" s="3" t="s">
        <v>1165</v>
      </c>
      <c r="M2678" s="8" t="s">
        <v>3195</v>
      </c>
      <c r="N2678" s="3" t="s">
        <v>1890</v>
      </c>
      <c r="O2678" s="8" t="s">
        <v>1935</v>
      </c>
      <c r="P2678" s="8">
        <v>796</v>
      </c>
      <c r="Q2678" s="8" t="s">
        <v>3196</v>
      </c>
      <c r="R2678" s="69">
        <v>11</v>
      </c>
      <c r="S2678" s="69">
        <v>11618.75</v>
      </c>
      <c r="T2678" s="10">
        <f t="shared" ref="T2678" si="1596">S2678*R2678</f>
        <v>127806.25</v>
      </c>
      <c r="U2678" s="10">
        <f t="shared" ref="U2678" si="1597">T2678*1.12</f>
        <v>143143</v>
      </c>
      <c r="V2678" s="7"/>
      <c r="W2678" s="1">
        <v>2015</v>
      </c>
      <c r="X2678" s="62"/>
    </row>
    <row r="2679" spans="1:24" s="13" customFormat="1" ht="76.5" customHeight="1" outlineLevel="1" x14ac:dyDescent="0.2">
      <c r="A2679" s="1" t="s">
        <v>4165</v>
      </c>
      <c r="B2679" s="38" t="s">
        <v>5277</v>
      </c>
      <c r="C2679" s="2" t="s">
        <v>3434</v>
      </c>
      <c r="D2679" s="2" t="s">
        <v>194</v>
      </c>
      <c r="E2679" s="2" t="s">
        <v>6036</v>
      </c>
      <c r="F2679" s="39" t="s">
        <v>193</v>
      </c>
      <c r="G2679" s="50" t="s">
        <v>3190</v>
      </c>
      <c r="H2679" s="5">
        <v>0</v>
      </c>
      <c r="I2679" s="6">
        <v>710000000</v>
      </c>
      <c r="J2679" s="4" t="s">
        <v>1931</v>
      </c>
      <c r="K2679" s="4" t="s">
        <v>5297</v>
      </c>
      <c r="L2679" s="3" t="s">
        <v>1165</v>
      </c>
      <c r="M2679" s="8" t="s">
        <v>3195</v>
      </c>
      <c r="N2679" s="3" t="s">
        <v>1890</v>
      </c>
      <c r="O2679" s="8" t="s">
        <v>1935</v>
      </c>
      <c r="P2679" s="8">
        <v>796</v>
      </c>
      <c r="Q2679" s="8" t="s">
        <v>3196</v>
      </c>
      <c r="R2679" s="9">
        <v>2</v>
      </c>
      <c r="S2679" s="9">
        <v>16157</v>
      </c>
      <c r="T2679" s="10">
        <v>0</v>
      </c>
      <c r="U2679" s="10">
        <f t="shared" si="1532"/>
        <v>0</v>
      </c>
      <c r="V2679" s="7"/>
      <c r="W2679" s="11">
        <v>2015</v>
      </c>
      <c r="X2679" s="12" t="s">
        <v>6562</v>
      </c>
    </row>
    <row r="2680" spans="1:24" s="13" customFormat="1" ht="76.5" customHeight="1" outlineLevel="1" x14ac:dyDescent="0.2">
      <c r="A2680" s="1" t="s">
        <v>6706</v>
      </c>
      <c r="B2680" s="2" t="s">
        <v>5277</v>
      </c>
      <c r="C2680" s="2" t="s">
        <v>3434</v>
      </c>
      <c r="D2680" s="2" t="s">
        <v>194</v>
      </c>
      <c r="E2680" s="2" t="s">
        <v>6036</v>
      </c>
      <c r="F2680" s="2" t="s">
        <v>193</v>
      </c>
      <c r="G2680" s="3" t="s">
        <v>3190</v>
      </c>
      <c r="H2680" s="5">
        <v>0</v>
      </c>
      <c r="I2680" s="6">
        <v>710000000</v>
      </c>
      <c r="J2680" s="4" t="s">
        <v>1931</v>
      </c>
      <c r="K2680" s="4" t="s">
        <v>5297</v>
      </c>
      <c r="L2680" s="3" t="s">
        <v>1165</v>
      </c>
      <c r="M2680" s="8" t="s">
        <v>3195</v>
      </c>
      <c r="N2680" s="3" t="s">
        <v>1890</v>
      </c>
      <c r="O2680" s="8" t="s">
        <v>1935</v>
      </c>
      <c r="P2680" s="8">
        <v>796</v>
      </c>
      <c r="Q2680" s="8" t="s">
        <v>3196</v>
      </c>
      <c r="R2680" s="69">
        <v>1</v>
      </c>
      <c r="S2680" s="69">
        <v>16157</v>
      </c>
      <c r="T2680" s="10">
        <v>0</v>
      </c>
      <c r="U2680" s="10">
        <f t="shared" si="1532"/>
        <v>0</v>
      </c>
      <c r="V2680" s="7"/>
      <c r="W2680" s="1">
        <v>2015</v>
      </c>
      <c r="X2680" s="62">
        <v>11</v>
      </c>
    </row>
    <row r="2681" spans="1:24" s="13" customFormat="1" ht="76.5" customHeight="1" outlineLevel="1" x14ac:dyDescent="0.2">
      <c r="A2681" s="1" t="s">
        <v>7891</v>
      </c>
      <c r="B2681" s="2" t="s">
        <v>5277</v>
      </c>
      <c r="C2681" s="2" t="s">
        <v>3434</v>
      </c>
      <c r="D2681" s="2" t="s">
        <v>194</v>
      </c>
      <c r="E2681" s="2" t="s">
        <v>6036</v>
      </c>
      <c r="F2681" s="2" t="s">
        <v>193</v>
      </c>
      <c r="G2681" s="3" t="s">
        <v>3190</v>
      </c>
      <c r="H2681" s="5">
        <v>0</v>
      </c>
      <c r="I2681" s="6">
        <v>710000000</v>
      </c>
      <c r="J2681" s="4" t="s">
        <v>1931</v>
      </c>
      <c r="K2681" s="4" t="s">
        <v>756</v>
      </c>
      <c r="L2681" s="3" t="s">
        <v>1165</v>
      </c>
      <c r="M2681" s="8" t="s">
        <v>3195</v>
      </c>
      <c r="N2681" s="3" t="s">
        <v>1890</v>
      </c>
      <c r="O2681" s="8" t="s">
        <v>1935</v>
      </c>
      <c r="P2681" s="8">
        <v>796</v>
      </c>
      <c r="Q2681" s="8" t="s">
        <v>3196</v>
      </c>
      <c r="R2681" s="69">
        <v>1</v>
      </c>
      <c r="S2681" s="69">
        <v>16157</v>
      </c>
      <c r="T2681" s="10">
        <f t="shared" ref="T2681" si="1598">S2681*R2681</f>
        <v>16157</v>
      </c>
      <c r="U2681" s="10">
        <f t="shared" ref="U2681" si="1599">T2681*1.12</f>
        <v>18095.84</v>
      </c>
      <c r="V2681" s="7"/>
      <c r="W2681" s="1">
        <v>2015</v>
      </c>
      <c r="X2681" s="62"/>
    </row>
    <row r="2682" spans="1:24" s="13" customFormat="1" ht="89.25" customHeight="1" outlineLevel="1" x14ac:dyDescent="0.2">
      <c r="A2682" s="1" t="s">
        <v>4166</v>
      </c>
      <c r="B2682" s="38" t="s">
        <v>5277</v>
      </c>
      <c r="C2682" s="39" t="s">
        <v>6415</v>
      </c>
      <c r="D2682" s="39" t="s">
        <v>6416</v>
      </c>
      <c r="E2682" s="39" t="s">
        <v>6417</v>
      </c>
      <c r="F2682" s="39"/>
      <c r="G2682" s="50" t="s">
        <v>3190</v>
      </c>
      <c r="H2682" s="5">
        <v>0</v>
      </c>
      <c r="I2682" s="6">
        <v>710000000</v>
      </c>
      <c r="J2682" s="4" t="s">
        <v>1931</v>
      </c>
      <c r="K2682" s="4" t="s">
        <v>5297</v>
      </c>
      <c r="L2682" s="3" t="s">
        <v>1165</v>
      </c>
      <c r="M2682" s="8" t="s">
        <v>3195</v>
      </c>
      <c r="N2682" s="3" t="s">
        <v>1890</v>
      </c>
      <c r="O2682" s="8" t="s">
        <v>1935</v>
      </c>
      <c r="P2682" s="76" t="s">
        <v>3010</v>
      </c>
      <c r="Q2682" s="8" t="s">
        <v>5142</v>
      </c>
      <c r="R2682" s="9">
        <v>570</v>
      </c>
      <c r="S2682" s="9">
        <v>546.17999999999995</v>
      </c>
      <c r="T2682" s="10">
        <v>0</v>
      </c>
      <c r="U2682" s="10">
        <f t="shared" si="1532"/>
        <v>0</v>
      </c>
      <c r="V2682" s="7"/>
      <c r="W2682" s="11">
        <v>2015</v>
      </c>
      <c r="X2682" s="12" t="s">
        <v>6562</v>
      </c>
    </row>
    <row r="2683" spans="1:24" s="13" customFormat="1" ht="89.25" customHeight="1" outlineLevel="1" x14ac:dyDescent="0.2">
      <c r="A2683" s="1" t="s">
        <v>6707</v>
      </c>
      <c r="B2683" s="2" t="s">
        <v>5277</v>
      </c>
      <c r="C2683" s="2" t="s">
        <v>6415</v>
      </c>
      <c r="D2683" s="2" t="s">
        <v>6416</v>
      </c>
      <c r="E2683" s="2" t="s">
        <v>6417</v>
      </c>
      <c r="F2683" s="2"/>
      <c r="G2683" s="3" t="s">
        <v>3190</v>
      </c>
      <c r="H2683" s="5">
        <v>0</v>
      </c>
      <c r="I2683" s="6">
        <v>710000000</v>
      </c>
      <c r="J2683" s="4" t="s">
        <v>1931</v>
      </c>
      <c r="K2683" s="4" t="s">
        <v>5297</v>
      </c>
      <c r="L2683" s="3" t="s">
        <v>1165</v>
      </c>
      <c r="M2683" s="8" t="s">
        <v>3195</v>
      </c>
      <c r="N2683" s="3" t="s">
        <v>1890</v>
      </c>
      <c r="O2683" s="8" t="s">
        <v>1935</v>
      </c>
      <c r="P2683" s="76" t="s">
        <v>3010</v>
      </c>
      <c r="Q2683" s="8" t="s">
        <v>5142</v>
      </c>
      <c r="R2683" s="69">
        <f>12+30</f>
        <v>42</v>
      </c>
      <c r="S2683" s="69">
        <v>565.17999999999995</v>
      </c>
      <c r="T2683" s="10">
        <v>0</v>
      </c>
      <c r="U2683" s="10">
        <f t="shared" si="1532"/>
        <v>0</v>
      </c>
      <c r="V2683" s="7"/>
      <c r="W2683" s="1">
        <v>2015</v>
      </c>
      <c r="X2683" s="62">
        <v>11</v>
      </c>
    </row>
    <row r="2684" spans="1:24" s="13" customFormat="1" ht="89.25" customHeight="1" outlineLevel="1" x14ac:dyDescent="0.2">
      <c r="A2684" s="1" t="s">
        <v>7892</v>
      </c>
      <c r="B2684" s="2" t="s">
        <v>5277</v>
      </c>
      <c r="C2684" s="2" t="s">
        <v>6415</v>
      </c>
      <c r="D2684" s="2" t="s">
        <v>6416</v>
      </c>
      <c r="E2684" s="2" t="s">
        <v>6417</v>
      </c>
      <c r="F2684" s="2"/>
      <c r="G2684" s="3" t="s">
        <v>3190</v>
      </c>
      <c r="H2684" s="5">
        <v>0</v>
      </c>
      <c r="I2684" s="6">
        <v>710000000</v>
      </c>
      <c r="J2684" s="4" t="s">
        <v>1931</v>
      </c>
      <c r="K2684" s="4" t="s">
        <v>756</v>
      </c>
      <c r="L2684" s="3" t="s">
        <v>1165</v>
      </c>
      <c r="M2684" s="8" t="s">
        <v>3195</v>
      </c>
      <c r="N2684" s="3" t="s">
        <v>1890</v>
      </c>
      <c r="O2684" s="8" t="s">
        <v>1935</v>
      </c>
      <c r="P2684" s="76" t="s">
        <v>3010</v>
      </c>
      <c r="Q2684" s="8" t="s">
        <v>5142</v>
      </c>
      <c r="R2684" s="69">
        <f>12+30</f>
        <v>42</v>
      </c>
      <c r="S2684" s="69">
        <v>565.17999999999995</v>
      </c>
      <c r="T2684" s="10">
        <f t="shared" ref="T2684" si="1600">S2684*R2684</f>
        <v>23737.559999999998</v>
      </c>
      <c r="U2684" s="10">
        <f t="shared" ref="U2684" si="1601">T2684*1.12</f>
        <v>26586.067200000001</v>
      </c>
      <c r="V2684" s="7"/>
      <c r="W2684" s="1">
        <v>2015</v>
      </c>
      <c r="X2684" s="62"/>
    </row>
    <row r="2685" spans="1:24" s="13" customFormat="1" ht="76.5" customHeight="1" outlineLevel="1" x14ac:dyDescent="0.2">
      <c r="A2685" s="1" t="s">
        <v>4167</v>
      </c>
      <c r="B2685" s="38" t="s">
        <v>5277</v>
      </c>
      <c r="C2685" s="2" t="s">
        <v>192</v>
      </c>
      <c r="D2685" s="2" t="s">
        <v>191</v>
      </c>
      <c r="E2685" s="2" t="s">
        <v>190</v>
      </c>
      <c r="F2685" s="39" t="s">
        <v>189</v>
      </c>
      <c r="G2685" s="50" t="s">
        <v>3190</v>
      </c>
      <c r="H2685" s="5">
        <v>0</v>
      </c>
      <c r="I2685" s="6">
        <v>710000000</v>
      </c>
      <c r="J2685" s="4" t="s">
        <v>1931</v>
      </c>
      <c r="K2685" s="4" t="s">
        <v>5297</v>
      </c>
      <c r="L2685" s="3" t="s">
        <v>1165</v>
      </c>
      <c r="M2685" s="8" t="s">
        <v>3195</v>
      </c>
      <c r="N2685" s="3" t="s">
        <v>1890</v>
      </c>
      <c r="O2685" s="8" t="s">
        <v>1935</v>
      </c>
      <c r="P2685" s="8">
        <v>796</v>
      </c>
      <c r="Q2685" s="8" t="s">
        <v>3196</v>
      </c>
      <c r="R2685" s="9">
        <f>10+24</f>
        <v>34</v>
      </c>
      <c r="S2685" s="9">
        <v>3310</v>
      </c>
      <c r="T2685" s="10">
        <v>0</v>
      </c>
      <c r="U2685" s="10">
        <f t="shared" si="1532"/>
        <v>0</v>
      </c>
      <c r="V2685" s="7"/>
      <c r="W2685" s="11">
        <v>2015</v>
      </c>
      <c r="X2685" s="12" t="s">
        <v>6562</v>
      </c>
    </row>
    <row r="2686" spans="1:24" s="13" customFormat="1" ht="76.5" customHeight="1" outlineLevel="1" x14ac:dyDescent="0.2">
      <c r="A2686" s="1" t="s">
        <v>6708</v>
      </c>
      <c r="B2686" s="2" t="s">
        <v>5277</v>
      </c>
      <c r="C2686" s="2" t="s">
        <v>192</v>
      </c>
      <c r="D2686" s="2" t="s">
        <v>191</v>
      </c>
      <c r="E2686" s="2" t="s">
        <v>190</v>
      </c>
      <c r="F2686" s="2" t="s">
        <v>189</v>
      </c>
      <c r="G2686" s="3" t="s">
        <v>3190</v>
      </c>
      <c r="H2686" s="5">
        <v>0</v>
      </c>
      <c r="I2686" s="6">
        <v>710000000</v>
      </c>
      <c r="J2686" s="4" t="s">
        <v>1931</v>
      </c>
      <c r="K2686" s="4" t="s">
        <v>5297</v>
      </c>
      <c r="L2686" s="3" t="s">
        <v>1165</v>
      </c>
      <c r="M2686" s="8" t="s">
        <v>3195</v>
      </c>
      <c r="N2686" s="3" t="s">
        <v>1890</v>
      </c>
      <c r="O2686" s="8" t="s">
        <v>1935</v>
      </c>
      <c r="P2686" s="8">
        <v>796</v>
      </c>
      <c r="Q2686" s="8" t="s">
        <v>3196</v>
      </c>
      <c r="R2686" s="69">
        <f>8+24</f>
        <v>32</v>
      </c>
      <c r="S2686" s="69">
        <v>3310</v>
      </c>
      <c r="T2686" s="10">
        <v>0</v>
      </c>
      <c r="U2686" s="10">
        <f t="shared" si="1532"/>
        <v>0</v>
      </c>
      <c r="V2686" s="7"/>
      <c r="W2686" s="1">
        <v>2015</v>
      </c>
      <c r="X2686" s="62">
        <v>11</v>
      </c>
    </row>
    <row r="2687" spans="1:24" s="13" customFormat="1" ht="76.5" customHeight="1" outlineLevel="1" x14ac:dyDescent="0.2">
      <c r="A2687" s="1" t="s">
        <v>7893</v>
      </c>
      <c r="B2687" s="2" t="s">
        <v>5277</v>
      </c>
      <c r="C2687" s="2" t="s">
        <v>192</v>
      </c>
      <c r="D2687" s="2" t="s">
        <v>191</v>
      </c>
      <c r="E2687" s="2" t="s">
        <v>190</v>
      </c>
      <c r="F2687" s="2" t="s">
        <v>189</v>
      </c>
      <c r="G2687" s="3" t="s">
        <v>3190</v>
      </c>
      <c r="H2687" s="5">
        <v>0</v>
      </c>
      <c r="I2687" s="6">
        <v>710000000</v>
      </c>
      <c r="J2687" s="4" t="s">
        <v>1931</v>
      </c>
      <c r="K2687" s="4" t="s">
        <v>756</v>
      </c>
      <c r="L2687" s="3" t="s">
        <v>1165</v>
      </c>
      <c r="M2687" s="8" t="s">
        <v>3195</v>
      </c>
      <c r="N2687" s="3" t="s">
        <v>1890</v>
      </c>
      <c r="O2687" s="8" t="s">
        <v>1935</v>
      </c>
      <c r="P2687" s="8">
        <v>796</v>
      </c>
      <c r="Q2687" s="8" t="s">
        <v>3196</v>
      </c>
      <c r="R2687" s="69">
        <f>8+24</f>
        <v>32</v>
      </c>
      <c r="S2687" s="69">
        <v>3310</v>
      </c>
      <c r="T2687" s="10">
        <f t="shared" ref="T2687" si="1602">S2687*R2687</f>
        <v>105920</v>
      </c>
      <c r="U2687" s="10">
        <f t="shared" ref="U2687" si="1603">T2687*1.12</f>
        <v>118630.40000000001</v>
      </c>
      <c r="V2687" s="7"/>
      <c r="W2687" s="1">
        <v>2015</v>
      </c>
      <c r="X2687" s="62"/>
    </row>
    <row r="2688" spans="1:24" s="13" customFormat="1" ht="76.5" customHeight="1" outlineLevel="1" x14ac:dyDescent="0.2">
      <c r="A2688" s="1" t="s">
        <v>4168</v>
      </c>
      <c r="B2688" s="2" t="s">
        <v>5277</v>
      </c>
      <c r="C2688" s="6" t="s">
        <v>188</v>
      </c>
      <c r="D2688" s="6" t="s">
        <v>187</v>
      </c>
      <c r="E2688" s="6" t="s">
        <v>186</v>
      </c>
      <c r="F2688" s="2" t="s">
        <v>185</v>
      </c>
      <c r="G2688" s="3" t="s">
        <v>3190</v>
      </c>
      <c r="H2688" s="5">
        <v>0</v>
      </c>
      <c r="I2688" s="6">
        <v>710000000</v>
      </c>
      <c r="J2688" s="4" t="s">
        <v>1931</v>
      </c>
      <c r="K2688" s="4" t="s">
        <v>5297</v>
      </c>
      <c r="L2688" s="3" t="s">
        <v>1165</v>
      </c>
      <c r="M2688" s="8" t="s">
        <v>3195</v>
      </c>
      <c r="N2688" s="3" t="s">
        <v>1890</v>
      </c>
      <c r="O2688" s="8" t="s">
        <v>1935</v>
      </c>
      <c r="P2688" s="8">
        <v>796</v>
      </c>
      <c r="Q2688" s="8" t="s">
        <v>3196</v>
      </c>
      <c r="R2688" s="69">
        <v>4</v>
      </c>
      <c r="S2688" s="69">
        <v>28851.79</v>
      </c>
      <c r="T2688" s="10">
        <v>0</v>
      </c>
      <c r="U2688" s="10">
        <f t="shared" si="1532"/>
        <v>0</v>
      </c>
      <c r="V2688" s="7"/>
      <c r="W2688" s="1">
        <v>2015</v>
      </c>
      <c r="X2688" s="62">
        <v>11</v>
      </c>
    </row>
    <row r="2689" spans="1:24" s="13" customFormat="1" ht="76.5" customHeight="1" outlineLevel="1" x14ac:dyDescent="0.2">
      <c r="A2689" s="1" t="s">
        <v>7894</v>
      </c>
      <c r="B2689" s="2" t="s">
        <v>5277</v>
      </c>
      <c r="C2689" s="6" t="s">
        <v>188</v>
      </c>
      <c r="D2689" s="6" t="s">
        <v>187</v>
      </c>
      <c r="E2689" s="6" t="s">
        <v>186</v>
      </c>
      <c r="F2689" s="2" t="s">
        <v>185</v>
      </c>
      <c r="G2689" s="3" t="s">
        <v>3190</v>
      </c>
      <c r="H2689" s="5">
        <v>0</v>
      </c>
      <c r="I2689" s="6">
        <v>710000000</v>
      </c>
      <c r="J2689" s="4" t="s">
        <v>1931</v>
      </c>
      <c r="K2689" s="4" t="s">
        <v>756</v>
      </c>
      <c r="L2689" s="3" t="s">
        <v>1165</v>
      </c>
      <c r="M2689" s="8" t="s">
        <v>3195</v>
      </c>
      <c r="N2689" s="3" t="s">
        <v>1890</v>
      </c>
      <c r="O2689" s="8" t="s">
        <v>1935</v>
      </c>
      <c r="P2689" s="8">
        <v>796</v>
      </c>
      <c r="Q2689" s="8" t="s">
        <v>3196</v>
      </c>
      <c r="R2689" s="69">
        <v>4</v>
      </c>
      <c r="S2689" s="69">
        <v>28851.79</v>
      </c>
      <c r="T2689" s="10">
        <f t="shared" ref="T2689" si="1604">S2689*R2689</f>
        <v>115407.16</v>
      </c>
      <c r="U2689" s="10">
        <f t="shared" ref="U2689" si="1605">T2689*1.12</f>
        <v>129256.01920000001</v>
      </c>
      <c r="V2689" s="7"/>
      <c r="W2689" s="1">
        <v>2015</v>
      </c>
      <c r="X2689" s="62"/>
    </row>
    <row r="2690" spans="1:24" s="13" customFormat="1" ht="89.25" customHeight="1" outlineLevel="1" x14ac:dyDescent="0.2">
      <c r="A2690" s="1" t="s">
        <v>4169</v>
      </c>
      <c r="B2690" s="2" t="s">
        <v>5277</v>
      </c>
      <c r="C2690" s="6" t="s">
        <v>3430</v>
      </c>
      <c r="D2690" s="6" t="s">
        <v>3429</v>
      </c>
      <c r="E2690" s="6" t="s">
        <v>6481</v>
      </c>
      <c r="F2690" s="2"/>
      <c r="G2690" s="3" t="s">
        <v>3190</v>
      </c>
      <c r="H2690" s="5">
        <v>0</v>
      </c>
      <c r="I2690" s="6">
        <v>710000000</v>
      </c>
      <c r="J2690" s="4" t="s">
        <v>1931</v>
      </c>
      <c r="K2690" s="4" t="s">
        <v>5297</v>
      </c>
      <c r="L2690" s="3" t="s">
        <v>1165</v>
      </c>
      <c r="M2690" s="8" t="s">
        <v>3195</v>
      </c>
      <c r="N2690" s="3" t="s">
        <v>1890</v>
      </c>
      <c r="O2690" s="8" t="s">
        <v>1935</v>
      </c>
      <c r="P2690" s="62">
        <v>166</v>
      </c>
      <c r="Q2690" s="3" t="s">
        <v>3324</v>
      </c>
      <c r="R2690" s="69">
        <f>120+12</f>
        <v>132</v>
      </c>
      <c r="S2690" s="69">
        <v>1385</v>
      </c>
      <c r="T2690" s="10">
        <v>0</v>
      </c>
      <c r="U2690" s="10">
        <f t="shared" si="1532"/>
        <v>0</v>
      </c>
      <c r="V2690" s="7"/>
      <c r="W2690" s="1">
        <v>2015</v>
      </c>
      <c r="X2690" s="62">
        <v>11</v>
      </c>
    </row>
    <row r="2691" spans="1:24" s="13" customFormat="1" ht="89.25" customHeight="1" outlineLevel="1" x14ac:dyDescent="0.2">
      <c r="A2691" s="1" t="s">
        <v>7895</v>
      </c>
      <c r="B2691" s="2" t="s">
        <v>5277</v>
      </c>
      <c r="C2691" s="6" t="s">
        <v>3430</v>
      </c>
      <c r="D2691" s="6" t="s">
        <v>3429</v>
      </c>
      <c r="E2691" s="6" t="s">
        <v>6481</v>
      </c>
      <c r="F2691" s="2"/>
      <c r="G2691" s="3" t="s">
        <v>3190</v>
      </c>
      <c r="H2691" s="5">
        <v>0</v>
      </c>
      <c r="I2691" s="6">
        <v>710000000</v>
      </c>
      <c r="J2691" s="4" t="s">
        <v>1931</v>
      </c>
      <c r="K2691" s="4" t="s">
        <v>756</v>
      </c>
      <c r="L2691" s="3" t="s">
        <v>1165</v>
      </c>
      <c r="M2691" s="8" t="s">
        <v>3195</v>
      </c>
      <c r="N2691" s="3" t="s">
        <v>1890</v>
      </c>
      <c r="O2691" s="8" t="s">
        <v>1935</v>
      </c>
      <c r="P2691" s="62">
        <v>166</v>
      </c>
      <c r="Q2691" s="3" t="s">
        <v>3324</v>
      </c>
      <c r="R2691" s="69">
        <f>120+12</f>
        <v>132</v>
      </c>
      <c r="S2691" s="69">
        <v>1385</v>
      </c>
      <c r="T2691" s="10">
        <f t="shared" ref="T2691" si="1606">S2691*R2691</f>
        <v>182820</v>
      </c>
      <c r="U2691" s="10">
        <f t="shared" ref="U2691" si="1607">T2691*1.12</f>
        <v>204758.40000000002</v>
      </c>
      <c r="V2691" s="7"/>
      <c r="W2691" s="1">
        <v>2015</v>
      </c>
      <c r="X2691" s="62"/>
    </row>
    <row r="2692" spans="1:24" s="13" customFormat="1" ht="89.25" customHeight="1" outlineLevel="1" x14ac:dyDescent="0.2">
      <c r="A2692" s="1" t="s">
        <v>4170</v>
      </c>
      <c r="B2692" s="2" t="s">
        <v>5277</v>
      </c>
      <c r="C2692" s="6" t="s">
        <v>184</v>
      </c>
      <c r="D2692" s="6" t="s">
        <v>183</v>
      </c>
      <c r="E2692" s="6" t="s">
        <v>6482</v>
      </c>
      <c r="F2692" s="75"/>
      <c r="G2692" s="3" t="s">
        <v>3190</v>
      </c>
      <c r="H2692" s="5">
        <v>0</v>
      </c>
      <c r="I2692" s="6">
        <v>710000000</v>
      </c>
      <c r="J2692" s="4" t="s">
        <v>1931</v>
      </c>
      <c r="K2692" s="4" t="s">
        <v>5297</v>
      </c>
      <c r="L2692" s="3" t="s">
        <v>1165</v>
      </c>
      <c r="M2692" s="8" t="s">
        <v>3195</v>
      </c>
      <c r="N2692" s="3" t="s">
        <v>1890</v>
      </c>
      <c r="O2692" s="8" t="s">
        <v>1935</v>
      </c>
      <c r="P2692" s="62">
        <v>5108</v>
      </c>
      <c r="Q2692" s="3" t="s">
        <v>6034</v>
      </c>
      <c r="R2692" s="69">
        <v>3</v>
      </c>
      <c r="S2692" s="69">
        <v>37100</v>
      </c>
      <c r="T2692" s="10">
        <v>0</v>
      </c>
      <c r="U2692" s="10">
        <f t="shared" si="1532"/>
        <v>0</v>
      </c>
      <c r="V2692" s="7"/>
      <c r="W2692" s="1">
        <v>2015</v>
      </c>
      <c r="X2692" s="62">
        <v>11</v>
      </c>
    </row>
    <row r="2693" spans="1:24" s="13" customFormat="1" ht="89.25" customHeight="1" outlineLevel="1" x14ac:dyDescent="0.2">
      <c r="A2693" s="1" t="s">
        <v>7896</v>
      </c>
      <c r="B2693" s="2" t="s">
        <v>5277</v>
      </c>
      <c r="C2693" s="6" t="s">
        <v>184</v>
      </c>
      <c r="D2693" s="6" t="s">
        <v>183</v>
      </c>
      <c r="E2693" s="6" t="s">
        <v>6482</v>
      </c>
      <c r="F2693" s="75"/>
      <c r="G2693" s="3" t="s">
        <v>3190</v>
      </c>
      <c r="H2693" s="5">
        <v>0</v>
      </c>
      <c r="I2693" s="6">
        <v>710000000</v>
      </c>
      <c r="J2693" s="4" t="s">
        <v>1931</v>
      </c>
      <c r="K2693" s="4" t="s">
        <v>756</v>
      </c>
      <c r="L2693" s="3" t="s">
        <v>1165</v>
      </c>
      <c r="M2693" s="8" t="s">
        <v>3195</v>
      </c>
      <c r="N2693" s="3" t="s">
        <v>1890</v>
      </c>
      <c r="O2693" s="8" t="s">
        <v>1935</v>
      </c>
      <c r="P2693" s="62">
        <v>5108</v>
      </c>
      <c r="Q2693" s="3" t="s">
        <v>6034</v>
      </c>
      <c r="R2693" s="69">
        <v>3</v>
      </c>
      <c r="S2693" s="69">
        <v>37100</v>
      </c>
      <c r="T2693" s="10">
        <f t="shared" ref="T2693" si="1608">S2693*R2693</f>
        <v>111300</v>
      </c>
      <c r="U2693" s="10">
        <f t="shared" ref="U2693" si="1609">T2693*1.12</f>
        <v>124656.00000000001</v>
      </c>
      <c r="V2693" s="7"/>
      <c r="W2693" s="1">
        <v>2015</v>
      </c>
      <c r="X2693" s="62"/>
    </row>
    <row r="2694" spans="1:24" s="13" customFormat="1" ht="102" customHeight="1" outlineLevel="1" x14ac:dyDescent="0.2">
      <c r="A2694" s="1" t="s">
        <v>4171</v>
      </c>
      <c r="B2694" s="2" t="s">
        <v>5277</v>
      </c>
      <c r="C2694" s="2" t="s">
        <v>3428</v>
      </c>
      <c r="D2694" s="2" t="s">
        <v>3427</v>
      </c>
      <c r="E2694" s="6" t="s">
        <v>6039</v>
      </c>
      <c r="F2694" s="75"/>
      <c r="G2694" s="3" t="s">
        <v>3190</v>
      </c>
      <c r="H2694" s="5">
        <v>0</v>
      </c>
      <c r="I2694" s="6">
        <v>710000000</v>
      </c>
      <c r="J2694" s="4" t="s">
        <v>1931</v>
      </c>
      <c r="K2694" s="4" t="s">
        <v>5297</v>
      </c>
      <c r="L2694" s="3" t="s">
        <v>1165</v>
      </c>
      <c r="M2694" s="8" t="s">
        <v>3195</v>
      </c>
      <c r="N2694" s="3" t="s">
        <v>1890</v>
      </c>
      <c r="O2694" s="8" t="s">
        <v>1935</v>
      </c>
      <c r="P2694" s="62">
        <v>166</v>
      </c>
      <c r="Q2694" s="3" t="s">
        <v>3324</v>
      </c>
      <c r="R2694" s="69">
        <v>5</v>
      </c>
      <c r="S2694" s="69">
        <v>2000</v>
      </c>
      <c r="T2694" s="10">
        <v>0</v>
      </c>
      <c r="U2694" s="10">
        <f t="shared" si="1532"/>
        <v>0</v>
      </c>
      <c r="V2694" s="7"/>
      <c r="W2694" s="1">
        <v>2015</v>
      </c>
      <c r="X2694" s="62">
        <v>11</v>
      </c>
    </row>
    <row r="2695" spans="1:24" s="13" customFormat="1" ht="102" customHeight="1" outlineLevel="1" x14ac:dyDescent="0.2">
      <c r="A2695" s="1" t="s">
        <v>7897</v>
      </c>
      <c r="B2695" s="2" t="s">
        <v>5277</v>
      </c>
      <c r="C2695" s="2" t="s">
        <v>3428</v>
      </c>
      <c r="D2695" s="2" t="s">
        <v>3427</v>
      </c>
      <c r="E2695" s="6" t="s">
        <v>6039</v>
      </c>
      <c r="F2695" s="75"/>
      <c r="G2695" s="3" t="s">
        <v>3190</v>
      </c>
      <c r="H2695" s="5">
        <v>0</v>
      </c>
      <c r="I2695" s="6">
        <v>710000000</v>
      </c>
      <c r="J2695" s="4" t="s">
        <v>1931</v>
      </c>
      <c r="K2695" s="4" t="s">
        <v>756</v>
      </c>
      <c r="L2695" s="3" t="s">
        <v>1165</v>
      </c>
      <c r="M2695" s="8" t="s">
        <v>3195</v>
      </c>
      <c r="N2695" s="3" t="s">
        <v>1890</v>
      </c>
      <c r="O2695" s="8" t="s">
        <v>1935</v>
      </c>
      <c r="P2695" s="62">
        <v>166</v>
      </c>
      <c r="Q2695" s="3" t="s">
        <v>3324</v>
      </c>
      <c r="R2695" s="69">
        <v>5</v>
      </c>
      <c r="S2695" s="69">
        <v>2000</v>
      </c>
      <c r="T2695" s="10">
        <f t="shared" ref="T2695" si="1610">S2695*R2695</f>
        <v>10000</v>
      </c>
      <c r="U2695" s="10">
        <f t="shared" ref="U2695" si="1611">T2695*1.12</f>
        <v>11200.000000000002</v>
      </c>
      <c r="V2695" s="7"/>
      <c r="W2695" s="1">
        <v>2015</v>
      </c>
      <c r="X2695" s="62"/>
    </row>
    <row r="2696" spans="1:24" s="13" customFormat="1" ht="76.5" customHeight="1" outlineLevel="1" x14ac:dyDescent="0.2">
      <c r="A2696" s="1" t="s">
        <v>4172</v>
      </c>
      <c r="B2696" s="2" t="s">
        <v>5277</v>
      </c>
      <c r="C2696" s="6" t="s">
        <v>182</v>
      </c>
      <c r="D2696" s="6" t="s">
        <v>6035</v>
      </c>
      <c r="E2696" s="6" t="s">
        <v>181</v>
      </c>
      <c r="F2696" s="2"/>
      <c r="G2696" s="3" t="s">
        <v>3190</v>
      </c>
      <c r="H2696" s="5">
        <v>0</v>
      </c>
      <c r="I2696" s="6">
        <v>710000000</v>
      </c>
      <c r="J2696" s="4" t="s">
        <v>1931</v>
      </c>
      <c r="K2696" s="4" t="s">
        <v>5297</v>
      </c>
      <c r="L2696" s="3" t="s">
        <v>1165</v>
      </c>
      <c r="M2696" s="8" t="s">
        <v>3195</v>
      </c>
      <c r="N2696" s="3" t="s">
        <v>1890</v>
      </c>
      <c r="O2696" s="8" t="s">
        <v>1935</v>
      </c>
      <c r="P2696" s="62">
        <v>166</v>
      </c>
      <c r="Q2696" s="3" t="s">
        <v>3324</v>
      </c>
      <c r="R2696" s="69">
        <f>7+4</f>
        <v>11</v>
      </c>
      <c r="S2696" s="69">
        <v>2541.96</v>
      </c>
      <c r="T2696" s="10">
        <v>0</v>
      </c>
      <c r="U2696" s="10">
        <f t="shared" si="1532"/>
        <v>0</v>
      </c>
      <c r="V2696" s="7"/>
      <c r="W2696" s="1">
        <v>2015</v>
      </c>
      <c r="X2696" s="62">
        <v>11</v>
      </c>
    </row>
    <row r="2697" spans="1:24" s="13" customFormat="1" ht="76.5" customHeight="1" outlineLevel="1" x14ac:dyDescent="0.2">
      <c r="A2697" s="1" t="s">
        <v>7898</v>
      </c>
      <c r="B2697" s="2" t="s">
        <v>5277</v>
      </c>
      <c r="C2697" s="6" t="s">
        <v>182</v>
      </c>
      <c r="D2697" s="6" t="s">
        <v>6035</v>
      </c>
      <c r="E2697" s="6" t="s">
        <v>181</v>
      </c>
      <c r="F2697" s="2"/>
      <c r="G2697" s="3" t="s">
        <v>3190</v>
      </c>
      <c r="H2697" s="5">
        <v>0</v>
      </c>
      <c r="I2697" s="6">
        <v>710000000</v>
      </c>
      <c r="J2697" s="4" t="s">
        <v>1931</v>
      </c>
      <c r="K2697" s="4" t="s">
        <v>756</v>
      </c>
      <c r="L2697" s="3" t="s">
        <v>1165</v>
      </c>
      <c r="M2697" s="8" t="s">
        <v>3195</v>
      </c>
      <c r="N2697" s="3" t="s">
        <v>1890</v>
      </c>
      <c r="O2697" s="8" t="s">
        <v>1935</v>
      </c>
      <c r="P2697" s="62">
        <v>166</v>
      </c>
      <c r="Q2697" s="3" t="s">
        <v>3324</v>
      </c>
      <c r="R2697" s="69">
        <f>7+4</f>
        <v>11</v>
      </c>
      <c r="S2697" s="69">
        <v>2541.96</v>
      </c>
      <c r="T2697" s="10">
        <f t="shared" ref="T2697" si="1612">S2697*R2697</f>
        <v>27961.56</v>
      </c>
      <c r="U2697" s="10">
        <f t="shared" ref="U2697" si="1613">T2697*1.12</f>
        <v>31316.947200000006</v>
      </c>
      <c r="V2697" s="7"/>
      <c r="W2697" s="1">
        <v>2015</v>
      </c>
      <c r="X2697" s="62"/>
    </row>
    <row r="2698" spans="1:24" s="13" customFormat="1" ht="76.5" customHeight="1" outlineLevel="1" x14ac:dyDescent="0.2">
      <c r="A2698" s="1" t="s">
        <v>4173</v>
      </c>
      <c r="B2698" s="38" t="s">
        <v>5277</v>
      </c>
      <c r="C2698" s="6" t="s">
        <v>3431</v>
      </c>
      <c r="D2698" s="6" t="s">
        <v>6037</v>
      </c>
      <c r="E2698" s="6" t="s">
        <v>6038</v>
      </c>
      <c r="F2698" s="39"/>
      <c r="G2698" s="50" t="s">
        <v>3190</v>
      </c>
      <c r="H2698" s="5">
        <v>0</v>
      </c>
      <c r="I2698" s="6">
        <v>710000000</v>
      </c>
      <c r="J2698" s="4" t="s">
        <v>1931</v>
      </c>
      <c r="K2698" s="4" t="s">
        <v>5297</v>
      </c>
      <c r="L2698" s="3" t="s">
        <v>1165</v>
      </c>
      <c r="M2698" s="8" t="s">
        <v>3195</v>
      </c>
      <c r="N2698" s="3" t="s">
        <v>1890</v>
      </c>
      <c r="O2698" s="8" t="s">
        <v>1935</v>
      </c>
      <c r="P2698" s="62">
        <v>166</v>
      </c>
      <c r="Q2698" s="3" t="s">
        <v>3324</v>
      </c>
      <c r="R2698" s="9">
        <f>2+2</f>
        <v>4</v>
      </c>
      <c r="S2698" s="9">
        <v>3295.54</v>
      </c>
      <c r="T2698" s="10">
        <v>0</v>
      </c>
      <c r="U2698" s="10">
        <f t="shared" si="1532"/>
        <v>0</v>
      </c>
      <c r="V2698" s="7"/>
      <c r="W2698" s="11">
        <v>2015</v>
      </c>
      <c r="X2698" s="12" t="s">
        <v>6562</v>
      </c>
    </row>
    <row r="2699" spans="1:24" s="13" customFormat="1" ht="76.5" customHeight="1" outlineLevel="1" x14ac:dyDescent="0.2">
      <c r="A2699" s="1" t="s">
        <v>6709</v>
      </c>
      <c r="B2699" s="2" t="s">
        <v>5277</v>
      </c>
      <c r="C2699" s="6" t="s">
        <v>3431</v>
      </c>
      <c r="D2699" s="6" t="s">
        <v>6037</v>
      </c>
      <c r="E2699" s="6" t="s">
        <v>6038</v>
      </c>
      <c r="F2699" s="2"/>
      <c r="G2699" s="3" t="s">
        <v>3190</v>
      </c>
      <c r="H2699" s="5">
        <v>0</v>
      </c>
      <c r="I2699" s="6">
        <v>710000000</v>
      </c>
      <c r="J2699" s="4" t="s">
        <v>1931</v>
      </c>
      <c r="K2699" s="4" t="s">
        <v>5297</v>
      </c>
      <c r="L2699" s="3" t="s">
        <v>1165</v>
      </c>
      <c r="M2699" s="8" t="s">
        <v>3195</v>
      </c>
      <c r="N2699" s="3" t="s">
        <v>1890</v>
      </c>
      <c r="O2699" s="8" t="s">
        <v>1935</v>
      </c>
      <c r="P2699" s="62">
        <v>166</v>
      </c>
      <c r="Q2699" s="3" t="s">
        <v>3324</v>
      </c>
      <c r="R2699" s="69">
        <f>1+2</f>
        <v>3</v>
      </c>
      <c r="S2699" s="69">
        <v>3295.54</v>
      </c>
      <c r="T2699" s="10">
        <v>0</v>
      </c>
      <c r="U2699" s="10">
        <f t="shared" si="1532"/>
        <v>0</v>
      </c>
      <c r="V2699" s="7"/>
      <c r="W2699" s="1">
        <v>2015</v>
      </c>
      <c r="X2699" s="62">
        <v>11</v>
      </c>
    </row>
    <row r="2700" spans="1:24" s="13" customFormat="1" ht="76.5" customHeight="1" outlineLevel="1" x14ac:dyDescent="0.2">
      <c r="A2700" s="1" t="s">
        <v>7899</v>
      </c>
      <c r="B2700" s="2" t="s">
        <v>5277</v>
      </c>
      <c r="C2700" s="6" t="s">
        <v>3431</v>
      </c>
      <c r="D2700" s="6" t="s">
        <v>6037</v>
      </c>
      <c r="E2700" s="6" t="s">
        <v>6038</v>
      </c>
      <c r="F2700" s="2"/>
      <c r="G2700" s="3" t="s">
        <v>3190</v>
      </c>
      <c r="H2700" s="5">
        <v>0</v>
      </c>
      <c r="I2700" s="6">
        <v>710000000</v>
      </c>
      <c r="J2700" s="4" t="s">
        <v>1931</v>
      </c>
      <c r="K2700" s="4" t="s">
        <v>756</v>
      </c>
      <c r="L2700" s="3" t="s">
        <v>1165</v>
      </c>
      <c r="M2700" s="8" t="s">
        <v>3195</v>
      </c>
      <c r="N2700" s="3" t="s">
        <v>1890</v>
      </c>
      <c r="O2700" s="8" t="s">
        <v>1935</v>
      </c>
      <c r="P2700" s="62">
        <v>166</v>
      </c>
      <c r="Q2700" s="3" t="s">
        <v>3324</v>
      </c>
      <c r="R2700" s="69">
        <f>1+2</f>
        <v>3</v>
      </c>
      <c r="S2700" s="69">
        <v>3295.54</v>
      </c>
      <c r="T2700" s="10">
        <f t="shared" ref="T2700" si="1614">S2700*R2700</f>
        <v>9886.619999999999</v>
      </c>
      <c r="U2700" s="10">
        <f t="shared" ref="U2700" si="1615">T2700*1.12</f>
        <v>11073.0144</v>
      </c>
      <c r="V2700" s="7"/>
      <c r="W2700" s="1">
        <v>2015</v>
      </c>
      <c r="X2700" s="62"/>
    </row>
    <row r="2701" spans="1:24" s="13" customFormat="1" ht="76.5" customHeight="1" outlineLevel="1" x14ac:dyDescent="0.2">
      <c r="A2701" s="1" t="s">
        <v>4174</v>
      </c>
      <c r="B2701" s="38" t="s">
        <v>5277</v>
      </c>
      <c r="C2701" s="6" t="s">
        <v>180</v>
      </c>
      <c r="D2701" s="6" t="s">
        <v>179</v>
      </c>
      <c r="E2701" s="6" t="s">
        <v>9894</v>
      </c>
      <c r="F2701" s="39"/>
      <c r="G2701" s="50" t="s">
        <v>3190</v>
      </c>
      <c r="H2701" s="5">
        <v>0</v>
      </c>
      <c r="I2701" s="6">
        <v>710000000</v>
      </c>
      <c r="J2701" s="4" t="s">
        <v>1931</v>
      </c>
      <c r="K2701" s="4" t="s">
        <v>5297</v>
      </c>
      <c r="L2701" s="3" t="s">
        <v>1165</v>
      </c>
      <c r="M2701" s="8" t="s">
        <v>3195</v>
      </c>
      <c r="N2701" s="3" t="s">
        <v>1890</v>
      </c>
      <c r="O2701" s="8" t="s">
        <v>1935</v>
      </c>
      <c r="P2701" s="62">
        <v>166</v>
      </c>
      <c r="Q2701" s="3" t="s">
        <v>3324</v>
      </c>
      <c r="R2701" s="9">
        <v>200</v>
      </c>
      <c r="S2701" s="9">
        <v>334.82</v>
      </c>
      <c r="T2701" s="10">
        <v>0</v>
      </c>
      <c r="U2701" s="10">
        <f t="shared" si="1532"/>
        <v>0</v>
      </c>
      <c r="V2701" s="7"/>
      <c r="W2701" s="11">
        <v>2015</v>
      </c>
      <c r="X2701" s="12" t="s">
        <v>7518</v>
      </c>
    </row>
    <row r="2702" spans="1:24" s="13" customFormat="1" ht="76.5" customHeight="1" outlineLevel="1" x14ac:dyDescent="0.2">
      <c r="A2702" s="1" t="s">
        <v>7900</v>
      </c>
      <c r="B2702" s="38" t="s">
        <v>5277</v>
      </c>
      <c r="C2702" s="6" t="s">
        <v>180</v>
      </c>
      <c r="D2702" s="6" t="s">
        <v>179</v>
      </c>
      <c r="E2702" s="6" t="s">
        <v>9894</v>
      </c>
      <c r="F2702" s="39"/>
      <c r="G2702" s="50" t="s">
        <v>3190</v>
      </c>
      <c r="H2702" s="5">
        <v>0</v>
      </c>
      <c r="I2702" s="6">
        <v>710000000</v>
      </c>
      <c r="J2702" s="4" t="s">
        <v>1931</v>
      </c>
      <c r="K2702" s="4" t="s">
        <v>756</v>
      </c>
      <c r="L2702" s="3" t="s">
        <v>1165</v>
      </c>
      <c r="M2702" s="8" t="s">
        <v>3195</v>
      </c>
      <c r="N2702" s="3" t="s">
        <v>1890</v>
      </c>
      <c r="O2702" s="8" t="s">
        <v>1935</v>
      </c>
      <c r="P2702" s="62">
        <v>166</v>
      </c>
      <c r="Q2702" s="3" t="s">
        <v>3324</v>
      </c>
      <c r="R2702" s="9">
        <v>100</v>
      </c>
      <c r="S2702" s="9">
        <v>334.82</v>
      </c>
      <c r="T2702" s="10">
        <f t="shared" ref="T2702:T2703" si="1616">S2702*R2702</f>
        <v>33482</v>
      </c>
      <c r="U2702" s="10">
        <f t="shared" ref="U2702:U2703" si="1617">T2702*1.12</f>
        <v>37499.840000000004</v>
      </c>
      <c r="V2702" s="7"/>
      <c r="W2702" s="11">
        <v>2015</v>
      </c>
      <c r="X2702" s="12"/>
    </row>
    <row r="2703" spans="1:24" s="13" customFormat="1" ht="76.5" customHeight="1" outlineLevel="1" x14ac:dyDescent="0.2">
      <c r="A2703" s="1" t="s">
        <v>8110</v>
      </c>
      <c r="B2703" s="38" t="s">
        <v>5277</v>
      </c>
      <c r="C2703" s="6" t="s">
        <v>8111</v>
      </c>
      <c r="D2703" s="6" t="s">
        <v>8112</v>
      </c>
      <c r="E2703" s="6" t="s">
        <v>8113</v>
      </c>
      <c r="F2703" s="39" t="s">
        <v>8114</v>
      </c>
      <c r="G2703" s="50" t="s">
        <v>3190</v>
      </c>
      <c r="H2703" s="5">
        <v>0</v>
      </c>
      <c r="I2703" s="6">
        <v>710000000</v>
      </c>
      <c r="J2703" s="4" t="s">
        <v>1931</v>
      </c>
      <c r="K2703" s="4" t="s">
        <v>5297</v>
      </c>
      <c r="L2703" s="3" t="s">
        <v>1165</v>
      </c>
      <c r="M2703" s="8" t="s">
        <v>3195</v>
      </c>
      <c r="N2703" s="3" t="s">
        <v>1890</v>
      </c>
      <c r="O2703" s="8" t="s">
        <v>1935</v>
      </c>
      <c r="P2703" s="8">
        <v>796</v>
      </c>
      <c r="Q2703" s="8" t="s">
        <v>3196</v>
      </c>
      <c r="R2703" s="9">
        <v>1</v>
      </c>
      <c r="S2703" s="9">
        <v>2411</v>
      </c>
      <c r="T2703" s="10">
        <f t="shared" si="1616"/>
        <v>2411</v>
      </c>
      <c r="U2703" s="10">
        <f t="shared" si="1617"/>
        <v>2700.32</v>
      </c>
      <c r="V2703" s="7"/>
      <c r="W2703" s="11">
        <v>2015</v>
      </c>
      <c r="X2703" s="12"/>
    </row>
    <row r="2704" spans="1:24" s="13" customFormat="1" ht="76.5" customHeight="1" outlineLevel="1" x14ac:dyDescent="0.2">
      <c r="A2704" s="1" t="s">
        <v>4175</v>
      </c>
      <c r="B2704" s="2" t="s">
        <v>5277</v>
      </c>
      <c r="C2704" s="6" t="s">
        <v>178</v>
      </c>
      <c r="D2704" s="6" t="s">
        <v>6076</v>
      </c>
      <c r="E2704" s="6" t="s">
        <v>6077</v>
      </c>
      <c r="F2704" s="2" t="s">
        <v>177</v>
      </c>
      <c r="G2704" s="3" t="s">
        <v>3190</v>
      </c>
      <c r="H2704" s="5">
        <v>0</v>
      </c>
      <c r="I2704" s="6">
        <v>710000000</v>
      </c>
      <c r="J2704" s="4" t="s">
        <v>1931</v>
      </c>
      <c r="K2704" s="4" t="s">
        <v>5297</v>
      </c>
      <c r="L2704" s="3" t="s">
        <v>1165</v>
      </c>
      <c r="M2704" s="8" t="s">
        <v>3195</v>
      </c>
      <c r="N2704" s="3" t="s">
        <v>1890</v>
      </c>
      <c r="O2704" s="8" t="s">
        <v>1935</v>
      </c>
      <c r="P2704" s="60" t="s">
        <v>3010</v>
      </c>
      <c r="Q2704" s="3" t="s">
        <v>3009</v>
      </c>
      <c r="R2704" s="69">
        <v>1</v>
      </c>
      <c r="S2704" s="69">
        <v>24849</v>
      </c>
      <c r="T2704" s="10">
        <v>0</v>
      </c>
      <c r="U2704" s="10">
        <f t="shared" si="1532"/>
        <v>0</v>
      </c>
      <c r="V2704" s="7"/>
      <c r="W2704" s="1">
        <v>2015</v>
      </c>
      <c r="X2704" s="62">
        <v>11</v>
      </c>
    </row>
    <row r="2705" spans="1:24" s="13" customFormat="1" ht="76.5" customHeight="1" outlineLevel="1" x14ac:dyDescent="0.2">
      <c r="A2705" s="1" t="s">
        <v>7901</v>
      </c>
      <c r="B2705" s="2" t="s">
        <v>5277</v>
      </c>
      <c r="C2705" s="6" t="s">
        <v>178</v>
      </c>
      <c r="D2705" s="6" t="s">
        <v>6076</v>
      </c>
      <c r="E2705" s="6" t="s">
        <v>6077</v>
      </c>
      <c r="F2705" s="2" t="s">
        <v>177</v>
      </c>
      <c r="G2705" s="3" t="s">
        <v>3190</v>
      </c>
      <c r="H2705" s="5">
        <v>0</v>
      </c>
      <c r="I2705" s="6">
        <v>710000000</v>
      </c>
      <c r="J2705" s="4" t="s">
        <v>1931</v>
      </c>
      <c r="K2705" s="4" t="s">
        <v>756</v>
      </c>
      <c r="L2705" s="3" t="s">
        <v>1165</v>
      </c>
      <c r="M2705" s="8" t="s">
        <v>3195</v>
      </c>
      <c r="N2705" s="3" t="s">
        <v>1890</v>
      </c>
      <c r="O2705" s="8" t="s">
        <v>1935</v>
      </c>
      <c r="P2705" s="60" t="s">
        <v>3010</v>
      </c>
      <c r="Q2705" s="3" t="s">
        <v>3009</v>
      </c>
      <c r="R2705" s="69">
        <v>1</v>
      </c>
      <c r="S2705" s="69">
        <v>24849</v>
      </c>
      <c r="T2705" s="10">
        <f t="shared" ref="T2705" si="1618">S2705*R2705</f>
        <v>24849</v>
      </c>
      <c r="U2705" s="10">
        <f t="shared" ref="U2705" si="1619">T2705*1.12</f>
        <v>27830.880000000001</v>
      </c>
      <c r="V2705" s="7"/>
      <c r="W2705" s="1">
        <v>2015</v>
      </c>
      <c r="X2705" s="62"/>
    </row>
    <row r="2706" spans="1:24" s="13" customFormat="1" ht="76.5" customHeight="1" outlineLevel="1" x14ac:dyDescent="0.2">
      <c r="A2706" s="1" t="s">
        <v>4176</v>
      </c>
      <c r="B2706" s="2" t="s">
        <v>5277</v>
      </c>
      <c r="C2706" s="6" t="s">
        <v>176</v>
      </c>
      <c r="D2706" s="6" t="s">
        <v>1644</v>
      </c>
      <c r="E2706" s="6" t="s">
        <v>175</v>
      </c>
      <c r="F2706" s="2"/>
      <c r="G2706" s="3" t="s">
        <v>3190</v>
      </c>
      <c r="H2706" s="5">
        <v>0</v>
      </c>
      <c r="I2706" s="6">
        <v>710000000</v>
      </c>
      <c r="J2706" s="4" t="s">
        <v>1931</v>
      </c>
      <c r="K2706" s="4" t="s">
        <v>5297</v>
      </c>
      <c r="L2706" s="3" t="s">
        <v>1165</v>
      </c>
      <c r="M2706" s="8" t="s">
        <v>3195</v>
      </c>
      <c r="N2706" s="3" t="s">
        <v>1890</v>
      </c>
      <c r="O2706" s="8" t="s">
        <v>1935</v>
      </c>
      <c r="P2706" s="8">
        <v>796</v>
      </c>
      <c r="Q2706" s="8" t="s">
        <v>3196</v>
      </c>
      <c r="R2706" s="69">
        <v>10</v>
      </c>
      <c r="S2706" s="69">
        <v>884</v>
      </c>
      <c r="T2706" s="10">
        <v>0</v>
      </c>
      <c r="U2706" s="10">
        <f t="shared" si="1532"/>
        <v>0</v>
      </c>
      <c r="V2706" s="7"/>
      <c r="W2706" s="1">
        <v>2015</v>
      </c>
      <c r="X2706" s="62">
        <v>11</v>
      </c>
    </row>
    <row r="2707" spans="1:24" s="13" customFormat="1" ht="76.5" customHeight="1" outlineLevel="1" x14ac:dyDescent="0.2">
      <c r="A2707" s="1" t="s">
        <v>7902</v>
      </c>
      <c r="B2707" s="2" t="s">
        <v>5277</v>
      </c>
      <c r="C2707" s="6" t="s">
        <v>176</v>
      </c>
      <c r="D2707" s="6" t="s">
        <v>1644</v>
      </c>
      <c r="E2707" s="6" t="s">
        <v>175</v>
      </c>
      <c r="F2707" s="2"/>
      <c r="G2707" s="3" t="s">
        <v>3190</v>
      </c>
      <c r="H2707" s="5">
        <v>0</v>
      </c>
      <c r="I2707" s="6">
        <v>710000000</v>
      </c>
      <c r="J2707" s="4" t="s">
        <v>1931</v>
      </c>
      <c r="K2707" s="4" t="s">
        <v>756</v>
      </c>
      <c r="L2707" s="3" t="s">
        <v>1165</v>
      </c>
      <c r="M2707" s="8" t="s">
        <v>3195</v>
      </c>
      <c r="N2707" s="3" t="s">
        <v>1890</v>
      </c>
      <c r="O2707" s="8" t="s">
        <v>1935</v>
      </c>
      <c r="P2707" s="8">
        <v>796</v>
      </c>
      <c r="Q2707" s="8" t="s">
        <v>3196</v>
      </c>
      <c r="R2707" s="69">
        <v>10</v>
      </c>
      <c r="S2707" s="69">
        <v>884</v>
      </c>
      <c r="T2707" s="10">
        <v>0</v>
      </c>
      <c r="U2707" s="10">
        <f t="shared" ref="U2707:U2709" si="1620">T2707*1.12</f>
        <v>0</v>
      </c>
      <c r="V2707" s="7"/>
      <c r="W2707" s="1">
        <v>2015</v>
      </c>
      <c r="X2707" s="62" t="s">
        <v>7518</v>
      </c>
    </row>
    <row r="2708" spans="1:24" s="13" customFormat="1" ht="76.5" customHeight="1" outlineLevel="1" x14ac:dyDescent="0.2">
      <c r="A2708" s="1" t="s">
        <v>9634</v>
      </c>
      <c r="B2708" s="2" t="s">
        <v>5277</v>
      </c>
      <c r="C2708" s="6" t="s">
        <v>176</v>
      </c>
      <c r="D2708" s="6" t="s">
        <v>1644</v>
      </c>
      <c r="E2708" s="6" t="s">
        <v>175</v>
      </c>
      <c r="F2708" s="2"/>
      <c r="G2708" s="3" t="s">
        <v>3190</v>
      </c>
      <c r="H2708" s="5">
        <v>0</v>
      </c>
      <c r="I2708" s="6">
        <v>710000000</v>
      </c>
      <c r="J2708" s="4" t="s">
        <v>1931</v>
      </c>
      <c r="K2708" s="4" t="s">
        <v>9276</v>
      </c>
      <c r="L2708" s="3" t="s">
        <v>1165</v>
      </c>
      <c r="M2708" s="8" t="s">
        <v>3195</v>
      </c>
      <c r="N2708" s="3" t="s">
        <v>1890</v>
      </c>
      <c r="O2708" s="8" t="s">
        <v>1935</v>
      </c>
      <c r="P2708" s="8">
        <v>796</v>
      </c>
      <c r="Q2708" s="8" t="s">
        <v>3196</v>
      </c>
      <c r="R2708" s="69">
        <f>10+40</f>
        <v>50</v>
      </c>
      <c r="S2708" s="69">
        <v>884</v>
      </c>
      <c r="T2708" s="10">
        <f t="shared" ref="T2708" si="1621">S2708*R2708</f>
        <v>44200</v>
      </c>
      <c r="U2708" s="10">
        <f t="shared" ref="U2708" si="1622">T2708*1.12</f>
        <v>49504.000000000007</v>
      </c>
      <c r="V2708" s="7"/>
      <c r="W2708" s="1">
        <v>2015</v>
      </c>
      <c r="X2708" s="62"/>
    </row>
    <row r="2709" spans="1:24" s="13" customFormat="1" ht="76.5" customHeight="1" outlineLevel="1" x14ac:dyDescent="0.2">
      <c r="A2709" s="1" t="s">
        <v>8115</v>
      </c>
      <c r="B2709" s="38" t="s">
        <v>5277</v>
      </c>
      <c r="C2709" s="6" t="s">
        <v>3399</v>
      </c>
      <c r="D2709" s="6" t="s">
        <v>6074</v>
      </c>
      <c r="E2709" s="6" t="s">
        <v>6075</v>
      </c>
      <c r="F2709" s="39"/>
      <c r="G2709" s="50" t="s">
        <v>3190</v>
      </c>
      <c r="H2709" s="5">
        <v>0</v>
      </c>
      <c r="I2709" s="6">
        <v>710000000</v>
      </c>
      <c r="J2709" s="4" t="s">
        <v>1931</v>
      </c>
      <c r="K2709" s="4" t="s">
        <v>5297</v>
      </c>
      <c r="L2709" s="3" t="s">
        <v>1165</v>
      </c>
      <c r="M2709" s="8" t="s">
        <v>3195</v>
      </c>
      <c r="N2709" s="3" t="s">
        <v>1890</v>
      </c>
      <c r="O2709" s="8" t="s">
        <v>1935</v>
      </c>
      <c r="P2709" s="8">
        <v>796</v>
      </c>
      <c r="Q2709" s="8" t="s">
        <v>3196</v>
      </c>
      <c r="R2709" s="9">
        <v>5</v>
      </c>
      <c r="S2709" s="9">
        <v>9416</v>
      </c>
      <c r="T2709" s="10">
        <v>0</v>
      </c>
      <c r="U2709" s="10">
        <f t="shared" si="1620"/>
        <v>0</v>
      </c>
      <c r="V2709" s="7"/>
      <c r="W2709" s="11">
        <v>2015</v>
      </c>
      <c r="X2709" s="12" t="s">
        <v>6562</v>
      </c>
    </row>
    <row r="2710" spans="1:24" s="13" customFormat="1" ht="76.5" customHeight="1" outlineLevel="1" x14ac:dyDescent="0.2">
      <c r="A2710" s="1" t="s">
        <v>6710</v>
      </c>
      <c r="B2710" s="38" t="s">
        <v>5277</v>
      </c>
      <c r="C2710" s="6" t="s">
        <v>3399</v>
      </c>
      <c r="D2710" s="6" t="s">
        <v>6074</v>
      </c>
      <c r="E2710" s="6" t="s">
        <v>6075</v>
      </c>
      <c r="F2710" s="39"/>
      <c r="G2710" s="50" t="s">
        <v>3190</v>
      </c>
      <c r="H2710" s="5">
        <v>0</v>
      </c>
      <c r="I2710" s="6">
        <v>710000000</v>
      </c>
      <c r="J2710" s="4" t="s">
        <v>1931</v>
      </c>
      <c r="K2710" s="4" t="s">
        <v>5297</v>
      </c>
      <c r="L2710" s="3" t="s">
        <v>1165</v>
      </c>
      <c r="M2710" s="8" t="s">
        <v>3195</v>
      </c>
      <c r="N2710" s="3" t="s">
        <v>1890</v>
      </c>
      <c r="O2710" s="8" t="s">
        <v>1935</v>
      </c>
      <c r="P2710" s="8">
        <v>796</v>
      </c>
      <c r="Q2710" s="8" t="s">
        <v>3196</v>
      </c>
      <c r="R2710" s="9">
        <v>4</v>
      </c>
      <c r="S2710" s="9">
        <v>9416</v>
      </c>
      <c r="T2710" s="10">
        <f t="shared" si="1559"/>
        <v>37664</v>
      </c>
      <c r="U2710" s="10">
        <f t="shared" si="1532"/>
        <v>42183.680000000008</v>
      </c>
      <c r="V2710" s="7"/>
      <c r="W2710" s="11">
        <v>2015</v>
      </c>
      <c r="X2710" s="12"/>
    </row>
    <row r="2711" spans="1:24" s="13" customFormat="1" ht="76.5" customHeight="1" outlineLevel="1" x14ac:dyDescent="0.2">
      <c r="A2711" s="1" t="s">
        <v>4177</v>
      </c>
      <c r="B2711" s="38" t="s">
        <v>5277</v>
      </c>
      <c r="C2711" s="6" t="s">
        <v>3821</v>
      </c>
      <c r="D2711" s="6" t="s">
        <v>3820</v>
      </c>
      <c r="E2711" s="6" t="s">
        <v>5514</v>
      </c>
      <c r="F2711" s="39"/>
      <c r="G2711" s="50" t="s">
        <v>3190</v>
      </c>
      <c r="H2711" s="5">
        <v>0</v>
      </c>
      <c r="I2711" s="6">
        <v>710000000</v>
      </c>
      <c r="J2711" s="4" t="s">
        <v>1931</v>
      </c>
      <c r="K2711" s="4" t="s">
        <v>5297</v>
      </c>
      <c r="L2711" s="3" t="s">
        <v>1165</v>
      </c>
      <c r="M2711" s="8" t="s">
        <v>3195</v>
      </c>
      <c r="N2711" s="3" t="s">
        <v>1890</v>
      </c>
      <c r="O2711" s="8" t="s">
        <v>1935</v>
      </c>
      <c r="P2711" s="60">
        <v>166</v>
      </c>
      <c r="Q2711" s="3" t="s">
        <v>3324</v>
      </c>
      <c r="R2711" s="9">
        <v>8</v>
      </c>
      <c r="S2711" s="9">
        <v>1935</v>
      </c>
      <c r="T2711" s="10">
        <v>0</v>
      </c>
      <c r="U2711" s="10">
        <f t="shared" si="1532"/>
        <v>0</v>
      </c>
      <c r="V2711" s="7"/>
      <c r="W2711" s="11">
        <v>2015</v>
      </c>
      <c r="X2711" s="12" t="s">
        <v>6562</v>
      </c>
    </row>
    <row r="2712" spans="1:24" s="13" customFormat="1" ht="76.5" customHeight="1" outlineLevel="1" x14ac:dyDescent="0.2">
      <c r="A2712" s="1" t="s">
        <v>6711</v>
      </c>
      <c r="B2712" s="2" t="s">
        <v>5277</v>
      </c>
      <c r="C2712" s="6" t="s">
        <v>3821</v>
      </c>
      <c r="D2712" s="6" t="s">
        <v>3820</v>
      </c>
      <c r="E2712" s="6" t="s">
        <v>5514</v>
      </c>
      <c r="F2712" s="2"/>
      <c r="G2712" s="3" t="s">
        <v>3190</v>
      </c>
      <c r="H2712" s="5">
        <v>0</v>
      </c>
      <c r="I2712" s="6">
        <v>710000000</v>
      </c>
      <c r="J2712" s="4" t="s">
        <v>1931</v>
      </c>
      <c r="K2712" s="4" t="s">
        <v>5297</v>
      </c>
      <c r="L2712" s="3" t="s">
        <v>1165</v>
      </c>
      <c r="M2712" s="8" t="s">
        <v>3195</v>
      </c>
      <c r="N2712" s="3" t="s">
        <v>1890</v>
      </c>
      <c r="O2712" s="8" t="s">
        <v>1935</v>
      </c>
      <c r="P2712" s="60">
        <v>166</v>
      </c>
      <c r="Q2712" s="3" t="s">
        <v>3324</v>
      </c>
      <c r="R2712" s="69">
        <v>1</v>
      </c>
      <c r="S2712" s="69">
        <v>1935</v>
      </c>
      <c r="T2712" s="10">
        <v>0</v>
      </c>
      <c r="U2712" s="10">
        <f t="shared" si="1532"/>
        <v>0</v>
      </c>
      <c r="V2712" s="7"/>
      <c r="W2712" s="1">
        <v>2015</v>
      </c>
      <c r="X2712" s="62">
        <v>11</v>
      </c>
    </row>
    <row r="2713" spans="1:24" s="13" customFormat="1" ht="76.5" customHeight="1" outlineLevel="1" x14ac:dyDescent="0.2">
      <c r="A2713" s="1" t="s">
        <v>7903</v>
      </c>
      <c r="B2713" s="2" t="s">
        <v>5277</v>
      </c>
      <c r="C2713" s="6" t="s">
        <v>3821</v>
      </c>
      <c r="D2713" s="6" t="s">
        <v>3820</v>
      </c>
      <c r="E2713" s="6" t="s">
        <v>5514</v>
      </c>
      <c r="F2713" s="2"/>
      <c r="G2713" s="3" t="s">
        <v>3190</v>
      </c>
      <c r="H2713" s="5">
        <v>0</v>
      </c>
      <c r="I2713" s="6">
        <v>710000000</v>
      </c>
      <c r="J2713" s="4" t="s">
        <v>1931</v>
      </c>
      <c r="K2713" s="4" t="s">
        <v>756</v>
      </c>
      <c r="L2713" s="3" t="s">
        <v>1165</v>
      </c>
      <c r="M2713" s="8" t="s">
        <v>3195</v>
      </c>
      <c r="N2713" s="3" t="s">
        <v>1890</v>
      </c>
      <c r="O2713" s="8" t="s">
        <v>1935</v>
      </c>
      <c r="P2713" s="60">
        <v>166</v>
      </c>
      <c r="Q2713" s="3" t="s">
        <v>3324</v>
      </c>
      <c r="R2713" s="69">
        <v>1</v>
      </c>
      <c r="S2713" s="69">
        <v>1935</v>
      </c>
      <c r="T2713" s="10">
        <f t="shared" ref="T2713" si="1623">S2713*R2713</f>
        <v>1935</v>
      </c>
      <c r="U2713" s="10">
        <f t="shared" ref="U2713" si="1624">T2713*1.12</f>
        <v>2167.2000000000003</v>
      </c>
      <c r="V2713" s="7"/>
      <c r="W2713" s="1">
        <v>2015</v>
      </c>
      <c r="X2713" s="62"/>
    </row>
    <row r="2714" spans="1:24" s="13" customFormat="1" ht="76.5" customHeight="1" outlineLevel="1" x14ac:dyDescent="0.2">
      <c r="A2714" s="1" t="s">
        <v>4178</v>
      </c>
      <c r="B2714" s="2" t="s">
        <v>5277</v>
      </c>
      <c r="C2714" s="6" t="s">
        <v>1826</v>
      </c>
      <c r="D2714" s="6" t="s">
        <v>5683</v>
      </c>
      <c r="E2714" s="6" t="s">
        <v>5631</v>
      </c>
      <c r="F2714" s="2" t="s">
        <v>174</v>
      </c>
      <c r="G2714" s="3" t="s">
        <v>3190</v>
      </c>
      <c r="H2714" s="5">
        <v>0</v>
      </c>
      <c r="I2714" s="6">
        <v>710000000</v>
      </c>
      <c r="J2714" s="4" t="s">
        <v>1931</v>
      </c>
      <c r="K2714" s="4" t="s">
        <v>5297</v>
      </c>
      <c r="L2714" s="3" t="s">
        <v>1165</v>
      </c>
      <c r="M2714" s="8" t="s">
        <v>3195</v>
      </c>
      <c r="N2714" s="3" t="s">
        <v>1890</v>
      </c>
      <c r="O2714" s="8" t="s">
        <v>1935</v>
      </c>
      <c r="P2714" s="8">
        <v>796</v>
      </c>
      <c r="Q2714" s="8" t="s">
        <v>3196</v>
      </c>
      <c r="R2714" s="69">
        <v>1</v>
      </c>
      <c r="S2714" s="69">
        <v>2354</v>
      </c>
      <c r="T2714" s="10">
        <v>0</v>
      </c>
      <c r="U2714" s="10">
        <f t="shared" si="1532"/>
        <v>0</v>
      </c>
      <c r="V2714" s="7"/>
      <c r="W2714" s="1">
        <v>2015</v>
      </c>
      <c r="X2714" s="62">
        <v>11</v>
      </c>
    </row>
    <row r="2715" spans="1:24" s="13" customFormat="1" ht="76.5" customHeight="1" outlineLevel="1" x14ac:dyDescent="0.2">
      <c r="A2715" s="1" t="s">
        <v>7904</v>
      </c>
      <c r="B2715" s="2" t="s">
        <v>5277</v>
      </c>
      <c r="C2715" s="6" t="s">
        <v>1826</v>
      </c>
      <c r="D2715" s="6" t="s">
        <v>5683</v>
      </c>
      <c r="E2715" s="6" t="s">
        <v>5631</v>
      </c>
      <c r="F2715" s="2" t="s">
        <v>174</v>
      </c>
      <c r="G2715" s="3" t="s">
        <v>3190</v>
      </c>
      <c r="H2715" s="5">
        <v>0</v>
      </c>
      <c r="I2715" s="6">
        <v>710000000</v>
      </c>
      <c r="J2715" s="4" t="s">
        <v>1931</v>
      </c>
      <c r="K2715" s="4" t="s">
        <v>756</v>
      </c>
      <c r="L2715" s="3" t="s">
        <v>1165</v>
      </c>
      <c r="M2715" s="8" t="s">
        <v>3195</v>
      </c>
      <c r="N2715" s="3" t="s">
        <v>1890</v>
      </c>
      <c r="O2715" s="8" t="s">
        <v>1935</v>
      </c>
      <c r="P2715" s="8">
        <v>796</v>
      </c>
      <c r="Q2715" s="8" t="s">
        <v>3196</v>
      </c>
      <c r="R2715" s="69">
        <v>1</v>
      </c>
      <c r="S2715" s="69">
        <v>2354</v>
      </c>
      <c r="T2715" s="10">
        <f t="shared" ref="T2715" si="1625">S2715*R2715</f>
        <v>2354</v>
      </c>
      <c r="U2715" s="10">
        <f t="shared" ref="U2715" si="1626">T2715*1.12</f>
        <v>2636.4800000000005</v>
      </c>
      <c r="V2715" s="7"/>
      <c r="W2715" s="1">
        <v>2015</v>
      </c>
      <c r="X2715" s="62"/>
    </row>
    <row r="2716" spans="1:24" s="13" customFormat="1" ht="76.5" customHeight="1" outlineLevel="1" x14ac:dyDescent="0.2">
      <c r="A2716" s="1" t="s">
        <v>4179</v>
      </c>
      <c r="B2716" s="2" t="s">
        <v>5277</v>
      </c>
      <c r="C2716" s="6" t="s">
        <v>173</v>
      </c>
      <c r="D2716" s="6" t="s">
        <v>172</v>
      </c>
      <c r="E2716" s="6" t="s">
        <v>171</v>
      </c>
      <c r="F2716" s="2" t="s">
        <v>170</v>
      </c>
      <c r="G2716" s="3" t="s">
        <v>3190</v>
      </c>
      <c r="H2716" s="5">
        <v>0</v>
      </c>
      <c r="I2716" s="6">
        <v>710000000</v>
      </c>
      <c r="J2716" s="4" t="s">
        <v>1931</v>
      </c>
      <c r="K2716" s="4" t="s">
        <v>5297</v>
      </c>
      <c r="L2716" s="3" t="s">
        <v>1165</v>
      </c>
      <c r="M2716" s="8" t="s">
        <v>3195</v>
      </c>
      <c r="N2716" s="3" t="s">
        <v>1890</v>
      </c>
      <c r="O2716" s="8" t="s">
        <v>1935</v>
      </c>
      <c r="P2716" s="60">
        <v>166</v>
      </c>
      <c r="Q2716" s="3" t="s">
        <v>3324</v>
      </c>
      <c r="R2716" s="69">
        <v>20</v>
      </c>
      <c r="S2716" s="69">
        <v>268</v>
      </c>
      <c r="T2716" s="10">
        <v>0</v>
      </c>
      <c r="U2716" s="10">
        <f t="shared" si="1532"/>
        <v>0</v>
      </c>
      <c r="V2716" s="7"/>
      <c r="W2716" s="1">
        <v>2015</v>
      </c>
      <c r="X2716" s="62">
        <v>11</v>
      </c>
    </row>
    <row r="2717" spans="1:24" s="13" customFormat="1" ht="76.5" customHeight="1" outlineLevel="1" x14ac:dyDescent="0.2">
      <c r="A2717" s="1" t="s">
        <v>7905</v>
      </c>
      <c r="B2717" s="2" t="s">
        <v>5277</v>
      </c>
      <c r="C2717" s="6" t="s">
        <v>173</v>
      </c>
      <c r="D2717" s="6" t="s">
        <v>172</v>
      </c>
      <c r="E2717" s="6" t="s">
        <v>171</v>
      </c>
      <c r="F2717" s="2" t="s">
        <v>170</v>
      </c>
      <c r="G2717" s="3" t="s">
        <v>3190</v>
      </c>
      <c r="H2717" s="5">
        <v>0</v>
      </c>
      <c r="I2717" s="6">
        <v>710000000</v>
      </c>
      <c r="J2717" s="4" t="s">
        <v>1931</v>
      </c>
      <c r="K2717" s="77" t="s">
        <v>6167</v>
      </c>
      <c r="L2717" s="3" t="s">
        <v>1165</v>
      </c>
      <c r="M2717" s="8" t="s">
        <v>3195</v>
      </c>
      <c r="N2717" s="3" t="s">
        <v>1890</v>
      </c>
      <c r="O2717" s="8" t="s">
        <v>1935</v>
      </c>
      <c r="P2717" s="60">
        <v>166</v>
      </c>
      <c r="Q2717" s="3" t="s">
        <v>3324</v>
      </c>
      <c r="R2717" s="69">
        <v>20</v>
      </c>
      <c r="S2717" s="69">
        <v>268</v>
      </c>
      <c r="T2717" s="10">
        <f t="shared" ref="T2717" si="1627">S2717*R2717</f>
        <v>5360</v>
      </c>
      <c r="U2717" s="10">
        <f t="shared" ref="U2717" si="1628">T2717*1.12</f>
        <v>6003.2000000000007</v>
      </c>
      <c r="V2717" s="7"/>
      <c r="W2717" s="1">
        <v>2015</v>
      </c>
      <c r="X2717" s="62"/>
    </row>
    <row r="2718" spans="1:24" s="13" customFormat="1" ht="76.5" customHeight="1" outlineLevel="1" x14ac:dyDescent="0.2">
      <c r="A2718" s="1" t="s">
        <v>4180</v>
      </c>
      <c r="B2718" s="2" t="s">
        <v>5277</v>
      </c>
      <c r="C2718" s="2" t="s">
        <v>3816</v>
      </c>
      <c r="D2718" s="2" t="s">
        <v>5976</v>
      </c>
      <c r="E2718" s="6" t="s">
        <v>5977</v>
      </c>
      <c r="F2718" s="2"/>
      <c r="G2718" s="3" t="s">
        <v>3190</v>
      </c>
      <c r="H2718" s="5">
        <v>0</v>
      </c>
      <c r="I2718" s="6">
        <v>710000000</v>
      </c>
      <c r="J2718" s="4" t="s">
        <v>1931</v>
      </c>
      <c r="K2718" s="4" t="s">
        <v>5297</v>
      </c>
      <c r="L2718" s="3" t="s">
        <v>1165</v>
      </c>
      <c r="M2718" s="8" t="s">
        <v>3195</v>
      </c>
      <c r="N2718" s="3" t="s">
        <v>1890</v>
      </c>
      <c r="O2718" s="8" t="s">
        <v>1935</v>
      </c>
      <c r="P2718" s="60">
        <v>889</v>
      </c>
      <c r="Q2718" s="3" t="s">
        <v>169</v>
      </c>
      <c r="R2718" s="69">
        <v>8</v>
      </c>
      <c r="S2718" s="69">
        <v>1413</v>
      </c>
      <c r="T2718" s="10">
        <v>0</v>
      </c>
      <c r="U2718" s="10">
        <f t="shared" si="1532"/>
        <v>0</v>
      </c>
      <c r="V2718" s="7"/>
      <c r="W2718" s="1">
        <v>2015</v>
      </c>
      <c r="X2718" s="62">
        <v>11</v>
      </c>
    </row>
    <row r="2719" spans="1:24" s="13" customFormat="1" ht="76.5" customHeight="1" outlineLevel="1" x14ac:dyDescent="0.2">
      <c r="A2719" s="1" t="s">
        <v>7906</v>
      </c>
      <c r="B2719" s="2" t="s">
        <v>5277</v>
      </c>
      <c r="C2719" s="2" t="s">
        <v>3816</v>
      </c>
      <c r="D2719" s="2" t="s">
        <v>5976</v>
      </c>
      <c r="E2719" s="6" t="s">
        <v>5977</v>
      </c>
      <c r="F2719" s="2"/>
      <c r="G2719" s="3" t="s">
        <v>3190</v>
      </c>
      <c r="H2719" s="5">
        <v>0</v>
      </c>
      <c r="I2719" s="6">
        <v>710000000</v>
      </c>
      <c r="J2719" s="4" t="s">
        <v>1931</v>
      </c>
      <c r="K2719" s="4" t="s">
        <v>756</v>
      </c>
      <c r="L2719" s="3" t="s">
        <v>1165</v>
      </c>
      <c r="M2719" s="8" t="s">
        <v>3195</v>
      </c>
      <c r="N2719" s="3" t="s">
        <v>1890</v>
      </c>
      <c r="O2719" s="8" t="s">
        <v>1935</v>
      </c>
      <c r="P2719" s="60">
        <v>889</v>
      </c>
      <c r="Q2719" s="3" t="s">
        <v>169</v>
      </c>
      <c r="R2719" s="69">
        <v>8</v>
      </c>
      <c r="S2719" s="69">
        <v>1413</v>
      </c>
      <c r="T2719" s="10">
        <f t="shared" ref="T2719" si="1629">S2719*R2719</f>
        <v>11304</v>
      </c>
      <c r="U2719" s="10">
        <f t="shared" ref="U2719" si="1630">T2719*1.12</f>
        <v>12660.480000000001</v>
      </c>
      <c r="V2719" s="7"/>
      <c r="W2719" s="1">
        <v>2015</v>
      </c>
      <c r="X2719" s="62"/>
    </row>
    <row r="2720" spans="1:24" s="13" customFormat="1" ht="102" customHeight="1" outlineLevel="1" x14ac:dyDescent="0.2">
      <c r="A2720" s="1" t="s">
        <v>4181</v>
      </c>
      <c r="B2720" s="2" t="s">
        <v>5277</v>
      </c>
      <c r="C2720" s="2" t="s">
        <v>3456</v>
      </c>
      <c r="D2720" s="2" t="s">
        <v>5994</v>
      </c>
      <c r="E2720" s="6" t="s">
        <v>5995</v>
      </c>
      <c r="F2720" s="2"/>
      <c r="G2720" s="3" t="s">
        <v>3190</v>
      </c>
      <c r="H2720" s="5">
        <v>0</v>
      </c>
      <c r="I2720" s="6">
        <v>710000000</v>
      </c>
      <c r="J2720" s="4" t="s">
        <v>1931</v>
      </c>
      <c r="K2720" s="4" t="s">
        <v>5297</v>
      </c>
      <c r="L2720" s="3" t="s">
        <v>1165</v>
      </c>
      <c r="M2720" s="8" t="s">
        <v>3195</v>
      </c>
      <c r="N2720" s="3" t="s">
        <v>1890</v>
      </c>
      <c r="O2720" s="8" t="s">
        <v>1935</v>
      </c>
      <c r="P2720" s="60">
        <v>166</v>
      </c>
      <c r="Q2720" s="3" t="s">
        <v>3324</v>
      </c>
      <c r="R2720" s="69">
        <v>6.3</v>
      </c>
      <c r="S2720" s="69">
        <v>1031</v>
      </c>
      <c r="T2720" s="10">
        <v>0</v>
      </c>
      <c r="U2720" s="10">
        <f t="shared" si="1532"/>
        <v>0</v>
      </c>
      <c r="V2720" s="7"/>
      <c r="W2720" s="1">
        <v>2015</v>
      </c>
      <c r="X2720" s="62">
        <v>11</v>
      </c>
    </row>
    <row r="2721" spans="1:24" s="13" customFormat="1" ht="102" customHeight="1" outlineLevel="1" x14ac:dyDescent="0.2">
      <c r="A2721" s="1" t="s">
        <v>7907</v>
      </c>
      <c r="B2721" s="2" t="s">
        <v>5277</v>
      </c>
      <c r="C2721" s="2" t="s">
        <v>3456</v>
      </c>
      <c r="D2721" s="2" t="s">
        <v>5994</v>
      </c>
      <c r="E2721" s="6" t="s">
        <v>5995</v>
      </c>
      <c r="F2721" s="2"/>
      <c r="G2721" s="3" t="s">
        <v>3190</v>
      </c>
      <c r="H2721" s="5">
        <v>0</v>
      </c>
      <c r="I2721" s="6">
        <v>710000000</v>
      </c>
      <c r="J2721" s="4" t="s">
        <v>1931</v>
      </c>
      <c r="K2721" s="4" t="s">
        <v>756</v>
      </c>
      <c r="L2721" s="3" t="s">
        <v>1165</v>
      </c>
      <c r="M2721" s="8" t="s">
        <v>3195</v>
      </c>
      <c r="N2721" s="3" t="s">
        <v>1890</v>
      </c>
      <c r="O2721" s="8" t="s">
        <v>1935</v>
      </c>
      <c r="P2721" s="60">
        <v>166</v>
      </c>
      <c r="Q2721" s="3" t="s">
        <v>3324</v>
      </c>
      <c r="R2721" s="69">
        <v>6.3</v>
      </c>
      <c r="S2721" s="69">
        <v>1031</v>
      </c>
      <c r="T2721" s="10">
        <f t="shared" ref="T2721" si="1631">S2721*R2721</f>
        <v>6495.3</v>
      </c>
      <c r="U2721" s="10">
        <f t="shared" ref="U2721" si="1632">T2721*1.12</f>
        <v>7274.7360000000008</v>
      </c>
      <c r="V2721" s="7"/>
      <c r="W2721" s="1">
        <v>2015</v>
      </c>
      <c r="X2721" s="62"/>
    </row>
    <row r="2722" spans="1:24" s="13" customFormat="1" ht="76.5" customHeight="1" outlineLevel="1" x14ac:dyDescent="0.2">
      <c r="A2722" s="1" t="s">
        <v>4182</v>
      </c>
      <c r="B2722" s="2" t="s">
        <v>5277</v>
      </c>
      <c r="C2722" s="6" t="s">
        <v>168</v>
      </c>
      <c r="D2722" s="6" t="s">
        <v>167</v>
      </c>
      <c r="E2722" s="6" t="s">
        <v>166</v>
      </c>
      <c r="F2722" s="52" t="s">
        <v>6008</v>
      </c>
      <c r="G2722" s="3" t="s">
        <v>3190</v>
      </c>
      <c r="H2722" s="5">
        <v>0</v>
      </c>
      <c r="I2722" s="6">
        <v>710000000</v>
      </c>
      <c r="J2722" s="4" t="s">
        <v>1931</v>
      </c>
      <c r="K2722" s="4" t="s">
        <v>5297</v>
      </c>
      <c r="L2722" s="3" t="s">
        <v>1165</v>
      </c>
      <c r="M2722" s="8" t="s">
        <v>3195</v>
      </c>
      <c r="N2722" s="3" t="s">
        <v>1890</v>
      </c>
      <c r="O2722" s="8" t="s">
        <v>1935</v>
      </c>
      <c r="P2722" s="8">
        <v>796</v>
      </c>
      <c r="Q2722" s="8" t="s">
        <v>3196</v>
      </c>
      <c r="R2722" s="69">
        <v>1</v>
      </c>
      <c r="S2722" s="69">
        <v>4596</v>
      </c>
      <c r="T2722" s="10">
        <v>0</v>
      </c>
      <c r="U2722" s="10">
        <f t="shared" si="1532"/>
        <v>0</v>
      </c>
      <c r="V2722" s="7"/>
      <c r="W2722" s="1">
        <v>2015</v>
      </c>
      <c r="X2722" s="62">
        <v>11</v>
      </c>
    </row>
    <row r="2723" spans="1:24" s="13" customFormat="1" ht="76.5" customHeight="1" outlineLevel="1" x14ac:dyDescent="0.2">
      <c r="A2723" s="1" t="s">
        <v>7908</v>
      </c>
      <c r="B2723" s="2" t="s">
        <v>5277</v>
      </c>
      <c r="C2723" s="6" t="s">
        <v>168</v>
      </c>
      <c r="D2723" s="6" t="s">
        <v>167</v>
      </c>
      <c r="E2723" s="6" t="s">
        <v>166</v>
      </c>
      <c r="F2723" s="52" t="s">
        <v>6008</v>
      </c>
      <c r="G2723" s="3" t="s">
        <v>3190</v>
      </c>
      <c r="H2723" s="5">
        <v>0</v>
      </c>
      <c r="I2723" s="6">
        <v>710000000</v>
      </c>
      <c r="J2723" s="4" t="s">
        <v>1931</v>
      </c>
      <c r="K2723" s="4" t="s">
        <v>756</v>
      </c>
      <c r="L2723" s="3" t="s">
        <v>1165</v>
      </c>
      <c r="M2723" s="8" t="s">
        <v>3195</v>
      </c>
      <c r="N2723" s="3" t="s">
        <v>1890</v>
      </c>
      <c r="O2723" s="8" t="s">
        <v>1935</v>
      </c>
      <c r="P2723" s="8">
        <v>796</v>
      </c>
      <c r="Q2723" s="8" t="s">
        <v>3196</v>
      </c>
      <c r="R2723" s="69">
        <v>1</v>
      </c>
      <c r="S2723" s="69">
        <v>4596</v>
      </c>
      <c r="T2723" s="10">
        <f t="shared" ref="T2723" si="1633">S2723*R2723</f>
        <v>4596</v>
      </c>
      <c r="U2723" s="10">
        <f t="shared" ref="U2723" si="1634">T2723*1.12</f>
        <v>5147.5200000000004</v>
      </c>
      <c r="V2723" s="7"/>
      <c r="W2723" s="1">
        <v>2015</v>
      </c>
      <c r="X2723" s="62"/>
    </row>
    <row r="2724" spans="1:24" s="13" customFormat="1" ht="76.5" customHeight="1" outlineLevel="1" x14ac:dyDescent="0.2">
      <c r="A2724" s="1" t="s">
        <v>4183</v>
      </c>
      <c r="B2724" s="38" t="s">
        <v>5277</v>
      </c>
      <c r="C2724" s="5" t="s">
        <v>157</v>
      </c>
      <c r="D2724" s="129" t="s">
        <v>156</v>
      </c>
      <c r="E2724" s="6" t="s">
        <v>7618</v>
      </c>
      <c r="F2724" s="39"/>
      <c r="G2724" s="50" t="s">
        <v>3190</v>
      </c>
      <c r="H2724" s="5">
        <v>0</v>
      </c>
      <c r="I2724" s="6">
        <v>710000000</v>
      </c>
      <c r="J2724" s="4" t="s">
        <v>1931</v>
      </c>
      <c r="K2724" s="4" t="s">
        <v>5297</v>
      </c>
      <c r="L2724" s="7" t="s">
        <v>1940</v>
      </c>
      <c r="M2724" s="8" t="s">
        <v>3195</v>
      </c>
      <c r="N2724" s="3" t="s">
        <v>1890</v>
      </c>
      <c r="O2724" s="8" t="s">
        <v>1935</v>
      </c>
      <c r="P2724" s="62">
        <v>625</v>
      </c>
      <c r="Q2724" s="50" t="s">
        <v>5192</v>
      </c>
      <c r="R2724" s="9">
        <v>1</v>
      </c>
      <c r="S2724" s="9">
        <v>348.33</v>
      </c>
      <c r="T2724" s="10">
        <v>0</v>
      </c>
      <c r="U2724" s="10">
        <f t="shared" si="1532"/>
        <v>0</v>
      </c>
      <c r="V2724" s="7"/>
      <c r="W2724" s="11">
        <v>2015</v>
      </c>
      <c r="X2724" s="12" t="s">
        <v>6580</v>
      </c>
    </row>
    <row r="2725" spans="1:24" s="13" customFormat="1" ht="76.5" customHeight="1" outlineLevel="1" x14ac:dyDescent="0.2">
      <c r="A2725" s="1" t="s">
        <v>6712</v>
      </c>
      <c r="B2725" s="2" t="s">
        <v>5277</v>
      </c>
      <c r="C2725" s="5" t="s">
        <v>157</v>
      </c>
      <c r="D2725" s="5" t="s">
        <v>156</v>
      </c>
      <c r="E2725" s="6" t="s">
        <v>7618</v>
      </c>
      <c r="F2725" s="2"/>
      <c r="G2725" s="3" t="s">
        <v>3190</v>
      </c>
      <c r="H2725" s="5">
        <v>0</v>
      </c>
      <c r="I2725" s="6">
        <v>710000000</v>
      </c>
      <c r="J2725" s="4" t="s">
        <v>1931</v>
      </c>
      <c r="K2725" s="4" t="s">
        <v>5297</v>
      </c>
      <c r="L2725" s="7" t="s">
        <v>1940</v>
      </c>
      <c r="M2725" s="8" t="s">
        <v>3195</v>
      </c>
      <c r="N2725" s="3" t="s">
        <v>1890</v>
      </c>
      <c r="O2725" s="8" t="s">
        <v>1935</v>
      </c>
      <c r="P2725" s="62">
        <v>625</v>
      </c>
      <c r="Q2725" s="3" t="s">
        <v>5192</v>
      </c>
      <c r="R2725" s="69">
        <v>8</v>
      </c>
      <c r="S2725" s="69">
        <v>1935</v>
      </c>
      <c r="T2725" s="10">
        <v>0</v>
      </c>
      <c r="U2725" s="10">
        <f t="shared" si="1532"/>
        <v>0</v>
      </c>
      <c r="V2725" s="7"/>
      <c r="W2725" s="1">
        <v>2015</v>
      </c>
      <c r="X2725" s="62" t="s">
        <v>7518</v>
      </c>
    </row>
    <row r="2726" spans="1:24" s="13" customFormat="1" ht="76.5" customHeight="1" outlineLevel="1" x14ac:dyDescent="0.2">
      <c r="A2726" s="1" t="s">
        <v>7909</v>
      </c>
      <c r="B2726" s="2" t="s">
        <v>5277</v>
      </c>
      <c r="C2726" s="5" t="s">
        <v>157</v>
      </c>
      <c r="D2726" s="5" t="s">
        <v>156</v>
      </c>
      <c r="E2726" s="6" t="s">
        <v>7618</v>
      </c>
      <c r="F2726" s="2"/>
      <c r="G2726" s="3" t="s">
        <v>3190</v>
      </c>
      <c r="H2726" s="5">
        <v>0</v>
      </c>
      <c r="I2726" s="6">
        <v>710000000</v>
      </c>
      <c r="J2726" s="4" t="s">
        <v>1931</v>
      </c>
      <c r="K2726" s="4" t="s">
        <v>756</v>
      </c>
      <c r="L2726" s="7" t="s">
        <v>1940</v>
      </c>
      <c r="M2726" s="8" t="s">
        <v>3195</v>
      </c>
      <c r="N2726" s="3" t="s">
        <v>1890</v>
      </c>
      <c r="O2726" s="8" t="s">
        <v>1935</v>
      </c>
      <c r="P2726" s="62">
        <v>625</v>
      </c>
      <c r="Q2726" s="3" t="s">
        <v>5192</v>
      </c>
      <c r="R2726" s="69">
        <v>4</v>
      </c>
      <c r="S2726" s="69">
        <v>1935</v>
      </c>
      <c r="T2726" s="10">
        <f t="shared" ref="T2726" si="1635">S2726*R2726</f>
        <v>7740</v>
      </c>
      <c r="U2726" s="10">
        <f t="shared" ref="U2726" si="1636">T2726*1.12</f>
        <v>8668.8000000000011</v>
      </c>
      <c r="V2726" s="7"/>
      <c r="W2726" s="1">
        <v>2015</v>
      </c>
      <c r="X2726" s="62"/>
    </row>
    <row r="2727" spans="1:24" s="13" customFormat="1" ht="76.5" customHeight="1" outlineLevel="1" x14ac:dyDescent="0.2">
      <c r="A2727" s="1" t="s">
        <v>4184</v>
      </c>
      <c r="B2727" s="38" t="s">
        <v>5277</v>
      </c>
      <c r="C2727" s="6" t="s">
        <v>155</v>
      </c>
      <c r="D2727" s="6" t="s">
        <v>5515</v>
      </c>
      <c r="E2727" s="6" t="s">
        <v>154</v>
      </c>
      <c r="F2727" s="39"/>
      <c r="G2727" s="50" t="s">
        <v>3190</v>
      </c>
      <c r="H2727" s="5">
        <v>0</v>
      </c>
      <c r="I2727" s="6">
        <v>710000000</v>
      </c>
      <c r="J2727" s="4" t="s">
        <v>1931</v>
      </c>
      <c r="K2727" s="4" t="s">
        <v>5297</v>
      </c>
      <c r="L2727" s="3" t="s">
        <v>1165</v>
      </c>
      <c r="M2727" s="8" t="s">
        <v>3195</v>
      </c>
      <c r="N2727" s="3" t="s">
        <v>1890</v>
      </c>
      <c r="O2727" s="8" t="s">
        <v>1935</v>
      </c>
      <c r="P2727" s="60">
        <v>166</v>
      </c>
      <c r="Q2727" s="3" t="s">
        <v>3324</v>
      </c>
      <c r="R2727" s="9">
        <v>12</v>
      </c>
      <c r="S2727" s="9">
        <v>1285</v>
      </c>
      <c r="T2727" s="10">
        <v>0</v>
      </c>
      <c r="U2727" s="10">
        <f t="shared" si="1532"/>
        <v>0</v>
      </c>
      <c r="V2727" s="7"/>
      <c r="W2727" s="11">
        <v>2015</v>
      </c>
      <c r="X2727" s="12" t="s">
        <v>6562</v>
      </c>
    </row>
    <row r="2728" spans="1:24" s="13" customFormat="1" ht="76.5" customHeight="1" outlineLevel="1" x14ac:dyDescent="0.2">
      <c r="A2728" s="1" t="s">
        <v>6713</v>
      </c>
      <c r="B2728" s="2" t="s">
        <v>5277</v>
      </c>
      <c r="C2728" s="6" t="s">
        <v>155</v>
      </c>
      <c r="D2728" s="6" t="s">
        <v>5515</v>
      </c>
      <c r="E2728" s="6" t="s">
        <v>154</v>
      </c>
      <c r="F2728" s="2"/>
      <c r="G2728" s="3" t="s">
        <v>3190</v>
      </c>
      <c r="H2728" s="5">
        <v>0</v>
      </c>
      <c r="I2728" s="6">
        <v>710000000</v>
      </c>
      <c r="J2728" s="4" t="s">
        <v>1931</v>
      </c>
      <c r="K2728" s="4" t="s">
        <v>5297</v>
      </c>
      <c r="L2728" s="3" t="s">
        <v>1165</v>
      </c>
      <c r="M2728" s="8" t="s">
        <v>3195</v>
      </c>
      <c r="N2728" s="3" t="s">
        <v>1890</v>
      </c>
      <c r="O2728" s="8" t="s">
        <v>1935</v>
      </c>
      <c r="P2728" s="60">
        <v>166</v>
      </c>
      <c r="Q2728" s="3" t="s">
        <v>3324</v>
      </c>
      <c r="R2728" s="69">
        <v>8</v>
      </c>
      <c r="S2728" s="69">
        <v>1285</v>
      </c>
      <c r="T2728" s="10">
        <v>0</v>
      </c>
      <c r="U2728" s="10">
        <f t="shared" si="1532"/>
        <v>0</v>
      </c>
      <c r="V2728" s="7"/>
      <c r="W2728" s="1">
        <v>2015</v>
      </c>
      <c r="X2728" s="62" t="s">
        <v>7518</v>
      </c>
    </row>
    <row r="2729" spans="1:24" s="13" customFormat="1" ht="76.5" customHeight="1" outlineLevel="1" x14ac:dyDescent="0.2">
      <c r="A2729" s="1" t="s">
        <v>7910</v>
      </c>
      <c r="B2729" s="2" t="s">
        <v>5277</v>
      </c>
      <c r="C2729" s="6" t="s">
        <v>155</v>
      </c>
      <c r="D2729" s="6" t="s">
        <v>5515</v>
      </c>
      <c r="E2729" s="6" t="s">
        <v>154</v>
      </c>
      <c r="F2729" s="2"/>
      <c r="G2729" s="3" t="s">
        <v>3190</v>
      </c>
      <c r="H2729" s="5">
        <v>0</v>
      </c>
      <c r="I2729" s="6">
        <v>710000000</v>
      </c>
      <c r="J2729" s="4" t="s">
        <v>1931</v>
      </c>
      <c r="K2729" s="4" t="s">
        <v>756</v>
      </c>
      <c r="L2729" s="3" t="s">
        <v>1165</v>
      </c>
      <c r="M2729" s="8" t="s">
        <v>3195</v>
      </c>
      <c r="N2729" s="3" t="s">
        <v>1890</v>
      </c>
      <c r="O2729" s="8" t="s">
        <v>1935</v>
      </c>
      <c r="P2729" s="60">
        <v>166</v>
      </c>
      <c r="Q2729" s="3" t="s">
        <v>3324</v>
      </c>
      <c r="R2729" s="69">
        <v>4</v>
      </c>
      <c r="S2729" s="69">
        <v>1285</v>
      </c>
      <c r="T2729" s="10">
        <f t="shared" ref="T2729" si="1637">S2729*R2729</f>
        <v>5140</v>
      </c>
      <c r="U2729" s="10">
        <f t="shared" ref="U2729" si="1638">T2729*1.12</f>
        <v>5756.8</v>
      </c>
      <c r="V2729" s="7"/>
      <c r="W2729" s="1">
        <v>2015</v>
      </c>
      <c r="X2729" s="62"/>
    </row>
    <row r="2730" spans="1:24" s="13" customFormat="1" ht="89.25" customHeight="1" outlineLevel="1" x14ac:dyDescent="0.2">
      <c r="A2730" s="1" t="s">
        <v>4185</v>
      </c>
      <c r="B2730" s="38" t="s">
        <v>5277</v>
      </c>
      <c r="C2730" s="6" t="s">
        <v>165</v>
      </c>
      <c r="D2730" s="6" t="s">
        <v>164</v>
      </c>
      <c r="E2730" s="6" t="s">
        <v>163</v>
      </c>
      <c r="F2730" s="6" t="s">
        <v>162</v>
      </c>
      <c r="G2730" s="50" t="s">
        <v>3190</v>
      </c>
      <c r="H2730" s="5">
        <v>0</v>
      </c>
      <c r="I2730" s="6">
        <v>710000000</v>
      </c>
      <c r="J2730" s="4" t="s">
        <v>1931</v>
      </c>
      <c r="K2730" s="4" t="s">
        <v>5297</v>
      </c>
      <c r="L2730" s="3" t="s">
        <v>1165</v>
      </c>
      <c r="M2730" s="8" t="s">
        <v>3195</v>
      </c>
      <c r="N2730" s="3" t="s">
        <v>1890</v>
      </c>
      <c r="O2730" s="8" t="s">
        <v>1935</v>
      </c>
      <c r="P2730" s="8">
        <v>796</v>
      </c>
      <c r="Q2730" s="8" t="s">
        <v>3196</v>
      </c>
      <c r="R2730" s="9">
        <v>8</v>
      </c>
      <c r="S2730" s="9">
        <v>33170</v>
      </c>
      <c r="T2730" s="10">
        <f t="shared" si="1559"/>
        <v>265360</v>
      </c>
      <c r="U2730" s="10">
        <f t="shared" si="1532"/>
        <v>297203.20000000001</v>
      </c>
      <c r="V2730" s="7"/>
      <c r="W2730" s="11">
        <v>2015</v>
      </c>
      <c r="X2730" s="12"/>
    </row>
    <row r="2731" spans="1:24" s="13" customFormat="1" ht="76.5" customHeight="1" outlineLevel="1" x14ac:dyDescent="0.2">
      <c r="A2731" s="1" t="s">
        <v>4186</v>
      </c>
      <c r="B2731" s="38" t="s">
        <v>5277</v>
      </c>
      <c r="C2731" s="2" t="s">
        <v>129</v>
      </c>
      <c r="D2731" s="2" t="s">
        <v>128</v>
      </c>
      <c r="E2731" s="2" t="s">
        <v>127</v>
      </c>
      <c r="F2731" s="52" t="s">
        <v>126</v>
      </c>
      <c r="G2731" s="50" t="s">
        <v>3190</v>
      </c>
      <c r="H2731" s="5">
        <v>0</v>
      </c>
      <c r="I2731" s="6">
        <v>710000000</v>
      </c>
      <c r="J2731" s="4" t="s">
        <v>1931</v>
      </c>
      <c r="K2731" s="4" t="s">
        <v>5297</v>
      </c>
      <c r="L2731" s="3" t="s">
        <v>1165</v>
      </c>
      <c r="M2731" s="8" t="s">
        <v>3195</v>
      </c>
      <c r="N2731" s="3" t="s">
        <v>1890</v>
      </c>
      <c r="O2731" s="8" t="s">
        <v>1935</v>
      </c>
      <c r="P2731" s="8">
        <v>796</v>
      </c>
      <c r="Q2731" s="8" t="s">
        <v>3196</v>
      </c>
      <c r="R2731" s="9">
        <v>2</v>
      </c>
      <c r="S2731" s="9">
        <v>1500</v>
      </c>
      <c r="T2731" s="10">
        <f t="shared" ref="T2731:T2853" si="1639">S2731*R2731</f>
        <v>3000</v>
      </c>
      <c r="U2731" s="10">
        <f t="shared" si="1532"/>
        <v>3360.0000000000005</v>
      </c>
      <c r="V2731" s="7"/>
      <c r="W2731" s="11">
        <v>2015</v>
      </c>
      <c r="X2731" s="12"/>
    </row>
    <row r="2732" spans="1:24" s="13" customFormat="1" ht="76.5" customHeight="1" outlineLevel="1" x14ac:dyDescent="0.2">
      <c r="A2732" s="1" t="s">
        <v>4187</v>
      </c>
      <c r="B2732" s="38" t="s">
        <v>5277</v>
      </c>
      <c r="C2732" s="2" t="s">
        <v>161</v>
      </c>
      <c r="D2732" s="2" t="s">
        <v>160</v>
      </c>
      <c r="E2732" s="2" t="s">
        <v>159</v>
      </c>
      <c r="F2732" s="52" t="s">
        <v>158</v>
      </c>
      <c r="G2732" s="50" t="s">
        <v>3190</v>
      </c>
      <c r="H2732" s="5">
        <v>0</v>
      </c>
      <c r="I2732" s="6">
        <v>710000000</v>
      </c>
      <c r="J2732" s="4" t="s">
        <v>1931</v>
      </c>
      <c r="K2732" s="4" t="s">
        <v>5297</v>
      </c>
      <c r="L2732" s="3" t="s">
        <v>1165</v>
      </c>
      <c r="M2732" s="8" t="s">
        <v>3195</v>
      </c>
      <c r="N2732" s="3" t="s">
        <v>1890</v>
      </c>
      <c r="O2732" s="8" t="s">
        <v>1935</v>
      </c>
      <c r="P2732" s="62">
        <v>778</v>
      </c>
      <c r="Q2732" s="3" t="s">
        <v>3327</v>
      </c>
      <c r="R2732" s="9">
        <v>5</v>
      </c>
      <c r="S2732" s="9">
        <v>1273</v>
      </c>
      <c r="T2732" s="10">
        <f t="shared" si="1639"/>
        <v>6365</v>
      </c>
      <c r="U2732" s="10">
        <f t="shared" si="1532"/>
        <v>7128.8000000000011</v>
      </c>
      <c r="V2732" s="7"/>
      <c r="W2732" s="11">
        <v>2015</v>
      </c>
      <c r="X2732" s="12"/>
    </row>
    <row r="2733" spans="1:24" s="13" customFormat="1" ht="76.5" customHeight="1" outlineLevel="1" x14ac:dyDescent="0.2">
      <c r="A2733" s="1" t="s">
        <v>4188</v>
      </c>
      <c r="B2733" s="38" t="s">
        <v>5277</v>
      </c>
      <c r="C2733" s="2" t="s">
        <v>113</v>
      </c>
      <c r="D2733" s="2" t="s">
        <v>3822</v>
      </c>
      <c r="E2733" s="6" t="s">
        <v>112</v>
      </c>
      <c r="F2733" s="52" t="s">
        <v>111</v>
      </c>
      <c r="G2733" s="50" t="s">
        <v>3190</v>
      </c>
      <c r="H2733" s="5">
        <v>0</v>
      </c>
      <c r="I2733" s="6">
        <v>710000000</v>
      </c>
      <c r="J2733" s="4" t="s">
        <v>1931</v>
      </c>
      <c r="K2733" s="4" t="s">
        <v>5297</v>
      </c>
      <c r="L2733" s="3" t="s">
        <v>1165</v>
      </c>
      <c r="M2733" s="8" t="s">
        <v>3195</v>
      </c>
      <c r="N2733" s="3" t="s">
        <v>1890</v>
      </c>
      <c r="O2733" s="8" t="s">
        <v>1935</v>
      </c>
      <c r="P2733" s="62">
        <v>778</v>
      </c>
      <c r="Q2733" s="3" t="s">
        <v>3327</v>
      </c>
      <c r="R2733" s="9">
        <f>50+50</f>
        <v>100</v>
      </c>
      <c r="S2733" s="9">
        <v>404.46</v>
      </c>
      <c r="T2733" s="10">
        <v>0</v>
      </c>
      <c r="U2733" s="10">
        <f t="shared" si="1532"/>
        <v>0</v>
      </c>
      <c r="V2733" s="7"/>
      <c r="W2733" s="11">
        <v>2015</v>
      </c>
      <c r="X2733" s="12" t="s">
        <v>6562</v>
      </c>
    </row>
    <row r="2734" spans="1:24" s="13" customFormat="1" ht="75.75" customHeight="1" outlineLevel="1" x14ac:dyDescent="0.2">
      <c r="A2734" s="1" t="s">
        <v>6714</v>
      </c>
      <c r="B2734" s="2" t="s">
        <v>5277</v>
      </c>
      <c r="C2734" s="2" t="s">
        <v>113</v>
      </c>
      <c r="D2734" s="2" t="s">
        <v>3822</v>
      </c>
      <c r="E2734" s="6" t="s">
        <v>112</v>
      </c>
      <c r="F2734" s="52" t="s">
        <v>111</v>
      </c>
      <c r="G2734" s="3" t="s">
        <v>3190</v>
      </c>
      <c r="H2734" s="5">
        <v>0</v>
      </c>
      <c r="I2734" s="6">
        <v>710000000</v>
      </c>
      <c r="J2734" s="4" t="s">
        <v>1931</v>
      </c>
      <c r="K2734" s="4" t="s">
        <v>5297</v>
      </c>
      <c r="L2734" s="3" t="s">
        <v>1165</v>
      </c>
      <c r="M2734" s="8" t="s">
        <v>3195</v>
      </c>
      <c r="N2734" s="3" t="s">
        <v>1890</v>
      </c>
      <c r="O2734" s="8" t="s">
        <v>1935</v>
      </c>
      <c r="P2734" s="62">
        <v>778</v>
      </c>
      <c r="Q2734" s="3" t="s">
        <v>3327</v>
      </c>
      <c r="R2734" s="69">
        <f>45+45</f>
        <v>90</v>
      </c>
      <c r="S2734" s="69">
        <v>404.46</v>
      </c>
      <c r="T2734" s="10">
        <v>0</v>
      </c>
      <c r="U2734" s="10">
        <f t="shared" si="1532"/>
        <v>0</v>
      </c>
      <c r="V2734" s="7"/>
      <c r="W2734" s="1">
        <v>2015</v>
      </c>
      <c r="X2734" s="62" t="s">
        <v>7518</v>
      </c>
    </row>
    <row r="2735" spans="1:24" s="13" customFormat="1" ht="75.75" customHeight="1" outlineLevel="1" x14ac:dyDescent="0.2">
      <c r="A2735" s="1" t="s">
        <v>7911</v>
      </c>
      <c r="B2735" s="2" t="s">
        <v>5277</v>
      </c>
      <c r="C2735" s="2" t="s">
        <v>113</v>
      </c>
      <c r="D2735" s="2" t="s">
        <v>3822</v>
      </c>
      <c r="E2735" s="6" t="s">
        <v>112</v>
      </c>
      <c r="F2735" s="52" t="s">
        <v>111</v>
      </c>
      <c r="G2735" s="3" t="s">
        <v>3190</v>
      </c>
      <c r="H2735" s="5">
        <v>0</v>
      </c>
      <c r="I2735" s="6">
        <v>710000000</v>
      </c>
      <c r="J2735" s="4" t="s">
        <v>1931</v>
      </c>
      <c r="K2735" s="4" t="s">
        <v>756</v>
      </c>
      <c r="L2735" s="3" t="s">
        <v>1165</v>
      </c>
      <c r="M2735" s="8" t="s">
        <v>3195</v>
      </c>
      <c r="N2735" s="3" t="s">
        <v>1890</v>
      </c>
      <c r="O2735" s="8" t="s">
        <v>1935</v>
      </c>
      <c r="P2735" s="62">
        <v>778</v>
      </c>
      <c r="Q2735" s="3" t="s">
        <v>3327</v>
      </c>
      <c r="R2735" s="69">
        <f>30+30</f>
        <v>60</v>
      </c>
      <c r="S2735" s="69">
        <v>404.46</v>
      </c>
      <c r="T2735" s="10">
        <f t="shared" ref="T2735" si="1640">S2735*R2735</f>
        <v>24267.599999999999</v>
      </c>
      <c r="U2735" s="10">
        <f t="shared" ref="U2735" si="1641">T2735*1.12</f>
        <v>27179.712</v>
      </c>
      <c r="V2735" s="7"/>
      <c r="W2735" s="1">
        <v>2015</v>
      </c>
      <c r="X2735" s="62"/>
    </row>
    <row r="2736" spans="1:24" s="13" customFormat="1" ht="76.5" customHeight="1" outlineLevel="1" x14ac:dyDescent="0.2">
      <c r="A2736" s="1" t="s">
        <v>4189</v>
      </c>
      <c r="B2736" s="2" t="s">
        <v>5277</v>
      </c>
      <c r="C2736" s="5" t="s">
        <v>157</v>
      </c>
      <c r="D2736" s="5" t="s">
        <v>156</v>
      </c>
      <c r="E2736" s="6" t="s">
        <v>7618</v>
      </c>
      <c r="F2736" s="2"/>
      <c r="G2736" s="3" t="s">
        <v>3190</v>
      </c>
      <c r="H2736" s="5">
        <v>0</v>
      </c>
      <c r="I2736" s="6">
        <v>710000000</v>
      </c>
      <c r="J2736" s="4" t="s">
        <v>1931</v>
      </c>
      <c r="K2736" s="4" t="s">
        <v>5297</v>
      </c>
      <c r="L2736" s="3" t="s">
        <v>1889</v>
      </c>
      <c r="M2736" s="8" t="s">
        <v>3195</v>
      </c>
      <c r="N2736" s="3" t="s">
        <v>1890</v>
      </c>
      <c r="O2736" s="8" t="s">
        <v>1935</v>
      </c>
      <c r="P2736" s="62">
        <v>625</v>
      </c>
      <c r="Q2736" s="3" t="s">
        <v>5192</v>
      </c>
      <c r="R2736" s="69">
        <v>3</v>
      </c>
      <c r="S2736" s="69">
        <v>348.33</v>
      </c>
      <c r="T2736" s="10">
        <v>0</v>
      </c>
      <c r="U2736" s="10">
        <f t="shared" si="1532"/>
        <v>0</v>
      </c>
      <c r="V2736" s="7"/>
      <c r="W2736" s="1">
        <v>2015</v>
      </c>
      <c r="X2736" s="62">
        <v>11</v>
      </c>
    </row>
    <row r="2737" spans="1:24" s="13" customFormat="1" ht="76.5" customHeight="1" outlineLevel="1" x14ac:dyDescent="0.2">
      <c r="A2737" s="1" t="s">
        <v>7912</v>
      </c>
      <c r="B2737" s="2" t="s">
        <v>5277</v>
      </c>
      <c r="C2737" s="5" t="s">
        <v>157</v>
      </c>
      <c r="D2737" s="5" t="s">
        <v>156</v>
      </c>
      <c r="E2737" s="6" t="s">
        <v>7618</v>
      </c>
      <c r="F2737" s="2"/>
      <c r="G2737" s="3" t="s">
        <v>3190</v>
      </c>
      <c r="H2737" s="5">
        <v>0</v>
      </c>
      <c r="I2737" s="6">
        <v>710000000</v>
      </c>
      <c r="J2737" s="4" t="s">
        <v>1931</v>
      </c>
      <c r="K2737" s="4" t="s">
        <v>756</v>
      </c>
      <c r="L2737" s="3" t="s">
        <v>1889</v>
      </c>
      <c r="M2737" s="8" t="s">
        <v>3195</v>
      </c>
      <c r="N2737" s="3" t="s">
        <v>1890</v>
      </c>
      <c r="O2737" s="8" t="s">
        <v>1935</v>
      </c>
      <c r="P2737" s="62">
        <v>625</v>
      </c>
      <c r="Q2737" s="3" t="s">
        <v>5192</v>
      </c>
      <c r="R2737" s="69">
        <v>3</v>
      </c>
      <c r="S2737" s="69">
        <v>348.33</v>
      </c>
      <c r="T2737" s="10">
        <f t="shared" ref="T2737" si="1642">S2737*R2737</f>
        <v>1044.99</v>
      </c>
      <c r="U2737" s="10">
        <f t="shared" ref="U2737" si="1643">T2737*1.12</f>
        <v>1170.3888000000002</v>
      </c>
      <c r="V2737" s="7"/>
      <c r="W2737" s="1">
        <v>2015</v>
      </c>
      <c r="X2737" s="62"/>
    </row>
    <row r="2738" spans="1:24" s="13" customFormat="1" ht="76.5" customHeight="1" outlineLevel="1" x14ac:dyDescent="0.2">
      <c r="A2738" s="1" t="s">
        <v>4190</v>
      </c>
      <c r="B2738" s="2" t="s">
        <v>5277</v>
      </c>
      <c r="C2738" s="6" t="s">
        <v>155</v>
      </c>
      <c r="D2738" s="6" t="s">
        <v>5515</v>
      </c>
      <c r="E2738" s="6" t="s">
        <v>154</v>
      </c>
      <c r="F2738" s="2"/>
      <c r="G2738" s="3" t="s">
        <v>3190</v>
      </c>
      <c r="H2738" s="5">
        <v>0</v>
      </c>
      <c r="I2738" s="6">
        <v>710000000</v>
      </c>
      <c r="J2738" s="4" t="s">
        <v>1931</v>
      </c>
      <c r="K2738" s="4" t="s">
        <v>5297</v>
      </c>
      <c r="L2738" s="3" t="s">
        <v>1889</v>
      </c>
      <c r="M2738" s="8" t="s">
        <v>3195</v>
      </c>
      <c r="N2738" s="3" t="s">
        <v>1890</v>
      </c>
      <c r="O2738" s="8" t="s">
        <v>1935</v>
      </c>
      <c r="P2738" s="60">
        <v>166</v>
      </c>
      <c r="Q2738" s="3" t="s">
        <v>3324</v>
      </c>
      <c r="R2738" s="69">
        <v>60</v>
      </c>
      <c r="S2738" s="69">
        <v>375</v>
      </c>
      <c r="T2738" s="10">
        <v>0</v>
      </c>
      <c r="U2738" s="10">
        <f t="shared" si="1532"/>
        <v>0</v>
      </c>
      <c r="V2738" s="7"/>
      <c r="W2738" s="1">
        <v>2015</v>
      </c>
      <c r="X2738" s="62">
        <v>11</v>
      </c>
    </row>
    <row r="2739" spans="1:24" s="13" customFormat="1" ht="76.5" customHeight="1" outlineLevel="1" x14ac:dyDescent="0.2">
      <c r="A2739" s="1" t="s">
        <v>7913</v>
      </c>
      <c r="B2739" s="2" t="s">
        <v>5277</v>
      </c>
      <c r="C2739" s="6" t="s">
        <v>155</v>
      </c>
      <c r="D2739" s="6" t="s">
        <v>5515</v>
      </c>
      <c r="E2739" s="6" t="s">
        <v>154</v>
      </c>
      <c r="F2739" s="2"/>
      <c r="G2739" s="3" t="s">
        <v>3190</v>
      </c>
      <c r="H2739" s="5">
        <v>0</v>
      </c>
      <c r="I2739" s="6">
        <v>710000000</v>
      </c>
      <c r="J2739" s="4" t="s">
        <v>1931</v>
      </c>
      <c r="K2739" s="4" t="s">
        <v>756</v>
      </c>
      <c r="L2739" s="3" t="s">
        <v>1889</v>
      </c>
      <c r="M2739" s="8" t="s">
        <v>3195</v>
      </c>
      <c r="N2739" s="3" t="s">
        <v>1890</v>
      </c>
      <c r="O2739" s="8" t="s">
        <v>1935</v>
      </c>
      <c r="P2739" s="60">
        <v>166</v>
      </c>
      <c r="Q2739" s="3" t="s">
        <v>3324</v>
      </c>
      <c r="R2739" s="69">
        <v>60</v>
      </c>
      <c r="S2739" s="69">
        <v>375</v>
      </c>
      <c r="T2739" s="10">
        <f t="shared" ref="T2739" si="1644">S2739*R2739</f>
        <v>22500</v>
      </c>
      <c r="U2739" s="10">
        <f t="shared" ref="U2739" si="1645">T2739*1.12</f>
        <v>25200.000000000004</v>
      </c>
      <c r="V2739" s="7"/>
      <c r="W2739" s="1">
        <v>2015</v>
      </c>
      <c r="X2739" s="62"/>
    </row>
    <row r="2740" spans="1:24" s="13" customFormat="1" ht="76.5" customHeight="1" outlineLevel="1" x14ac:dyDescent="0.2">
      <c r="A2740" s="1" t="s">
        <v>4191</v>
      </c>
      <c r="B2740" s="2" t="s">
        <v>5277</v>
      </c>
      <c r="C2740" s="5" t="s">
        <v>153</v>
      </c>
      <c r="D2740" s="5" t="s">
        <v>152</v>
      </c>
      <c r="E2740" s="5" t="s">
        <v>151</v>
      </c>
      <c r="F2740" s="2" t="s">
        <v>150</v>
      </c>
      <c r="G2740" s="3" t="s">
        <v>3190</v>
      </c>
      <c r="H2740" s="5">
        <v>0</v>
      </c>
      <c r="I2740" s="6">
        <v>710000000</v>
      </c>
      <c r="J2740" s="4" t="s">
        <v>1931</v>
      </c>
      <c r="K2740" s="4" t="s">
        <v>5297</v>
      </c>
      <c r="L2740" s="3" t="s">
        <v>1889</v>
      </c>
      <c r="M2740" s="8" t="s">
        <v>3195</v>
      </c>
      <c r="N2740" s="3" t="s">
        <v>1890</v>
      </c>
      <c r="O2740" s="8" t="s">
        <v>1935</v>
      </c>
      <c r="P2740" s="8">
        <v>796</v>
      </c>
      <c r="Q2740" s="8" t="s">
        <v>3196</v>
      </c>
      <c r="R2740" s="69">
        <v>32</v>
      </c>
      <c r="S2740" s="69">
        <v>2675</v>
      </c>
      <c r="T2740" s="10">
        <v>0</v>
      </c>
      <c r="U2740" s="10">
        <f t="shared" ref="U2740:U2879" si="1646">T2740*1.12</f>
        <v>0</v>
      </c>
      <c r="V2740" s="7"/>
      <c r="W2740" s="1">
        <v>2015</v>
      </c>
      <c r="X2740" s="62">
        <v>11</v>
      </c>
    </row>
    <row r="2741" spans="1:24" s="13" customFormat="1" ht="76.5" customHeight="1" outlineLevel="1" x14ac:dyDescent="0.2">
      <c r="A2741" s="1" t="s">
        <v>7914</v>
      </c>
      <c r="B2741" s="2" t="s">
        <v>5277</v>
      </c>
      <c r="C2741" s="5" t="s">
        <v>153</v>
      </c>
      <c r="D2741" s="5" t="s">
        <v>152</v>
      </c>
      <c r="E2741" s="5" t="s">
        <v>151</v>
      </c>
      <c r="F2741" s="2" t="s">
        <v>150</v>
      </c>
      <c r="G2741" s="3" t="s">
        <v>3190</v>
      </c>
      <c r="H2741" s="5">
        <v>0</v>
      </c>
      <c r="I2741" s="6">
        <v>710000000</v>
      </c>
      <c r="J2741" s="4" t="s">
        <v>1931</v>
      </c>
      <c r="K2741" s="4" t="s">
        <v>756</v>
      </c>
      <c r="L2741" s="3" t="s">
        <v>1889</v>
      </c>
      <c r="M2741" s="8" t="s">
        <v>3195</v>
      </c>
      <c r="N2741" s="3" t="s">
        <v>1890</v>
      </c>
      <c r="O2741" s="8" t="s">
        <v>1935</v>
      </c>
      <c r="P2741" s="8">
        <v>796</v>
      </c>
      <c r="Q2741" s="8" t="s">
        <v>3196</v>
      </c>
      <c r="R2741" s="69">
        <v>32</v>
      </c>
      <c r="S2741" s="69">
        <v>2675</v>
      </c>
      <c r="T2741" s="10">
        <f t="shared" ref="T2741" si="1647">S2741*R2741</f>
        <v>85600</v>
      </c>
      <c r="U2741" s="10">
        <f t="shared" ref="U2741" si="1648">T2741*1.12</f>
        <v>95872.000000000015</v>
      </c>
      <c r="V2741" s="7"/>
      <c r="W2741" s="1">
        <v>2015</v>
      </c>
      <c r="X2741" s="62"/>
    </row>
    <row r="2742" spans="1:24" s="13" customFormat="1" ht="76.5" customHeight="1" outlineLevel="1" x14ac:dyDescent="0.2">
      <c r="A2742" s="1" t="s">
        <v>4192</v>
      </c>
      <c r="B2742" s="2" t="s">
        <v>5277</v>
      </c>
      <c r="C2742" s="5" t="s">
        <v>148</v>
      </c>
      <c r="D2742" s="5" t="s">
        <v>147</v>
      </c>
      <c r="E2742" s="5" t="s">
        <v>146</v>
      </c>
      <c r="F2742" s="2" t="s">
        <v>149</v>
      </c>
      <c r="G2742" s="3" t="s">
        <v>3190</v>
      </c>
      <c r="H2742" s="5">
        <v>0</v>
      </c>
      <c r="I2742" s="6">
        <v>710000000</v>
      </c>
      <c r="J2742" s="4" t="s">
        <v>1931</v>
      </c>
      <c r="K2742" s="4" t="s">
        <v>5297</v>
      </c>
      <c r="L2742" s="3" t="s">
        <v>1889</v>
      </c>
      <c r="M2742" s="8" t="s">
        <v>3195</v>
      </c>
      <c r="N2742" s="3" t="s">
        <v>1890</v>
      </c>
      <c r="O2742" s="8" t="s">
        <v>1935</v>
      </c>
      <c r="P2742" s="8">
        <v>796</v>
      </c>
      <c r="Q2742" s="8" t="s">
        <v>3196</v>
      </c>
      <c r="R2742" s="69">
        <v>2</v>
      </c>
      <c r="S2742" s="69">
        <v>1819</v>
      </c>
      <c r="T2742" s="10">
        <v>0</v>
      </c>
      <c r="U2742" s="10">
        <f t="shared" si="1646"/>
        <v>0</v>
      </c>
      <c r="V2742" s="7"/>
      <c r="W2742" s="1">
        <v>2015</v>
      </c>
      <c r="X2742" s="62">
        <v>11</v>
      </c>
    </row>
    <row r="2743" spans="1:24" s="13" customFormat="1" ht="76.5" customHeight="1" outlineLevel="1" x14ac:dyDescent="0.2">
      <c r="A2743" s="1" t="s">
        <v>7915</v>
      </c>
      <c r="B2743" s="2" t="s">
        <v>5277</v>
      </c>
      <c r="C2743" s="5" t="s">
        <v>148</v>
      </c>
      <c r="D2743" s="5" t="s">
        <v>147</v>
      </c>
      <c r="E2743" s="5" t="s">
        <v>146</v>
      </c>
      <c r="F2743" s="2" t="s">
        <v>149</v>
      </c>
      <c r="G2743" s="3" t="s">
        <v>3190</v>
      </c>
      <c r="H2743" s="5">
        <v>0</v>
      </c>
      <c r="I2743" s="6">
        <v>710000000</v>
      </c>
      <c r="J2743" s="4" t="s">
        <v>1931</v>
      </c>
      <c r="K2743" s="4" t="s">
        <v>756</v>
      </c>
      <c r="L2743" s="3" t="s">
        <v>1889</v>
      </c>
      <c r="M2743" s="8" t="s">
        <v>3195</v>
      </c>
      <c r="N2743" s="3" t="s">
        <v>1890</v>
      </c>
      <c r="O2743" s="8" t="s">
        <v>1935</v>
      </c>
      <c r="P2743" s="8">
        <v>796</v>
      </c>
      <c r="Q2743" s="8" t="s">
        <v>3196</v>
      </c>
      <c r="R2743" s="69">
        <v>2</v>
      </c>
      <c r="S2743" s="69">
        <v>1819</v>
      </c>
      <c r="T2743" s="10">
        <f t="shared" ref="T2743" si="1649">S2743*R2743</f>
        <v>3638</v>
      </c>
      <c r="U2743" s="10">
        <f t="shared" ref="U2743" si="1650">T2743*1.12</f>
        <v>4074.5600000000004</v>
      </c>
      <c r="V2743" s="7"/>
      <c r="W2743" s="1">
        <v>2015</v>
      </c>
      <c r="X2743" s="62"/>
    </row>
    <row r="2744" spans="1:24" s="13" customFormat="1" ht="76.5" customHeight="1" outlineLevel="1" x14ac:dyDescent="0.2">
      <c r="A2744" s="1" t="s">
        <v>4193</v>
      </c>
      <c r="B2744" s="2" t="s">
        <v>5277</v>
      </c>
      <c r="C2744" s="5" t="s">
        <v>148</v>
      </c>
      <c r="D2744" s="5" t="s">
        <v>147</v>
      </c>
      <c r="E2744" s="5" t="s">
        <v>146</v>
      </c>
      <c r="F2744" s="2" t="s">
        <v>145</v>
      </c>
      <c r="G2744" s="3" t="s">
        <v>3190</v>
      </c>
      <c r="H2744" s="5">
        <v>0</v>
      </c>
      <c r="I2744" s="6">
        <v>710000000</v>
      </c>
      <c r="J2744" s="4" t="s">
        <v>1931</v>
      </c>
      <c r="K2744" s="4" t="s">
        <v>5297</v>
      </c>
      <c r="L2744" s="3" t="s">
        <v>1889</v>
      </c>
      <c r="M2744" s="8" t="s">
        <v>3195</v>
      </c>
      <c r="N2744" s="3" t="s">
        <v>1890</v>
      </c>
      <c r="O2744" s="8" t="s">
        <v>1935</v>
      </c>
      <c r="P2744" s="8">
        <v>796</v>
      </c>
      <c r="Q2744" s="8" t="s">
        <v>3196</v>
      </c>
      <c r="R2744" s="69">
        <v>2</v>
      </c>
      <c r="S2744" s="69">
        <v>1926</v>
      </c>
      <c r="T2744" s="10">
        <v>0</v>
      </c>
      <c r="U2744" s="10">
        <f t="shared" si="1646"/>
        <v>0</v>
      </c>
      <c r="V2744" s="7"/>
      <c r="W2744" s="1">
        <v>2015</v>
      </c>
      <c r="X2744" s="62">
        <v>11</v>
      </c>
    </row>
    <row r="2745" spans="1:24" s="13" customFormat="1" ht="76.5" customHeight="1" outlineLevel="1" x14ac:dyDescent="0.2">
      <c r="A2745" s="1" t="s">
        <v>7916</v>
      </c>
      <c r="B2745" s="2" t="s">
        <v>5277</v>
      </c>
      <c r="C2745" s="5" t="s">
        <v>148</v>
      </c>
      <c r="D2745" s="5" t="s">
        <v>147</v>
      </c>
      <c r="E2745" s="5" t="s">
        <v>146</v>
      </c>
      <c r="F2745" s="2" t="s">
        <v>145</v>
      </c>
      <c r="G2745" s="3" t="s">
        <v>3190</v>
      </c>
      <c r="H2745" s="5">
        <v>0</v>
      </c>
      <c r="I2745" s="6">
        <v>710000000</v>
      </c>
      <c r="J2745" s="4" t="s">
        <v>1931</v>
      </c>
      <c r="K2745" s="4" t="s">
        <v>756</v>
      </c>
      <c r="L2745" s="3" t="s">
        <v>1889</v>
      </c>
      <c r="M2745" s="8" t="s">
        <v>3195</v>
      </c>
      <c r="N2745" s="3" t="s">
        <v>1890</v>
      </c>
      <c r="O2745" s="8" t="s">
        <v>1935</v>
      </c>
      <c r="P2745" s="8">
        <v>796</v>
      </c>
      <c r="Q2745" s="8" t="s">
        <v>3196</v>
      </c>
      <c r="R2745" s="69">
        <v>2</v>
      </c>
      <c r="S2745" s="69">
        <v>1926</v>
      </c>
      <c r="T2745" s="10">
        <f t="shared" ref="T2745" si="1651">S2745*R2745</f>
        <v>3852</v>
      </c>
      <c r="U2745" s="10">
        <f t="shared" ref="U2745" si="1652">T2745*1.12</f>
        <v>4314.2400000000007</v>
      </c>
      <c r="V2745" s="7"/>
      <c r="W2745" s="1">
        <v>2015</v>
      </c>
      <c r="X2745" s="62"/>
    </row>
    <row r="2746" spans="1:24" s="13" customFormat="1" ht="76.5" customHeight="1" outlineLevel="1" x14ac:dyDescent="0.2">
      <c r="A2746" s="1" t="s">
        <v>4194</v>
      </c>
      <c r="B2746" s="2" t="s">
        <v>5277</v>
      </c>
      <c r="C2746" s="2" t="s">
        <v>144</v>
      </c>
      <c r="D2746" s="70" t="s">
        <v>140</v>
      </c>
      <c r="E2746" s="70" t="s">
        <v>143</v>
      </c>
      <c r="F2746" s="2" t="s">
        <v>142</v>
      </c>
      <c r="G2746" s="3" t="s">
        <v>3190</v>
      </c>
      <c r="H2746" s="5">
        <v>0</v>
      </c>
      <c r="I2746" s="6">
        <v>710000000</v>
      </c>
      <c r="J2746" s="4" t="s">
        <v>1931</v>
      </c>
      <c r="K2746" s="4" t="s">
        <v>5297</v>
      </c>
      <c r="L2746" s="3" t="s">
        <v>1889</v>
      </c>
      <c r="M2746" s="8" t="s">
        <v>3195</v>
      </c>
      <c r="N2746" s="3" t="s">
        <v>1890</v>
      </c>
      <c r="O2746" s="8" t="s">
        <v>1935</v>
      </c>
      <c r="P2746" s="8">
        <v>796</v>
      </c>
      <c r="Q2746" s="8" t="s">
        <v>3196</v>
      </c>
      <c r="R2746" s="69">
        <v>5</v>
      </c>
      <c r="S2746" s="69">
        <v>4171.3999999999996</v>
      </c>
      <c r="T2746" s="10">
        <v>0</v>
      </c>
      <c r="U2746" s="10">
        <f t="shared" si="1646"/>
        <v>0</v>
      </c>
      <c r="V2746" s="7"/>
      <c r="W2746" s="1">
        <v>2015</v>
      </c>
      <c r="X2746" s="62">
        <v>11</v>
      </c>
    </row>
    <row r="2747" spans="1:24" s="13" customFormat="1" ht="76.5" customHeight="1" outlineLevel="1" x14ac:dyDescent="0.2">
      <c r="A2747" s="1" t="s">
        <v>7917</v>
      </c>
      <c r="B2747" s="2" t="s">
        <v>5277</v>
      </c>
      <c r="C2747" s="2" t="s">
        <v>144</v>
      </c>
      <c r="D2747" s="70" t="s">
        <v>140</v>
      </c>
      <c r="E2747" s="70" t="s">
        <v>143</v>
      </c>
      <c r="F2747" s="2" t="s">
        <v>142</v>
      </c>
      <c r="G2747" s="3" t="s">
        <v>3190</v>
      </c>
      <c r="H2747" s="5">
        <v>0</v>
      </c>
      <c r="I2747" s="6">
        <v>710000000</v>
      </c>
      <c r="J2747" s="4" t="s">
        <v>1931</v>
      </c>
      <c r="K2747" s="4" t="s">
        <v>756</v>
      </c>
      <c r="L2747" s="3" t="s">
        <v>1889</v>
      </c>
      <c r="M2747" s="8" t="s">
        <v>3195</v>
      </c>
      <c r="N2747" s="3" t="s">
        <v>1890</v>
      </c>
      <c r="O2747" s="8" t="s">
        <v>1935</v>
      </c>
      <c r="P2747" s="8">
        <v>796</v>
      </c>
      <c r="Q2747" s="8" t="s">
        <v>3196</v>
      </c>
      <c r="R2747" s="69">
        <v>5</v>
      </c>
      <c r="S2747" s="69">
        <v>4171.3999999999996</v>
      </c>
      <c r="T2747" s="10">
        <f t="shared" ref="T2747" si="1653">S2747*R2747</f>
        <v>20857</v>
      </c>
      <c r="U2747" s="10">
        <f t="shared" ref="U2747" si="1654">T2747*1.12</f>
        <v>23359.840000000004</v>
      </c>
      <c r="V2747" s="7"/>
      <c r="W2747" s="1">
        <v>2015</v>
      </c>
      <c r="X2747" s="62"/>
    </row>
    <row r="2748" spans="1:24" s="13" customFormat="1" ht="76.5" customHeight="1" outlineLevel="1" x14ac:dyDescent="0.2">
      <c r="A2748" s="1" t="s">
        <v>4195</v>
      </c>
      <c r="B2748" s="2" t="s">
        <v>5277</v>
      </c>
      <c r="C2748" s="6" t="s">
        <v>141</v>
      </c>
      <c r="D2748" s="6" t="s">
        <v>140</v>
      </c>
      <c r="E2748" s="6" t="s">
        <v>139</v>
      </c>
      <c r="F2748" s="2" t="s">
        <v>138</v>
      </c>
      <c r="G2748" s="3" t="s">
        <v>3190</v>
      </c>
      <c r="H2748" s="5">
        <v>0</v>
      </c>
      <c r="I2748" s="6">
        <v>710000000</v>
      </c>
      <c r="J2748" s="4" t="s">
        <v>1931</v>
      </c>
      <c r="K2748" s="4" t="s">
        <v>5297</v>
      </c>
      <c r="L2748" s="3" t="s">
        <v>1889</v>
      </c>
      <c r="M2748" s="8" t="s">
        <v>3195</v>
      </c>
      <c r="N2748" s="3" t="s">
        <v>1890</v>
      </c>
      <c r="O2748" s="8" t="s">
        <v>1935</v>
      </c>
      <c r="P2748" s="8">
        <v>796</v>
      </c>
      <c r="Q2748" s="8" t="s">
        <v>3196</v>
      </c>
      <c r="R2748" s="69">
        <v>5</v>
      </c>
      <c r="S2748" s="69">
        <v>6675</v>
      </c>
      <c r="T2748" s="10">
        <v>0</v>
      </c>
      <c r="U2748" s="10">
        <f t="shared" si="1646"/>
        <v>0</v>
      </c>
      <c r="V2748" s="7"/>
      <c r="W2748" s="1">
        <v>2015</v>
      </c>
      <c r="X2748" s="62">
        <v>11</v>
      </c>
    </row>
    <row r="2749" spans="1:24" s="13" customFormat="1" ht="76.5" customHeight="1" outlineLevel="1" x14ac:dyDescent="0.2">
      <c r="A2749" s="1" t="s">
        <v>7918</v>
      </c>
      <c r="B2749" s="2" t="s">
        <v>5277</v>
      </c>
      <c r="C2749" s="6" t="s">
        <v>141</v>
      </c>
      <c r="D2749" s="6" t="s">
        <v>140</v>
      </c>
      <c r="E2749" s="6" t="s">
        <v>139</v>
      </c>
      <c r="F2749" s="2" t="s">
        <v>138</v>
      </c>
      <c r="G2749" s="3" t="s">
        <v>3190</v>
      </c>
      <c r="H2749" s="5">
        <v>0</v>
      </c>
      <c r="I2749" s="6">
        <v>710000000</v>
      </c>
      <c r="J2749" s="4" t="s">
        <v>1931</v>
      </c>
      <c r="K2749" s="4" t="s">
        <v>756</v>
      </c>
      <c r="L2749" s="3" t="s">
        <v>1889</v>
      </c>
      <c r="M2749" s="8" t="s">
        <v>3195</v>
      </c>
      <c r="N2749" s="3" t="s">
        <v>1890</v>
      </c>
      <c r="O2749" s="8" t="s">
        <v>1935</v>
      </c>
      <c r="P2749" s="8">
        <v>796</v>
      </c>
      <c r="Q2749" s="8" t="s">
        <v>3196</v>
      </c>
      <c r="R2749" s="69">
        <v>5</v>
      </c>
      <c r="S2749" s="69">
        <v>6675</v>
      </c>
      <c r="T2749" s="10">
        <f t="shared" ref="T2749" si="1655">S2749*R2749</f>
        <v>33375</v>
      </c>
      <c r="U2749" s="10">
        <f t="shared" ref="U2749" si="1656">T2749*1.12</f>
        <v>37380</v>
      </c>
      <c r="V2749" s="7"/>
      <c r="W2749" s="1">
        <v>2015</v>
      </c>
      <c r="X2749" s="62"/>
    </row>
    <row r="2750" spans="1:24" s="13" customFormat="1" ht="76.5" customHeight="1" outlineLevel="1" x14ac:dyDescent="0.2">
      <c r="A2750" s="1" t="s">
        <v>4196</v>
      </c>
      <c r="B2750" s="2" t="s">
        <v>5277</v>
      </c>
      <c r="C2750" s="2" t="s">
        <v>2761</v>
      </c>
      <c r="D2750" s="2" t="s">
        <v>5367</v>
      </c>
      <c r="E2750" s="6" t="s">
        <v>5405</v>
      </c>
      <c r="F2750" s="52"/>
      <c r="G2750" s="3" t="s">
        <v>3190</v>
      </c>
      <c r="H2750" s="5">
        <v>0</v>
      </c>
      <c r="I2750" s="6">
        <v>710000000</v>
      </c>
      <c r="J2750" s="4" t="s">
        <v>1931</v>
      </c>
      <c r="K2750" s="4" t="s">
        <v>5297</v>
      </c>
      <c r="L2750" s="3" t="s">
        <v>1889</v>
      </c>
      <c r="M2750" s="8" t="s">
        <v>3195</v>
      </c>
      <c r="N2750" s="3" t="s">
        <v>1890</v>
      </c>
      <c r="O2750" s="8" t="s">
        <v>1935</v>
      </c>
      <c r="P2750" s="8">
        <v>796</v>
      </c>
      <c r="Q2750" s="8" t="s">
        <v>3196</v>
      </c>
      <c r="R2750" s="69">
        <v>62</v>
      </c>
      <c r="S2750" s="69">
        <v>369.19</v>
      </c>
      <c r="T2750" s="10">
        <v>0</v>
      </c>
      <c r="U2750" s="10">
        <f t="shared" si="1646"/>
        <v>0</v>
      </c>
      <c r="V2750" s="7"/>
      <c r="W2750" s="1">
        <v>2015</v>
      </c>
      <c r="X2750" s="62">
        <v>11</v>
      </c>
    </row>
    <row r="2751" spans="1:24" s="13" customFormat="1" ht="76.5" customHeight="1" outlineLevel="1" x14ac:dyDescent="0.2">
      <c r="A2751" s="1" t="s">
        <v>7919</v>
      </c>
      <c r="B2751" s="2" t="s">
        <v>5277</v>
      </c>
      <c r="C2751" s="2" t="s">
        <v>2761</v>
      </c>
      <c r="D2751" s="2" t="s">
        <v>5367</v>
      </c>
      <c r="E2751" s="6" t="s">
        <v>5405</v>
      </c>
      <c r="F2751" s="52"/>
      <c r="G2751" s="3" t="s">
        <v>3190</v>
      </c>
      <c r="H2751" s="5">
        <v>0</v>
      </c>
      <c r="I2751" s="6">
        <v>710000000</v>
      </c>
      <c r="J2751" s="4" t="s">
        <v>1931</v>
      </c>
      <c r="K2751" s="4" t="s">
        <v>756</v>
      </c>
      <c r="L2751" s="3" t="s">
        <v>1889</v>
      </c>
      <c r="M2751" s="8" t="s">
        <v>3195</v>
      </c>
      <c r="N2751" s="3" t="s">
        <v>1890</v>
      </c>
      <c r="O2751" s="8" t="s">
        <v>1935</v>
      </c>
      <c r="P2751" s="8">
        <v>796</v>
      </c>
      <c r="Q2751" s="8" t="s">
        <v>3196</v>
      </c>
      <c r="R2751" s="69">
        <v>62</v>
      </c>
      <c r="S2751" s="69">
        <v>369.19</v>
      </c>
      <c r="T2751" s="10">
        <f t="shared" ref="T2751" si="1657">S2751*R2751</f>
        <v>22889.78</v>
      </c>
      <c r="U2751" s="10">
        <f t="shared" ref="U2751" si="1658">T2751*1.12</f>
        <v>25636.553600000003</v>
      </c>
      <c r="V2751" s="7"/>
      <c r="W2751" s="1">
        <v>2015</v>
      </c>
      <c r="X2751" s="62"/>
    </row>
    <row r="2752" spans="1:24" s="13" customFormat="1" ht="76.5" customHeight="1" outlineLevel="1" x14ac:dyDescent="0.2">
      <c r="A2752" s="1" t="s">
        <v>4197</v>
      </c>
      <c r="B2752" s="2" t="s">
        <v>5277</v>
      </c>
      <c r="C2752" s="2" t="s">
        <v>2778</v>
      </c>
      <c r="D2752" s="2" t="s">
        <v>5367</v>
      </c>
      <c r="E2752" s="6" t="s">
        <v>5418</v>
      </c>
      <c r="F2752" s="52"/>
      <c r="G2752" s="3" t="s">
        <v>3190</v>
      </c>
      <c r="H2752" s="5">
        <v>0</v>
      </c>
      <c r="I2752" s="6">
        <v>710000000</v>
      </c>
      <c r="J2752" s="4" t="s">
        <v>1931</v>
      </c>
      <c r="K2752" s="4" t="s">
        <v>5297</v>
      </c>
      <c r="L2752" s="3" t="s">
        <v>1889</v>
      </c>
      <c r="M2752" s="8" t="s">
        <v>3195</v>
      </c>
      <c r="N2752" s="3" t="s">
        <v>1890</v>
      </c>
      <c r="O2752" s="8" t="s">
        <v>1935</v>
      </c>
      <c r="P2752" s="8">
        <v>796</v>
      </c>
      <c r="Q2752" s="8" t="s">
        <v>3196</v>
      </c>
      <c r="R2752" s="69">
        <v>2</v>
      </c>
      <c r="S2752" s="69">
        <v>1500</v>
      </c>
      <c r="T2752" s="10">
        <v>0</v>
      </c>
      <c r="U2752" s="10">
        <f t="shared" si="1646"/>
        <v>0</v>
      </c>
      <c r="V2752" s="7"/>
      <c r="W2752" s="1">
        <v>2015</v>
      </c>
      <c r="X2752" s="62">
        <v>11</v>
      </c>
    </row>
    <row r="2753" spans="1:24" s="13" customFormat="1" ht="76.5" customHeight="1" outlineLevel="1" x14ac:dyDescent="0.2">
      <c r="A2753" s="1" t="s">
        <v>7920</v>
      </c>
      <c r="B2753" s="2" t="s">
        <v>5277</v>
      </c>
      <c r="C2753" s="2" t="s">
        <v>2778</v>
      </c>
      <c r="D2753" s="2" t="s">
        <v>5367</v>
      </c>
      <c r="E2753" s="6" t="s">
        <v>5418</v>
      </c>
      <c r="F2753" s="52"/>
      <c r="G2753" s="3" t="s">
        <v>3190</v>
      </c>
      <c r="H2753" s="5">
        <v>0</v>
      </c>
      <c r="I2753" s="6">
        <v>710000000</v>
      </c>
      <c r="J2753" s="4" t="s">
        <v>1931</v>
      </c>
      <c r="K2753" s="4" t="s">
        <v>756</v>
      </c>
      <c r="L2753" s="3" t="s">
        <v>1889</v>
      </c>
      <c r="M2753" s="8" t="s">
        <v>3195</v>
      </c>
      <c r="N2753" s="3" t="s">
        <v>1890</v>
      </c>
      <c r="O2753" s="8" t="s">
        <v>1935</v>
      </c>
      <c r="P2753" s="8">
        <v>796</v>
      </c>
      <c r="Q2753" s="8" t="s">
        <v>3196</v>
      </c>
      <c r="R2753" s="69">
        <v>2</v>
      </c>
      <c r="S2753" s="69">
        <v>1500</v>
      </c>
      <c r="T2753" s="10">
        <f t="shared" ref="T2753" si="1659">S2753*R2753</f>
        <v>3000</v>
      </c>
      <c r="U2753" s="10">
        <f t="shared" ref="U2753" si="1660">T2753*1.12</f>
        <v>3360.0000000000005</v>
      </c>
      <c r="V2753" s="7"/>
      <c r="W2753" s="1">
        <v>2015</v>
      </c>
      <c r="X2753" s="62"/>
    </row>
    <row r="2754" spans="1:24" s="13" customFormat="1" ht="76.5" customHeight="1" outlineLevel="1" x14ac:dyDescent="0.2">
      <c r="A2754" s="1" t="s">
        <v>4198</v>
      </c>
      <c r="B2754" s="2" t="s">
        <v>5277</v>
      </c>
      <c r="C2754" s="2" t="s">
        <v>137</v>
      </c>
      <c r="D2754" s="2" t="s">
        <v>5398</v>
      </c>
      <c r="E2754" s="6" t="s">
        <v>136</v>
      </c>
      <c r="F2754" s="52" t="s">
        <v>135</v>
      </c>
      <c r="G2754" s="3" t="s">
        <v>3190</v>
      </c>
      <c r="H2754" s="5">
        <v>0</v>
      </c>
      <c r="I2754" s="6">
        <v>710000000</v>
      </c>
      <c r="J2754" s="4" t="s">
        <v>1931</v>
      </c>
      <c r="K2754" s="4" t="s">
        <v>5297</v>
      </c>
      <c r="L2754" s="3" t="s">
        <v>1889</v>
      </c>
      <c r="M2754" s="8" t="s">
        <v>3195</v>
      </c>
      <c r="N2754" s="3" t="s">
        <v>1890</v>
      </c>
      <c r="O2754" s="8" t="s">
        <v>1935</v>
      </c>
      <c r="P2754" s="8">
        <v>796</v>
      </c>
      <c r="Q2754" s="8" t="s">
        <v>3196</v>
      </c>
      <c r="R2754" s="69">
        <v>2</v>
      </c>
      <c r="S2754" s="69">
        <v>4500</v>
      </c>
      <c r="T2754" s="10">
        <v>0</v>
      </c>
      <c r="U2754" s="10">
        <f t="shared" si="1646"/>
        <v>0</v>
      </c>
      <c r="V2754" s="7"/>
      <c r="W2754" s="1">
        <v>2015</v>
      </c>
      <c r="X2754" s="62">
        <v>11</v>
      </c>
    </row>
    <row r="2755" spans="1:24" s="13" customFormat="1" ht="76.5" customHeight="1" outlineLevel="1" x14ac:dyDescent="0.2">
      <c r="A2755" s="1" t="s">
        <v>7921</v>
      </c>
      <c r="B2755" s="2" t="s">
        <v>5277</v>
      </c>
      <c r="C2755" s="2" t="s">
        <v>137</v>
      </c>
      <c r="D2755" s="2" t="s">
        <v>5398</v>
      </c>
      <c r="E2755" s="6" t="s">
        <v>136</v>
      </c>
      <c r="F2755" s="52" t="s">
        <v>135</v>
      </c>
      <c r="G2755" s="3" t="s">
        <v>3190</v>
      </c>
      <c r="H2755" s="5">
        <v>0</v>
      </c>
      <c r="I2755" s="6">
        <v>710000000</v>
      </c>
      <c r="J2755" s="4" t="s">
        <v>1931</v>
      </c>
      <c r="K2755" s="4" t="s">
        <v>756</v>
      </c>
      <c r="L2755" s="3" t="s">
        <v>1889</v>
      </c>
      <c r="M2755" s="8" t="s">
        <v>3195</v>
      </c>
      <c r="N2755" s="3" t="s">
        <v>1890</v>
      </c>
      <c r="O2755" s="8" t="s">
        <v>1935</v>
      </c>
      <c r="P2755" s="8">
        <v>796</v>
      </c>
      <c r="Q2755" s="8" t="s">
        <v>3196</v>
      </c>
      <c r="R2755" s="69">
        <v>2</v>
      </c>
      <c r="S2755" s="69">
        <v>4500</v>
      </c>
      <c r="T2755" s="10">
        <f t="shared" ref="T2755:T2756" si="1661">S2755*R2755</f>
        <v>9000</v>
      </c>
      <c r="U2755" s="10">
        <f t="shared" ref="U2755:U2756" si="1662">T2755*1.12</f>
        <v>10080.000000000002</v>
      </c>
      <c r="V2755" s="7"/>
      <c r="W2755" s="1">
        <v>2015</v>
      </c>
      <c r="X2755" s="62"/>
    </row>
    <row r="2756" spans="1:24" s="13" customFormat="1" ht="76.5" customHeight="1" outlineLevel="1" x14ac:dyDescent="0.2">
      <c r="A2756" s="1" t="s">
        <v>8116</v>
      </c>
      <c r="B2756" s="38" t="s">
        <v>5277</v>
      </c>
      <c r="C2756" s="2" t="s">
        <v>2123</v>
      </c>
      <c r="D2756" s="2" t="s">
        <v>5367</v>
      </c>
      <c r="E2756" s="6" t="s">
        <v>2124</v>
      </c>
      <c r="F2756" s="52" t="s">
        <v>135</v>
      </c>
      <c r="G2756" s="50" t="s">
        <v>3190</v>
      </c>
      <c r="H2756" s="5">
        <v>0</v>
      </c>
      <c r="I2756" s="6">
        <v>710000000</v>
      </c>
      <c r="J2756" s="4" t="s">
        <v>1931</v>
      </c>
      <c r="K2756" s="4" t="s">
        <v>5297</v>
      </c>
      <c r="L2756" s="3" t="s">
        <v>1889</v>
      </c>
      <c r="M2756" s="8" t="s">
        <v>3195</v>
      </c>
      <c r="N2756" s="3" t="s">
        <v>1890</v>
      </c>
      <c r="O2756" s="8" t="s">
        <v>1935</v>
      </c>
      <c r="P2756" s="8">
        <v>796</v>
      </c>
      <c r="Q2756" s="8" t="s">
        <v>3196</v>
      </c>
      <c r="R2756" s="9">
        <v>1</v>
      </c>
      <c r="S2756" s="9">
        <v>3900</v>
      </c>
      <c r="T2756" s="10">
        <f t="shared" si="1661"/>
        <v>3900</v>
      </c>
      <c r="U2756" s="10">
        <f t="shared" si="1662"/>
        <v>4368</v>
      </c>
      <c r="V2756" s="7"/>
      <c r="W2756" s="11">
        <v>2015</v>
      </c>
      <c r="X2756" s="12"/>
    </row>
    <row r="2757" spans="1:24" s="13" customFormat="1" ht="76.5" customHeight="1" outlineLevel="1" x14ac:dyDescent="0.2">
      <c r="A2757" s="1" t="s">
        <v>4199</v>
      </c>
      <c r="B2757" s="2" t="s">
        <v>5277</v>
      </c>
      <c r="C2757" s="6" t="s">
        <v>132</v>
      </c>
      <c r="D2757" s="6" t="s">
        <v>5379</v>
      </c>
      <c r="E2757" s="6" t="s">
        <v>131</v>
      </c>
      <c r="F2757" s="52" t="s">
        <v>134</v>
      </c>
      <c r="G2757" s="3" t="s">
        <v>3190</v>
      </c>
      <c r="H2757" s="5">
        <v>0</v>
      </c>
      <c r="I2757" s="6">
        <v>710000000</v>
      </c>
      <c r="J2757" s="4" t="s">
        <v>1931</v>
      </c>
      <c r="K2757" s="4" t="s">
        <v>5297</v>
      </c>
      <c r="L2757" s="3" t="s">
        <v>1889</v>
      </c>
      <c r="M2757" s="8" t="s">
        <v>3195</v>
      </c>
      <c r="N2757" s="3" t="s">
        <v>1890</v>
      </c>
      <c r="O2757" s="8" t="s">
        <v>1935</v>
      </c>
      <c r="P2757" s="8">
        <v>796</v>
      </c>
      <c r="Q2757" s="8" t="s">
        <v>3196</v>
      </c>
      <c r="R2757" s="69">
        <v>2</v>
      </c>
      <c r="S2757" s="69">
        <v>31000</v>
      </c>
      <c r="T2757" s="10">
        <v>0</v>
      </c>
      <c r="U2757" s="10">
        <f t="shared" si="1646"/>
        <v>0</v>
      </c>
      <c r="V2757" s="7"/>
      <c r="W2757" s="1">
        <v>2015</v>
      </c>
      <c r="X2757" s="62">
        <v>11</v>
      </c>
    </row>
    <row r="2758" spans="1:24" s="13" customFormat="1" ht="76.5" customHeight="1" outlineLevel="1" x14ac:dyDescent="0.2">
      <c r="A2758" s="1" t="s">
        <v>7922</v>
      </c>
      <c r="B2758" s="2" t="s">
        <v>5277</v>
      </c>
      <c r="C2758" s="6" t="s">
        <v>132</v>
      </c>
      <c r="D2758" s="6" t="s">
        <v>5379</v>
      </c>
      <c r="E2758" s="6" t="s">
        <v>131</v>
      </c>
      <c r="F2758" s="52" t="s">
        <v>134</v>
      </c>
      <c r="G2758" s="3" t="s">
        <v>3190</v>
      </c>
      <c r="H2758" s="5">
        <v>0</v>
      </c>
      <c r="I2758" s="6">
        <v>710000000</v>
      </c>
      <c r="J2758" s="4" t="s">
        <v>1931</v>
      </c>
      <c r="K2758" s="4" t="s">
        <v>756</v>
      </c>
      <c r="L2758" s="3" t="s">
        <v>1889</v>
      </c>
      <c r="M2758" s="8" t="s">
        <v>3195</v>
      </c>
      <c r="N2758" s="3" t="s">
        <v>1890</v>
      </c>
      <c r="O2758" s="8" t="s">
        <v>1935</v>
      </c>
      <c r="P2758" s="8">
        <v>796</v>
      </c>
      <c r="Q2758" s="8" t="s">
        <v>3196</v>
      </c>
      <c r="R2758" s="69">
        <v>2</v>
      </c>
      <c r="S2758" s="69">
        <v>31000</v>
      </c>
      <c r="T2758" s="10">
        <f t="shared" ref="T2758" si="1663">S2758*R2758</f>
        <v>62000</v>
      </c>
      <c r="U2758" s="10">
        <f t="shared" ref="U2758" si="1664">T2758*1.12</f>
        <v>69440</v>
      </c>
      <c r="V2758" s="7"/>
      <c r="W2758" s="1">
        <v>2015</v>
      </c>
      <c r="X2758" s="62"/>
    </row>
    <row r="2759" spans="1:24" s="13" customFormat="1" ht="76.5" customHeight="1" outlineLevel="1" x14ac:dyDescent="0.2">
      <c r="A2759" s="1" t="s">
        <v>3076</v>
      </c>
      <c r="B2759" s="2" t="s">
        <v>5277</v>
      </c>
      <c r="C2759" s="6" t="s">
        <v>132</v>
      </c>
      <c r="D2759" s="6" t="s">
        <v>5379</v>
      </c>
      <c r="E2759" s="6" t="s">
        <v>131</v>
      </c>
      <c r="F2759" s="52" t="s">
        <v>133</v>
      </c>
      <c r="G2759" s="3" t="s">
        <v>3190</v>
      </c>
      <c r="H2759" s="5">
        <v>0</v>
      </c>
      <c r="I2759" s="6">
        <v>710000000</v>
      </c>
      <c r="J2759" s="4" t="s">
        <v>1931</v>
      </c>
      <c r="K2759" s="4" t="s">
        <v>5297</v>
      </c>
      <c r="L2759" s="3" t="s">
        <v>1889</v>
      </c>
      <c r="M2759" s="8" t="s">
        <v>3195</v>
      </c>
      <c r="N2759" s="3" t="s">
        <v>1890</v>
      </c>
      <c r="O2759" s="8" t="s">
        <v>1935</v>
      </c>
      <c r="P2759" s="8">
        <v>796</v>
      </c>
      <c r="Q2759" s="8" t="s">
        <v>3196</v>
      </c>
      <c r="R2759" s="69">
        <v>2</v>
      </c>
      <c r="S2759" s="69">
        <v>25000</v>
      </c>
      <c r="T2759" s="10">
        <v>0</v>
      </c>
      <c r="U2759" s="10">
        <f t="shared" si="1646"/>
        <v>0</v>
      </c>
      <c r="V2759" s="7"/>
      <c r="W2759" s="1">
        <v>2015</v>
      </c>
      <c r="X2759" s="62">
        <v>11</v>
      </c>
    </row>
    <row r="2760" spans="1:24" s="13" customFormat="1" ht="76.5" customHeight="1" outlineLevel="1" x14ac:dyDescent="0.2">
      <c r="A2760" s="1" t="s">
        <v>7923</v>
      </c>
      <c r="B2760" s="2" t="s">
        <v>5277</v>
      </c>
      <c r="C2760" s="6" t="s">
        <v>132</v>
      </c>
      <c r="D2760" s="6" t="s">
        <v>5379</v>
      </c>
      <c r="E2760" s="6" t="s">
        <v>131</v>
      </c>
      <c r="F2760" s="52" t="s">
        <v>133</v>
      </c>
      <c r="G2760" s="3" t="s">
        <v>3190</v>
      </c>
      <c r="H2760" s="5">
        <v>0</v>
      </c>
      <c r="I2760" s="6">
        <v>710000000</v>
      </c>
      <c r="J2760" s="4" t="s">
        <v>1931</v>
      </c>
      <c r="K2760" s="4" t="s">
        <v>756</v>
      </c>
      <c r="L2760" s="3" t="s">
        <v>1889</v>
      </c>
      <c r="M2760" s="8" t="s">
        <v>3195</v>
      </c>
      <c r="N2760" s="3" t="s">
        <v>1890</v>
      </c>
      <c r="O2760" s="8" t="s">
        <v>1935</v>
      </c>
      <c r="P2760" s="8">
        <v>796</v>
      </c>
      <c r="Q2760" s="8" t="s">
        <v>3196</v>
      </c>
      <c r="R2760" s="69">
        <v>2</v>
      </c>
      <c r="S2760" s="69">
        <v>25000</v>
      </c>
      <c r="T2760" s="10">
        <f t="shared" ref="T2760" si="1665">S2760*R2760</f>
        <v>50000</v>
      </c>
      <c r="U2760" s="10">
        <f t="shared" ref="U2760" si="1666">T2760*1.12</f>
        <v>56000.000000000007</v>
      </c>
      <c r="V2760" s="7"/>
      <c r="W2760" s="1">
        <v>2015</v>
      </c>
      <c r="X2760" s="62"/>
    </row>
    <row r="2761" spans="1:24" s="13" customFormat="1" ht="76.5" customHeight="1" outlineLevel="1" x14ac:dyDescent="0.2">
      <c r="A2761" s="1" t="s">
        <v>5134</v>
      </c>
      <c r="B2761" s="2" t="s">
        <v>5277</v>
      </c>
      <c r="C2761" s="6" t="s">
        <v>132</v>
      </c>
      <c r="D2761" s="6" t="s">
        <v>5379</v>
      </c>
      <c r="E2761" s="6" t="s">
        <v>131</v>
      </c>
      <c r="F2761" s="52" t="s">
        <v>130</v>
      </c>
      <c r="G2761" s="3" t="s">
        <v>3190</v>
      </c>
      <c r="H2761" s="5">
        <v>0</v>
      </c>
      <c r="I2761" s="6">
        <v>710000000</v>
      </c>
      <c r="J2761" s="4" t="s">
        <v>1931</v>
      </c>
      <c r="K2761" s="4" t="s">
        <v>5297</v>
      </c>
      <c r="L2761" s="3" t="s">
        <v>1889</v>
      </c>
      <c r="M2761" s="8" t="s">
        <v>3195</v>
      </c>
      <c r="N2761" s="3" t="s">
        <v>1890</v>
      </c>
      <c r="O2761" s="8" t="s">
        <v>1935</v>
      </c>
      <c r="P2761" s="8">
        <v>796</v>
      </c>
      <c r="Q2761" s="8" t="s">
        <v>3196</v>
      </c>
      <c r="R2761" s="69">
        <v>2</v>
      </c>
      <c r="S2761" s="69">
        <v>34000</v>
      </c>
      <c r="T2761" s="10">
        <v>0</v>
      </c>
      <c r="U2761" s="10">
        <f t="shared" si="1646"/>
        <v>0</v>
      </c>
      <c r="V2761" s="7"/>
      <c r="W2761" s="1">
        <v>2015</v>
      </c>
      <c r="X2761" s="62">
        <v>11</v>
      </c>
    </row>
    <row r="2762" spans="1:24" s="13" customFormat="1" ht="76.5" customHeight="1" outlineLevel="1" x14ac:dyDescent="0.2">
      <c r="A2762" s="1" t="s">
        <v>7924</v>
      </c>
      <c r="B2762" s="2" t="s">
        <v>5277</v>
      </c>
      <c r="C2762" s="6" t="s">
        <v>132</v>
      </c>
      <c r="D2762" s="6" t="s">
        <v>5379</v>
      </c>
      <c r="E2762" s="6" t="s">
        <v>131</v>
      </c>
      <c r="F2762" s="52" t="s">
        <v>130</v>
      </c>
      <c r="G2762" s="3" t="s">
        <v>3190</v>
      </c>
      <c r="H2762" s="5">
        <v>0</v>
      </c>
      <c r="I2762" s="6">
        <v>710000000</v>
      </c>
      <c r="J2762" s="4" t="s">
        <v>1931</v>
      </c>
      <c r="K2762" s="4" t="s">
        <v>756</v>
      </c>
      <c r="L2762" s="3" t="s">
        <v>1889</v>
      </c>
      <c r="M2762" s="8" t="s">
        <v>3195</v>
      </c>
      <c r="N2762" s="3" t="s">
        <v>1890</v>
      </c>
      <c r="O2762" s="8" t="s">
        <v>1935</v>
      </c>
      <c r="P2762" s="8">
        <v>796</v>
      </c>
      <c r="Q2762" s="8" t="s">
        <v>3196</v>
      </c>
      <c r="R2762" s="69">
        <v>2</v>
      </c>
      <c r="S2762" s="69">
        <v>34000</v>
      </c>
      <c r="T2762" s="10">
        <f t="shared" ref="T2762:T2763" si="1667">S2762*R2762</f>
        <v>68000</v>
      </c>
      <c r="U2762" s="10">
        <f t="shared" ref="U2762:U2763" si="1668">T2762*1.12</f>
        <v>76160</v>
      </c>
      <c r="V2762" s="7"/>
      <c r="W2762" s="1">
        <v>2015</v>
      </c>
      <c r="X2762" s="62"/>
    </row>
    <row r="2763" spans="1:24" s="13" customFormat="1" ht="76.5" customHeight="1" outlineLevel="1" x14ac:dyDescent="0.2">
      <c r="A2763" s="1" t="s">
        <v>8117</v>
      </c>
      <c r="B2763" s="38" t="s">
        <v>5277</v>
      </c>
      <c r="C2763" s="2" t="s">
        <v>8118</v>
      </c>
      <c r="D2763" s="2" t="s">
        <v>8119</v>
      </c>
      <c r="E2763" s="6" t="s">
        <v>6147</v>
      </c>
      <c r="F2763" s="52" t="s">
        <v>8120</v>
      </c>
      <c r="G2763" s="50" t="s">
        <v>3190</v>
      </c>
      <c r="H2763" s="5">
        <v>0</v>
      </c>
      <c r="I2763" s="6">
        <v>710000000</v>
      </c>
      <c r="J2763" s="4" t="s">
        <v>1931</v>
      </c>
      <c r="K2763" s="4" t="s">
        <v>5297</v>
      </c>
      <c r="L2763" s="3" t="s">
        <v>1889</v>
      </c>
      <c r="M2763" s="8" t="s">
        <v>3195</v>
      </c>
      <c r="N2763" s="3" t="s">
        <v>1890</v>
      </c>
      <c r="O2763" s="8" t="s">
        <v>1935</v>
      </c>
      <c r="P2763" s="8">
        <v>796</v>
      </c>
      <c r="Q2763" s="8" t="s">
        <v>3196</v>
      </c>
      <c r="R2763" s="9">
        <v>8</v>
      </c>
      <c r="S2763" s="9">
        <v>3200</v>
      </c>
      <c r="T2763" s="10">
        <f t="shared" si="1667"/>
        <v>25600</v>
      </c>
      <c r="U2763" s="10">
        <f t="shared" si="1668"/>
        <v>28672.000000000004</v>
      </c>
      <c r="V2763" s="7"/>
      <c r="W2763" s="11">
        <v>2015</v>
      </c>
      <c r="X2763" s="12"/>
    </row>
    <row r="2764" spans="1:24" s="13" customFormat="1" ht="76.5" customHeight="1" outlineLevel="1" x14ac:dyDescent="0.2">
      <c r="A2764" s="1" t="s">
        <v>5135</v>
      </c>
      <c r="B2764" s="2" t="s">
        <v>5277</v>
      </c>
      <c r="C2764" s="2" t="s">
        <v>129</v>
      </c>
      <c r="D2764" s="2" t="s">
        <v>128</v>
      </c>
      <c r="E2764" s="2" t="s">
        <v>127</v>
      </c>
      <c r="F2764" s="52" t="s">
        <v>126</v>
      </c>
      <c r="G2764" s="3" t="s">
        <v>3190</v>
      </c>
      <c r="H2764" s="5">
        <v>0</v>
      </c>
      <c r="I2764" s="6">
        <v>710000000</v>
      </c>
      <c r="J2764" s="4" t="s">
        <v>1931</v>
      </c>
      <c r="K2764" s="4" t="s">
        <v>5297</v>
      </c>
      <c r="L2764" s="3" t="s">
        <v>1889</v>
      </c>
      <c r="M2764" s="8" t="s">
        <v>3195</v>
      </c>
      <c r="N2764" s="3" t="s">
        <v>1890</v>
      </c>
      <c r="O2764" s="8" t="s">
        <v>1935</v>
      </c>
      <c r="P2764" s="8">
        <v>796</v>
      </c>
      <c r="Q2764" s="8" t="s">
        <v>3196</v>
      </c>
      <c r="R2764" s="69">
        <v>32</v>
      </c>
      <c r="S2764" s="69">
        <v>1100</v>
      </c>
      <c r="T2764" s="10">
        <v>0</v>
      </c>
      <c r="U2764" s="10">
        <f t="shared" si="1646"/>
        <v>0</v>
      </c>
      <c r="V2764" s="7"/>
      <c r="W2764" s="1">
        <v>2015</v>
      </c>
      <c r="X2764" s="62">
        <v>11</v>
      </c>
    </row>
    <row r="2765" spans="1:24" s="13" customFormat="1" ht="76.5" customHeight="1" outlineLevel="1" x14ac:dyDescent="0.2">
      <c r="A2765" s="1" t="s">
        <v>7925</v>
      </c>
      <c r="B2765" s="2" t="s">
        <v>5277</v>
      </c>
      <c r="C2765" s="2" t="s">
        <v>129</v>
      </c>
      <c r="D2765" s="2" t="s">
        <v>128</v>
      </c>
      <c r="E2765" s="2" t="s">
        <v>127</v>
      </c>
      <c r="F2765" s="52" t="s">
        <v>126</v>
      </c>
      <c r="G2765" s="3" t="s">
        <v>3190</v>
      </c>
      <c r="H2765" s="5">
        <v>0</v>
      </c>
      <c r="I2765" s="6">
        <v>710000000</v>
      </c>
      <c r="J2765" s="4" t="s">
        <v>1931</v>
      </c>
      <c r="K2765" s="4" t="s">
        <v>756</v>
      </c>
      <c r="L2765" s="3" t="s">
        <v>1889</v>
      </c>
      <c r="M2765" s="8" t="s">
        <v>3195</v>
      </c>
      <c r="N2765" s="3" t="s">
        <v>1890</v>
      </c>
      <c r="O2765" s="8" t="s">
        <v>1935</v>
      </c>
      <c r="P2765" s="8">
        <v>796</v>
      </c>
      <c r="Q2765" s="8" t="s">
        <v>3196</v>
      </c>
      <c r="R2765" s="69">
        <v>32</v>
      </c>
      <c r="S2765" s="69">
        <v>1100</v>
      </c>
      <c r="T2765" s="10">
        <f t="shared" ref="T2765" si="1669">S2765*R2765</f>
        <v>35200</v>
      </c>
      <c r="U2765" s="10">
        <f t="shared" ref="U2765" si="1670">T2765*1.12</f>
        <v>39424.000000000007</v>
      </c>
      <c r="V2765" s="7"/>
      <c r="W2765" s="1">
        <v>2015</v>
      </c>
      <c r="X2765" s="62"/>
    </row>
    <row r="2766" spans="1:24" s="13" customFormat="1" ht="76.5" customHeight="1" outlineLevel="1" x14ac:dyDescent="0.2">
      <c r="A2766" s="1" t="s">
        <v>2792</v>
      </c>
      <c r="B2766" s="2" t="s">
        <v>5277</v>
      </c>
      <c r="C2766" s="2" t="s">
        <v>125</v>
      </c>
      <c r="D2766" s="6" t="s">
        <v>5393</v>
      </c>
      <c r="E2766" s="6" t="s">
        <v>124</v>
      </c>
      <c r="F2766" s="52" t="s">
        <v>123</v>
      </c>
      <c r="G2766" s="3" t="s">
        <v>3190</v>
      </c>
      <c r="H2766" s="5">
        <v>0</v>
      </c>
      <c r="I2766" s="6">
        <v>710000000</v>
      </c>
      <c r="J2766" s="4" t="s">
        <v>1931</v>
      </c>
      <c r="K2766" s="4" t="s">
        <v>5297</v>
      </c>
      <c r="L2766" s="3" t="s">
        <v>1889</v>
      </c>
      <c r="M2766" s="8" t="s">
        <v>3195</v>
      </c>
      <c r="N2766" s="3" t="s">
        <v>1890</v>
      </c>
      <c r="O2766" s="8" t="s">
        <v>1935</v>
      </c>
      <c r="P2766" s="8">
        <v>796</v>
      </c>
      <c r="Q2766" s="8" t="s">
        <v>3196</v>
      </c>
      <c r="R2766" s="69">
        <v>6</v>
      </c>
      <c r="S2766" s="69">
        <v>8000</v>
      </c>
      <c r="T2766" s="10">
        <v>0</v>
      </c>
      <c r="U2766" s="10">
        <f t="shared" si="1646"/>
        <v>0</v>
      </c>
      <c r="V2766" s="7"/>
      <c r="W2766" s="1">
        <v>2015</v>
      </c>
      <c r="X2766" s="62">
        <v>11</v>
      </c>
    </row>
    <row r="2767" spans="1:24" s="13" customFormat="1" ht="76.5" customHeight="1" outlineLevel="1" x14ac:dyDescent="0.2">
      <c r="A2767" s="1" t="s">
        <v>7926</v>
      </c>
      <c r="B2767" s="2" t="s">
        <v>5277</v>
      </c>
      <c r="C2767" s="2" t="s">
        <v>125</v>
      </c>
      <c r="D2767" s="6" t="s">
        <v>5393</v>
      </c>
      <c r="E2767" s="6" t="s">
        <v>124</v>
      </c>
      <c r="F2767" s="52" t="s">
        <v>123</v>
      </c>
      <c r="G2767" s="3" t="s">
        <v>3190</v>
      </c>
      <c r="H2767" s="5">
        <v>0</v>
      </c>
      <c r="I2767" s="6">
        <v>710000000</v>
      </c>
      <c r="J2767" s="4" t="s">
        <v>1931</v>
      </c>
      <c r="K2767" s="4" t="s">
        <v>756</v>
      </c>
      <c r="L2767" s="3" t="s">
        <v>1889</v>
      </c>
      <c r="M2767" s="8" t="s">
        <v>3195</v>
      </c>
      <c r="N2767" s="3" t="s">
        <v>1890</v>
      </c>
      <c r="O2767" s="8" t="s">
        <v>1935</v>
      </c>
      <c r="P2767" s="8">
        <v>796</v>
      </c>
      <c r="Q2767" s="8" t="s">
        <v>3196</v>
      </c>
      <c r="R2767" s="69">
        <v>6</v>
      </c>
      <c r="S2767" s="69">
        <v>8000</v>
      </c>
      <c r="T2767" s="10">
        <f t="shared" ref="T2767" si="1671">S2767*R2767</f>
        <v>48000</v>
      </c>
      <c r="U2767" s="10">
        <f t="shared" ref="U2767" si="1672">T2767*1.12</f>
        <v>53760.000000000007</v>
      </c>
      <c r="V2767" s="7"/>
      <c r="W2767" s="1">
        <v>2015</v>
      </c>
      <c r="X2767" s="62"/>
    </row>
    <row r="2768" spans="1:24" s="13" customFormat="1" ht="76.5" customHeight="1" outlineLevel="1" x14ac:dyDescent="0.2">
      <c r="A2768" s="1" t="s">
        <v>2793</v>
      </c>
      <c r="B2768" s="2" t="s">
        <v>5277</v>
      </c>
      <c r="C2768" s="6" t="s">
        <v>122</v>
      </c>
      <c r="D2768" s="6" t="s">
        <v>121</v>
      </c>
      <c r="E2768" s="6" t="s">
        <v>120</v>
      </c>
      <c r="F2768" s="2"/>
      <c r="G2768" s="3" t="s">
        <v>3190</v>
      </c>
      <c r="H2768" s="5">
        <v>0</v>
      </c>
      <c r="I2768" s="6">
        <v>710000000</v>
      </c>
      <c r="J2768" s="4" t="s">
        <v>1931</v>
      </c>
      <c r="K2768" s="4" t="s">
        <v>5297</v>
      </c>
      <c r="L2768" s="3" t="s">
        <v>1889</v>
      </c>
      <c r="M2768" s="8" t="s">
        <v>3195</v>
      </c>
      <c r="N2768" s="3" t="s">
        <v>1890</v>
      </c>
      <c r="O2768" s="8" t="s">
        <v>1935</v>
      </c>
      <c r="P2768" s="62">
        <v>166</v>
      </c>
      <c r="Q2768" s="3" t="s">
        <v>3324</v>
      </c>
      <c r="R2768" s="69">
        <v>5</v>
      </c>
      <c r="S2768" s="69">
        <v>215.6</v>
      </c>
      <c r="T2768" s="10">
        <v>0</v>
      </c>
      <c r="U2768" s="10">
        <f t="shared" si="1646"/>
        <v>0</v>
      </c>
      <c r="V2768" s="7"/>
      <c r="W2768" s="1">
        <v>2015</v>
      </c>
      <c r="X2768" s="62">
        <v>11</v>
      </c>
    </row>
    <row r="2769" spans="1:24" s="13" customFormat="1" ht="76.5" customHeight="1" outlineLevel="1" x14ac:dyDescent="0.2">
      <c r="A2769" s="1" t="s">
        <v>7927</v>
      </c>
      <c r="B2769" s="2" t="s">
        <v>5277</v>
      </c>
      <c r="C2769" s="6" t="s">
        <v>122</v>
      </c>
      <c r="D2769" s="6" t="s">
        <v>121</v>
      </c>
      <c r="E2769" s="6" t="s">
        <v>120</v>
      </c>
      <c r="F2769" s="2"/>
      <c r="G2769" s="3" t="s">
        <v>3190</v>
      </c>
      <c r="H2769" s="5">
        <v>0</v>
      </c>
      <c r="I2769" s="6">
        <v>710000000</v>
      </c>
      <c r="J2769" s="4" t="s">
        <v>1931</v>
      </c>
      <c r="K2769" s="4" t="s">
        <v>756</v>
      </c>
      <c r="L2769" s="3" t="s">
        <v>1889</v>
      </c>
      <c r="M2769" s="8" t="s">
        <v>3195</v>
      </c>
      <c r="N2769" s="3" t="s">
        <v>1890</v>
      </c>
      <c r="O2769" s="8" t="s">
        <v>1935</v>
      </c>
      <c r="P2769" s="62">
        <v>166</v>
      </c>
      <c r="Q2769" s="3" t="s">
        <v>3324</v>
      </c>
      <c r="R2769" s="69">
        <v>5</v>
      </c>
      <c r="S2769" s="69">
        <v>215.6</v>
      </c>
      <c r="T2769" s="10">
        <f t="shared" ref="T2769" si="1673">S2769*R2769</f>
        <v>1078</v>
      </c>
      <c r="U2769" s="10">
        <f t="shared" ref="U2769" si="1674">T2769*1.12</f>
        <v>1207.3600000000001</v>
      </c>
      <c r="V2769" s="7"/>
      <c r="W2769" s="1">
        <v>2015</v>
      </c>
      <c r="X2769" s="62"/>
    </row>
    <row r="2770" spans="1:24" s="13" customFormat="1" ht="76.5" customHeight="1" outlineLevel="1" x14ac:dyDescent="0.2">
      <c r="A2770" s="1" t="s">
        <v>2794</v>
      </c>
      <c r="B2770" s="2" t="s">
        <v>5277</v>
      </c>
      <c r="C2770" s="6" t="s">
        <v>107</v>
      </c>
      <c r="D2770" s="6" t="s">
        <v>106</v>
      </c>
      <c r="E2770" s="6" t="s">
        <v>105</v>
      </c>
      <c r="F2770" s="52" t="s">
        <v>119</v>
      </c>
      <c r="G2770" s="3" t="s">
        <v>3190</v>
      </c>
      <c r="H2770" s="5">
        <v>0</v>
      </c>
      <c r="I2770" s="6">
        <v>710000000</v>
      </c>
      <c r="J2770" s="4" t="s">
        <v>1931</v>
      </c>
      <c r="K2770" s="4" t="s">
        <v>5297</v>
      </c>
      <c r="L2770" s="3" t="s">
        <v>1889</v>
      </c>
      <c r="M2770" s="8" t="s">
        <v>3195</v>
      </c>
      <c r="N2770" s="3" t="s">
        <v>1890</v>
      </c>
      <c r="O2770" s="8" t="s">
        <v>1935</v>
      </c>
      <c r="P2770" s="8">
        <v>796</v>
      </c>
      <c r="Q2770" s="8" t="s">
        <v>3196</v>
      </c>
      <c r="R2770" s="69">
        <v>6</v>
      </c>
      <c r="S2770" s="69">
        <v>2500</v>
      </c>
      <c r="T2770" s="10">
        <v>0</v>
      </c>
      <c r="U2770" s="10">
        <f t="shared" si="1646"/>
        <v>0</v>
      </c>
      <c r="V2770" s="7"/>
      <c r="W2770" s="1">
        <v>2015</v>
      </c>
      <c r="X2770" s="62">
        <v>11</v>
      </c>
    </row>
    <row r="2771" spans="1:24" s="13" customFormat="1" ht="76.5" customHeight="1" outlineLevel="1" x14ac:dyDescent="0.2">
      <c r="A2771" s="1" t="s">
        <v>7928</v>
      </c>
      <c r="B2771" s="2" t="s">
        <v>5277</v>
      </c>
      <c r="C2771" s="6" t="s">
        <v>107</v>
      </c>
      <c r="D2771" s="6" t="s">
        <v>106</v>
      </c>
      <c r="E2771" s="6" t="s">
        <v>105</v>
      </c>
      <c r="F2771" s="52" t="s">
        <v>119</v>
      </c>
      <c r="G2771" s="3" t="s">
        <v>3190</v>
      </c>
      <c r="H2771" s="5">
        <v>0</v>
      </c>
      <c r="I2771" s="6">
        <v>710000000</v>
      </c>
      <c r="J2771" s="4" t="s">
        <v>1931</v>
      </c>
      <c r="K2771" s="4" t="s">
        <v>756</v>
      </c>
      <c r="L2771" s="3" t="s">
        <v>1889</v>
      </c>
      <c r="M2771" s="8" t="s">
        <v>3195</v>
      </c>
      <c r="N2771" s="3" t="s">
        <v>1890</v>
      </c>
      <c r="O2771" s="8" t="s">
        <v>1935</v>
      </c>
      <c r="P2771" s="8">
        <v>796</v>
      </c>
      <c r="Q2771" s="8" t="s">
        <v>3196</v>
      </c>
      <c r="R2771" s="69">
        <v>6</v>
      </c>
      <c r="S2771" s="69">
        <v>2500</v>
      </c>
      <c r="T2771" s="10">
        <f t="shared" ref="T2771" si="1675">S2771*R2771</f>
        <v>15000</v>
      </c>
      <c r="U2771" s="10">
        <f t="shared" ref="U2771" si="1676">T2771*1.12</f>
        <v>16800</v>
      </c>
      <c r="V2771" s="7"/>
      <c r="W2771" s="1">
        <v>2015</v>
      </c>
      <c r="X2771" s="62"/>
    </row>
    <row r="2772" spans="1:24" s="13" customFormat="1" ht="76.5" customHeight="1" outlineLevel="1" x14ac:dyDescent="0.2">
      <c r="A2772" s="1" t="s">
        <v>2795</v>
      </c>
      <c r="B2772" s="2" t="s">
        <v>5277</v>
      </c>
      <c r="C2772" s="6" t="s">
        <v>107</v>
      </c>
      <c r="D2772" s="6" t="s">
        <v>106</v>
      </c>
      <c r="E2772" s="6" t="s">
        <v>105</v>
      </c>
      <c r="F2772" s="52" t="s">
        <v>118</v>
      </c>
      <c r="G2772" s="3" t="s">
        <v>3190</v>
      </c>
      <c r="H2772" s="5">
        <v>0</v>
      </c>
      <c r="I2772" s="6">
        <v>710000000</v>
      </c>
      <c r="J2772" s="4" t="s">
        <v>1931</v>
      </c>
      <c r="K2772" s="4" t="s">
        <v>5297</v>
      </c>
      <c r="L2772" s="3" t="s">
        <v>1889</v>
      </c>
      <c r="M2772" s="8" t="s">
        <v>3195</v>
      </c>
      <c r="N2772" s="3" t="s">
        <v>1890</v>
      </c>
      <c r="O2772" s="8" t="s">
        <v>1935</v>
      </c>
      <c r="P2772" s="8">
        <v>796</v>
      </c>
      <c r="Q2772" s="8" t="s">
        <v>3196</v>
      </c>
      <c r="R2772" s="69">
        <v>12</v>
      </c>
      <c r="S2772" s="69">
        <v>2500</v>
      </c>
      <c r="T2772" s="10">
        <v>0</v>
      </c>
      <c r="U2772" s="10">
        <f t="shared" si="1646"/>
        <v>0</v>
      </c>
      <c r="V2772" s="7"/>
      <c r="W2772" s="1">
        <v>2015</v>
      </c>
      <c r="X2772" s="62">
        <v>11</v>
      </c>
    </row>
    <row r="2773" spans="1:24" s="13" customFormat="1" ht="76.5" customHeight="1" outlineLevel="1" x14ac:dyDescent="0.2">
      <c r="A2773" s="1" t="s">
        <v>7929</v>
      </c>
      <c r="B2773" s="2" t="s">
        <v>5277</v>
      </c>
      <c r="C2773" s="6" t="s">
        <v>107</v>
      </c>
      <c r="D2773" s="6" t="s">
        <v>106</v>
      </c>
      <c r="E2773" s="6" t="s">
        <v>105</v>
      </c>
      <c r="F2773" s="52" t="s">
        <v>118</v>
      </c>
      <c r="G2773" s="3" t="s">
        <v>3190</v>
      </c>
      <c r="H2773" s="5">
        <v>0</v>
      </c>
      <c r="I2773" s="6">
        <v>710000000</v>
      </c>
      <c r="J2773" s="4" t="s">
        <v>1931</v>
      </c>
      <c r="K2773" s="4" t="s">
        <v>756</v>
      </c>
      <c r="L2773" s="3" t="s">
        <v>1889</v>
      </c>
      <c r="M2773" s="8" t="s">
        <v>3195</v>
      </c>
      <c r="N2773" s="3" t="s">
        <v>1890</v>
      </c>
      <c r="O2773" s="8" t="s">
        <v>1935</v>
      </c>
      <c r="P2773" s="8">
        <v>796</v>
      </c>
      <c r="Q2773" s="8" t="s">
        <v>3196</v>
      </c>
      <c r="R2773" s="69">
        <v>12</v>
      </c>
      <c r="S2773" s="69">
        <v>2500</v>
      </c>
      <c r="T2773" s="10">
        <f t="shared" ref="T2773" si="1677">S2773*R2773</f>
        <v>30000</v>
      </c>
      <c r="U2773" s="10">
        <f t="shared" ref="U2773" si="1678">T2773*1.12</f>
        <v>33600</v>
      </c>
      <c r="V2773" s="7"/>
      <c r="W2773" s="1">
        <v>2015</v>
      </c>
      <c r="X2773" s="62"/>
    </row>
    <row r="2774" spans="1:24" s="13" customFormat="1" ht="76.5" customHeight="1" outlineLevel="1" x14ac:dyDescent="0.2">
      <c r="A2774" s="1" t="s">
        <v>2796</v>
      </c>
      <c r="B2774" s="2" t="s">
        <v>5277</v>
      </c>
      <c r="C2774" s="2" t="s">
        <v>116</v>
      </c>
      <c r="D2774" s="2" t="s">
        <v>3822</v>
      </c>
      <c r="E2774" s="6" t="s">
        <v>115</v>
      </c>
      <c r="F2774" s="52" t="s">
        <v>117</v>
      </c>
      <c r="G2774" s="3" t="s">
        <v>3190</v>
      </c>
      <c r="H2774" s="5">
        <v>0</v>
      </c>
      <c r="I2774" s="6">
        <v>710000000</v>
      </c>
      <c r="J2774" s="4" t="s">
        <v>1931</v>
      </c>
      <c r="K2774" s="4" t="s">
        <v>5297</v>
      </c>
      <c r="L2774" s="3" t="s">
        <v>1889</v>
      </c>
      <c r="M2774" s="8" t="s">
        <v>3195</v>
      </c>
      <c r="N2774" s="3" t="s">
        <v>1890</v>
      </c>
      <c r="O2774" s="8" t="s">
        <v>1935</v>
      </c>
      <c r="P2774" s="8">
        <v>796</v>
      </c>
      <c r="Q2774" s="8" t="s">
        <v>3196</v>
      </c>
      <c r="R2774" s="69">
        <v>21</v>
      </c>
      <c r="S2774" s="69">
        <v>1800</v>
      </c>
      <c r="T2774" s="10">
        <v>0</v>
      </c>
      <c r="U2774" s="10">
        <f t="shared" si="1646"/>
        <v>0</v>
      </c>
      <c r="V2774" s="7"/>
      <c r="W2774" s="1">
        <v>2015</v>
      </c>
      <c r="X2774" s="62">
        <v>11</v>
      </c>
    </row>
    <row r="2775" spans="1:24" s="13" customFormat="1" ht="76.5" customHeight="1" outlineLevel="1" x14ac:dyDescent="0.2">
      <c r="A2775" s="1" t="s">
        <v>7930</v>
      </c>
      <c r="B2775" s="2" t="s">
        <v>5277</v>
      </c>
      <c r="C2775" s="2" t="s">
        <v>116</v>
      </c>
      <c r="D2775" s="2" t="s">
        <v>3822</v>
      </c>
      <c r="E2775" s="6" t="s">
        <v>115</v>
      </c>
      <c r="F2775" s="52" t="s">
        <v>117</v>
      </c>
      <c r="G2775" s="3" t="s">
        <v>3190</v>
      </c>
      <c r="H2775" s="5">
        <v>0</v>
      </c>
      <c r="I2775" s="6">
        <v>710000000</v>
      </c>
      <c r="J2775" s="4" t="s">
        <v>1931</v>
      </c>
      <c r="K2775" s="4" t="s">
        <v>756</v>
      </c>
      <c r="L2775" s="3" t="s">
        <v>1889</v>
      </c>
      <c r="M2775" s="8" t="s">
        <v>3195</v>
      </c>
      <c r="N2775" s="3" t="s">
        <v>1890</v>
      </c>
      <c r="O2775" s="8" t="s">
        <v>1935</v>
      </c>
      <c r="P2775" s="8">
        <v>796</v>
      </c>
      <c r="Q2775" s="8" t="s">
        <v>3196</v>
      </c>
      <c r="R2775" s="69">
        <v>21</v>
      </c>
      <c r="S2775" s="69">
        <v>1800</v>
      </c>
      <c r="T2775" s="10">
        <f t="shared" ref="T2775" si="1679">S2775*R2775</f>
        <v>37800</v>
      </c>
      <c r="U2775" s="10">
        <f t="shared" ref="U2775" si="1680">T2775*1.12</f>
        <v>42336.000000000007</v>
      </c>
      <c r="V2775" s="7"/>
      <c r="W2775" s="1">
        <v>2015</v>
      </c>
      <c r="X2775" s="62"/>
    </row>
    <row r="2776" spans="1:24" s="13" customFormat="1" ht="76.5" customHeight="1" outlineLevel="1" x14ac:dyDescent="0.2">
      <c r="A2776" s="1" t="s">
        <v>2797</v>
      </c>
      <c r="B2776" s="2" t="s">
        <v>5277</v>
      </c>
      <c r="C2776" s="2" t="s">
        <v>116</v>
      </c>
      <c r="D2776" s="2" t="s">
        <v>3822</v>
      </c>
      <c r="E2776" s="6" t="s">
        <v>115</v>
      </c>
      <c r="F2776" s="52" t="s">
        <v>114</v>
      </c>
      <c r="G2776" s="3" t="s">
        <v>3190</v>
      </c>
      <c r="H2776" s="5">
        <v>0</v>
      </c>
      <c r="I2776" s="6">
        <v>710000000</v>
      </c>
      <c r="J2776" s="4" t="s">
        <v>1931</v>
      </c>
      <c r="K2776" s="4" t="s">
        <v>5297</v>
      </c>
      <c r="L2776" s="3" t="s">
        <v>1889</v>
      </c>
      <c r="M2776" s="8" t="s">
        <v>3195</v>
      </c>
      <c r="N2776" s="3" t="s">
        <v>1890</v>
      </c>
      <c r="O2776" s="8" t="s">
        <v>1935</v>
      </c>
      <c r="P2776" s="8">
        <v>796</v>
      </c>
      <c r="Q2776" s="8" t="s">
        <v>3196</v>
      </c>
      <c r="R2776" s="69">
        <v>21</v>
      </c>
      <c r="S2776" s="69">
        <v>1800</v>
      </c>
      <c r="T2776" s="10">
        <v>0</v>
      </c>
      <c r="U2776" s="10">
        <f t="shared" si="1646"/>
        <v>0</v>
      </c>
      <c r="V2776" s="7"/>
      <c r="W2776" s="1">
        <v>2015</v>
      </c>
      <c r="X2776" s="62">
        <v>11</v>
      </c>
    </row>
    <row r="2777" spans="1:24" s="13" customFormat="1" ht="76.5" customHeight="1" outlineLevel="1" x14ac:dyDescent="0.2">
      <c r="A2777" s="1" t="s">
        <v>7931</v>
      </c>
      <c r="B2777" s="2" t="s">
        <v>5277</v>
      </c>
      <c r="C2777" s="2" t="s">
        <v>116</v>
      </c>
      <c r="D2777" s="2" t="s">
        <v>3822</v>
      </c>
      <c r="E2777" s="6" t="s">
        <v>115</v>
      </c>
      <c r="F2777" s="52" t="s">
        <v>114</v>
      </c>
      <c r="G2777" s="3" t="s">
        <v>3190</v>
      </c>
      <c r="H2777" s="5">
        <v>0</v>
      </c>
      <c r="I2777" s="6">
        <v>710000000</v>
      </c>
      <c r="J2777" s="4" t="s">
        <v>1931</v>
      </c>
      <c r="K2777" s="4" t="s">
        <v>756</v>
      </c>
      <c r="L2777" s="3" t="s">
        <v>1889</v>
      </c>
      <c r="M2777" s="8" t="s">
        <v>3195</v>
      </c>
      <c r="N2777" s="3" t="s">
        <v>1890</v>
      </c>
      <c r="O2777" s="8" t="s">
        <v>1935</v>
      </c>
      <c r="P2777" s="8">
        <v>796</v>
      </c>
      <c r="Q2777" s="8" t="s">
        <v>3196</v>
      </c>
      <c r="R2777" s="69">
        <v>21</v>
      </c>
      <c r="S2777" s="69">
        <v>1800</v>
      </c>
      <c r="T2777" s="10">
        <f t="shared" ref="T2777" si="1681">S2777*R2777</f>
        <v>37800</v>
      </c>
      <c r="U2777" s="10">
        <f t="shared" ref="U2777" si="1682">T2777*1.12</f>
        <v>42336.000000000007</v>
      </c>
      <c r="V2777" s="7"/>
      <c r="W2777" s="1">
        <v>2015</v>
      </c>
      <c r="X2777" s="62"/>
    </row>
    <row r="2778" spans="1:24" s="13" customFormat="1" ht="76.5" customHeight="1" outlineLevel="1" x14ac:dyDescent="0.2">
      <c r="A2778" s="1" t="s">
        <v>2798</v>
      </c>
      <c r="B2778" s="2" t="s">
        <v>5277</v>
      </c>
      <c r="C2778" s="2" t="s">
        <v>113</v>
      </c>
      <c r="D2778" s="2" t="s">
        <v>3822</v>
      </c>
      <c r="E2778" s="6" t="s">
        <v>112</v>
      </c>
      <c r="F2778" s="52" t="s">
        <v>111</v>
      </c>
      <c r="G2778" s="3" t="s">
        <v>3190</v>
      </c>
      <c r="H2778" s="5">
        <v>0</v>
      </c>
      <c r="I2778" s="6">
        <v>710000000</v>
      </c>
      <c r="J2778" s="4" t="s">
        <v>1931</v>
      </c>
      <c r="K2778" s="4" t="s">
        <v>5297</v>
      </c>
      <c r="L2778" s="3" t="s">
        <v>1889</v>
      </c>
      <c r="M2778" s="8" t="s">
        <v>3195</v>
      </c>
      <c r="N2778" s="3" t="s">
        <v>1890</v>
      </c>
      <c r="O2778" s="8" t="s">
        <v>1935</v>
      </c>
      <c r="P2778" s="62">
        <v>778</v>
      </c>
      <c r="Q2778" s="3" t="s">
        <v>3327</v>
      </c>
      <c r="R2778" s="69">
        <v>50</v>
      </c>
      <c r="S2778" s="69">
        <v>520</v>
      </c>
      <c r="T2778" s="10">
        <v>0</v>
      </c>
      <c r="U2778" s="10">
        <f t="shared" si="1646"/>
        <v>0</v>
      </c>
      <c r="V2778" s="7"/>
      <c r="W2778" s="1">
        <v>2015</v>
      </c>
      <c r="X2778" s="62">
        <v>11</v>
      </c>
    </row>
    <row r="2779" spans="1:24" s="13" customFormat="1" ht="76.5" customHeight="1" outlineLevel="1" x14ac:dyDescent="0.2">
      <c r="A2779" s="1" t="s">
        <v>7933</v>
      </c>
      <c r="B2779" s="2" t="s">
        <v>5277</v>
      </c>
      <c r="C2779" s="2" t="s">
        <v>113</v>
      </c>
      <c r="D2779" s="2" t="s">
        <v>3822</v>
      </c>
      <c r="E2779" s="6" t="s">
        <v>112</v>
      </c>
      <c r="F2779" s="52" t="s">
        <v>111</v>
      </c>
      <c r="G2779" s="3" t="s">
        <v>3190</v>
      </c>
      <c r="H2779" s="5">
        <v>0</v>
      </c>
      <c r="I2779" s="6">
        <v>710000000</v>
      </c>
      <c r="J2779" s="4" t="s">
        <v>1931</v>
      </c>
      <c r="K2779" s="4" t="s">
        <v>756</v>
      </c>
      <c r="L2779" s="3" t="s">
        <v>1889</v>
      </c>
      <c r="M2779" s="8" t="s">
        <v>3195</v>
      </c>
      <c r="N2779" s="3" t="s">
        <v>1890</v>
      </c>
      <c r="O2779" s="8" t="s">
        <v>1935</v>
      </c>
      <c r="P2779" s="62">
        <v>778</v>
      </c>
      <c r="Q2779" s="3" t="s">
        <v>3327</v>
      </c>
      <c r="R2779" s="69">
        <v>50</v>
      </c>
      <c r="S2779" s="69">
        <v>520</v>
      </c>
      <c r="T2779" s="10">
        <f t="shared" ref="T2779" si="1683">S2779*R2779</f>
        <v>26000</v>
      </c>
      <c r="U2779" s="10">
        <f t="shared" ref="U2779" si="1684">T2779*1.12</f>
        <v>29120.000000000004</v>
      </c>
      <c r="V2779" s="7"/>
      <c r="W2779" s="1">
        <v>2015</v>
      </c>
      <c r="X2779" s="62"/>
    </row>
    <row r="2780" spans="1:24" s="13" customFormat="1" ht="76.5" customHeight="1" outlineLevel="1" x14ac:dyDescent="0.2">
      <c r="A2780" s="1" t="s">
        <v>2799</v>
      </c>
      <c r="B2780" s="2" t="s">
        <v>5277</v>
      </c>
      <c r="C2780" s="2" t="s">
        <v>110</v>
      </c>
      <c r="D2780" s="78" t="s">
        <v>3151</v>
      </c>
      <c r="E2780" s="78" t="s">
        <v>109</v>
      </c>
      <c r="F2780" s="52" t="s">
        <v>108</v>
      </c>
      <c r="G2780" s="3" t="s">
        <v>3190</v>
      </c>
      <c r="H2780" s="5">
        <v>0</v>
      </c>
      <c r="I2780" s="6">
        <v>710000000</v>
      </c>
      <c r="J2780" s="4" t="s">
        <v>1931</v>
      </c>
      <c r="K2780" s="4" t="s">
        <v>5297</v>
      </c>
      <c r="L2780" s="3" t="s">
        <v>1889</v>
      </c>
      <c r="M2780" s="8" t="s">
        <v>3195</v>
      </c>
      <c r="N2780" s="3" t="s">
        <v>1890</v>
      </c>
      <c r="O2780" s="8" t="s">
        <v>1935</v>
      </c>
      <c r="P2780" s="8">
        <v>796</v>
      </c>
      <c r="Q2780" s="8" t="s">
        <v>3196</v>
      </c>
      <c r="R2780" s="69">
        <v>9</v>
      </c>
      <c r="S2780" s="69">
        <v>3500</v>
      </c>
      <c r="T2780" s="10">
        <v>0</v>
      </c>
      <c r="U2780" s="10">
        <f t="shared" si="1646"/>
        <v>0</v>
      </c>
      <c r="V2780" s="7"/>
      <c r="W2780" s="1">
        <v>2015</v>
      </c>
      <c r="X2780" s="62">
        <v>11</v>
      </c>
    </row>
    <row r="2781" spans="1:24" s="13" customFormat="1" ht="76.5" customHeight="1" outlineLevel="1" x14ac:dyDescent="0.2">
      <c r="A2781" s="1" t="s">
        <v>7932</v>
      </c>
      <c r="B2781" s="2" t="s">
        <v>5277</v>
      </c>
      <c r="C2781" s="2" t="s">
        <v>110</v>
      </c>
      <c r="D2781" s="78" t="s">
        <v>3151</v>
      </c>
      <c r="E2781" s="78" t="s">
        <v>109</v>
      </c>
      <c r="F2781" s="52" t="s">
        <v>108</v>
      </c>
      <c r="G2781" s="3" t="s">
        <v>3190</v>
      </c>
      <c r="H2781" s="5">
        <v>0</v>
      </c>
      <c r="I2781" s="6">
        <v>710000000</v>
      </c>
      <c r="J2781" s="4" t="s">
        <v>1931</v>
      </c>
      <c r="K2781" s="4" t="s">
        <v>756</v>
      </c>
      <c r="L2781" s="3" t="s">
        <v>1889</v>
      </c>
      <c r="M2781" s="8" t="s">
        <v>3195</v>
      </c>
      <c r="N2781" s="3" t="s">
        <v>1890</v>
      </c>
      <c r="O2781" s="8" t="s">
        <v>1935</v>
      </c>
      <c r="P2781" s="8">
        <v>796</v>
      </c>
      <c r="Q2781" s="8" t="s">
        <v>3196</v>
      </c>
      <c r="R2781" s="69">
        <v>9</v>
      </c>
      <c r="S2781" s="69">
        <v>3500</v>
      </c>
      <c r="T2781" s="10">
        <f t="shared" ref="T2781" si="1685">S2781*R2781</f>
        <v>31500</v>
      </c>
      <c r="U2781" s="10">
        <f t="shared" ref="U2781" si="1686">T2781*1.12</f>
        <v>35280</v>
      </c>
      <c r="V2781" s="7"/>
      <c r="W2781" s="1">
        <v>2015</v>
      </c>
      <c r="X2781" s="62"/>
    </row>
    <row r="2782" spans="1:24" s="13" customFormat="1" ht="76.5" customHeight="1" outlineLevel="1" x14ac:dyDescent="0.2">
      <c r="A2782" s="1" t="s">
        <v>2800</v>
      </c>
      <c r="B2782" s="2" t="s">
        <v>5277</v>
      </c>
      <c r="C2782" s="6" t="s">
        <v>107</v>
      </c>
      <c r="D2782" s="6" t="s">
        <v>106</v>
      </c>
      <c r="E2782" s="6" t="s">
        <v>105</v>
      </c>
      <c r="F2782" s="52" t="s">
        <v>104</v>
      </c>
      <c r="G2782" s="3" t="s">
        <v>3190</v>
      </c>
      <c r="H2782" s="5">
        <v>0</v>
      </c>
      <c r="I2782" s="6">
        <v>710000000</v>
      </c>
      <c r="J2782" s="4" t="s">
        <v>1931</v>
      </c>
      <c r="K2782" s="4" t="s">
        <v>5297</v>
      </c>
      <c r="L2782" s="3" t="s">
        <v>1889</v>
      </c>
      <c r="M2782" s="8" t="s">
        <v>3195</v>
      </c>
      <c r="N2782" s="3" t="s">
        <v>1890</v>
      </c>
      <c r="O2782" s="8" t="s">
        <v>1935</v>
      </c>
      <c r="P2782" s="8">
        <v>796</v>
      </c>
      <c r="Q2782" s="8" t="s">
        <v>3196</v>
      </c>
      <c r="R2782" s="69">
        <v>10</v>
      </c>
      <c r="S2782" s="69">
        <v>5600</v>
      </c>
      <c r="T2782" s="10">
        <v>0</v>
      </c>
      <c r="U2782" s="10">
        <f t="shared" si="1646"/>
        <v>0</v>
      </c>
      <c r="V2782" s="7"/>
      <c r="W2782" s="1">
        <v>2015</v>
      </c>
      <c r="X2782" s="62">
        <v>11</v>
      </c>
    </row>
    <row r="2783" spans="1:24" s="13" customFormat="1" ht="76.5" customHeight="1" outlineLevel="1" x14ac:dyDescent="0.2">
      <c r="A2783" s="1" t="s">
        <v>7934</v>
      </c>
      <c r="B2783" s="2" t="s">
        <v>5277</v>
      </c>
      <c r="C2783" s="6" t="s">
        <v>107</v>
      </c>
      <c r="D2783" s="6" t="s">
        <v>106</v>
      </c>
      <c r="E2783" s="6" t="s">
        <v>105</v>
      </c>
      <c r="F2783" s="52" t="s">
        <v>104</v>
      </c>
      <c r="G2783" s="3" t="s">
        <v>3190</v>
      </c>
      <c r="H2783" s="5">
        <v>0</v>
      </c>
      <c r="I2783" s="6">
        <v>710000000</v>
      </c>
      <c r="J2783" s="4" t="s">
        <v>1931</v>
      </c>
      <c r="K2783" s="4" t="s">
        <v>756</v>
      </c>
      <c r="L2783" s="3" t="s">
        <v>1889</v>
      </c>
      <c r="M2783" s="8" t="s">
        <v>3195</v>
      </c>
      <c r="N2783" s="3" t="s">
        <v>1890</v>
      </c>
      <c r="O2783" s="8" t="s">
        <v>1935</v>
      </c>
      <c r="P2783" s="8">
        <v>796</v>
      </c>
      <c r="Q2783" s="8" t="s">
        <v>3196</v>
      </c>
      <c r="R2783" s="69">
        <v>10</v>
      </c>
      <c r="S2783" s="69">
        <v>5600</v>
      </c>
      <c r="T2783" s="10">
        <f t="shared" ref="T2783" si="1687">S2783*R2783</f>
        <v>56000</v>
      </c>
      <c r="U2783" s="10">
        <f t="shared" ref="U2783" si="1688">T2783*1.12</f>
        <v>62720.000000000007</v>
      </c>
      <c r="V2783" s="7"/>
      <c r="W2783" s="1">
        <v>2015</v>
      </c>
      <c r="X2783" s="62"/>
    </row>
    <row r="2784" spans="1:24" s="13" customFormat="1" ht="76.5" customHeight="1" outlineLevel="1" x14ac:dyDescent="0.2">
      <c r="A2784" s="1" t="s">
        <v>2801</v>
      </c>
      <c r="B2784" s="2" t="s">
        <v>5277</v>
      </c>
      <c r="C2784" s="6" t="s">
        <v>103</v>
      </c>
      <c r="D2784" s="6" t="s">
        <v>5976</v>
      </c>
      <c r="E2784" s="6" t="s">
        <v>102</v>
      </c>
      <c r="F2784" s="6"/>
      <c r="G2784" s="3" t="s">
        <v>3190</v>
      </c>
      <c r="H2784" s="5">
        <v>0</v>
      </c>
      <c r="I2784" s="6">
        <v>710000000</v>
      </c>
      <c r="J2784" s="4" t="s">
        <v>1931</v>
      </c>
      <c r="K2784" s="4" t="s">
        <v>5297</v>
      </c>
      <c r="L2784" s="3" t="s">
        <v>1889</v>
      </c>
      <c r="M2784" s="8" t="s">
        <v>3195</v>
      </c>
      <c r="N2784" s="3" t="s">
        <v>1890</v>
      </c>
      <c r="O2784" s="8" t="s">
        <v>1935</v>
      </c>
      <c r="P2784" s="62">
        <v>166</v>
      </c>
      <c r="Q2784" s="3" t="s">
        <v>3324</v>
      </c>
      <c r="R2784" s="69">
        <v>1</v>
      </c>
      <c r="S2784" s="69">
        <v>8053</v>
      </c>
      <c r="T2784" s="10">
        <v>0</v>
      </c>
      <c r="U2784" s="10">
        <f t="shared" si="1646"/>
        <v>0</v>
      </c>
      <c r="V2784" s="7"/>
      <c r="W2784" s="1">
        <v>2015</v>
      </c>
      <c r="X2784" s="62">
        <v>11</v>
      </c>
    </row>
    <row r="2785" spans="1:24" s="13" customFormat="1" ht="76.5" customHeight="1" outlineLevel="1" x14ac:dyDescent="0.2">
      <c r="A2785" s="1" t="s">
        <v>7935</v>
      </c>
      <c r="B2785" s="2" t="s">
        <v>5277</v>
      </c>
      <c r="C2785" s="6" t="s">
        <v>103</v>
      </c>
      <c r="D2785" s="6" t="s">
        <v>5976</v>
      </c>
      <c r="E2785" s="6" t="s">
        <v>102</v>
      </c>
      <c r="F2785" s="6"/>
      <c r="G2785" s="3" t="s">
        <v>3190</v>
      </c>
      <c r="H2785" s="5">
        <v>0</v>
      </c>
      <c r="I2785" s="6">
        <v>710000000</v>
      </c>
      <c r="J2785" s="4" t="s">
        <v>1931</v>
      </c>
      <c r="K2785" s="4" t="s">
        <v>756</v>
      </c>
      <c r="L2785" s="3" t="s">
        <v>1889</v>
      </c>
      <c r="M2785" s="8" t="s">
        <v>3195</v>
      </c>
      <c r="N2785" s="3" t="s">
        <v>1890</v>
      </c>
      <c r="O2785" s="8" t="s">
        <v>1935</v>
      </c>
      <c r="P2785" s="62">
        <v>166</v>
      </c>
      <c r="Q2785" s="3" t="s">
        <v>3324</v>
      </c>
      <c r="R2785" s="69">
        <v>1</v>
      </c>
      <c r="S2785" s="69">
        <v>8053</v>
      </c>
      <c r="T2785" s="10">
        <f t="shared" ref="T2785" si="1689">S2785*R2785</f>
        <v>8053</v>
      </c>
      <c r="U2785" s="10">
        <f t="shared" ref="U2785" si="1690">T2785*1.12</f>
        <v>9019.36</v>
      </c>
      <c r="V2785" s="7"/>
      <c r="W2785" s="1">
        <v>2015</v>
      </c>
      <c r="X2785" s="62"/>
    </row>
    <row r="2786" spans="1:24" s="13" customFormat="1" ht="76.5" customHeight="1" outlineLevel="1" x14ac:dyDescent="0.2">
      <c r="A2786" s="1" t="s">
        <v>2802</v>
      </c>
      <c r="B2786" s="2" t="s">
        <v>5277</v>
      </c>
      <c r="C2786" s="2" t="s">
        <v>101</v>
      </c>
      <c r="D2786" s="2" t="s">
        <v>6022</v>
      </c>
      <c r="E2786" s="2" t="s">
        <v>100</v>
      </c>
      <c r="F2786" s="2"/>
      <c r="G2786" s="3" t="s">
        <v>3190</v>
      </c>
      <c r="H2786" s="5">
        <v>0</v>
      </c>
      <c r="I2786" s="6">
        <v>710000000</v>
      </c>
      <c r="J2786" s="4" t="s">
        <v>1931</v>
      </c>
      <c r="K2786" s="4" t="s">
        <v>5297</v>
      </c>
      <c r="L2786" s="3" t="s">
        <v>1889</v>
      </c>
      <c r="M2786" s="8" t="s">
        <v>3195</v>
      </c>
      <c r="N2786" s="3" t="s">
        <v>1890</v>
      </c>
      <c r="O2786" s="8" t="s">
        <v>1935</v>
      </c>
      <c r="P2786" s="8">
        <v>796</v>
      </c>
      <c r="Q2786" s="8" t="s">
        <v>3196</v>
      </c>
      <c r="R2786" s="69">
        <v>22</v>
      </c>
      <c r="S2786" s="69">
        <v>99</v>
      </c>
      <c r="T2786" s="10">
        <v>0</v>
      </c>
      <c r="U2786" s="10">
        <f t="shared" si="1646"/>
        <v>0</v>
      </c>
      <c r="V2786" s="7"/>
      <c r="W2786" s="1">
        <v>2015</v>
      </c>
      <c r="X2786" s="62">
        <v>11</v>
      </c>
    </row>
    <row r="2787" spans="1:24" s="13" customFormat="1" ht="76.5" customHeight="1" outlineLevel="1" x14ac:dyDescent="0.2">
      <c r="A2787" s="1" t="s">
        <v>7936</v>
      </c>
      <c r="B2787" s="2" t="s">
        <v>5277</v>
      </c>
      <c r="C2787" s="2" t="s">
        <v>101</v>
      </c>
      <c r="D2787" s="2" t="s">
        <v>6022</v>
      </c>
      <c r="E2787" s="2" t="s">
        <v>100</v>
      </c>
      <c r="F2787" s="2"/>
      <c r="G2787" s="3" t="s">
        <v>3190</v>
      </c>
      <c r="H2787" s="5">
        <v>0</v>
      </c>
      <c r="I2787" s="6">
        <v>710000000</v>
      </c>
      <c r="J2787" s="4" t="s">
        <v>1931</v>
      </c>
      <c r="K2787" s="4" t="s">
        <v>756</v>
      </c>
      <c r="L2787" s="3" t="s">
        <v>1889</v>
      </c>
      <c r="M2787" s="8" t="s">
        <v>3195</v>
      </c>
      <c r="N2787" s="3" t="s">
        <v>1890</v>
      </c>
      <c r="O2787" s="8" t="s">
        <v>1935</v>
      </c>
      <c r="P2787" s="8">
        <v>796</v>
      </c>
      <c r="Q2787" s="8" t="s">
        <v>3196</v>
      </c>
      <c r="R2787" s="69">
        <v>22</v>
      </c>
      <c r="S2787" s="69">
        <v>99</v>
      </c>
      <c r="T2787" s="10">
        <f t="shared" ref="T2787" si="1691">S2787*R2787</f>
        <v>2178</v>
      </c>
      <c r="U2787" s="10">
        <f t="shared" ref="U2787" si="1692">T2787*1.12</f>
        <v>2439.36</v>
      </c>
      <c r="V2787" s="7"/>
      <c r="W2787" s="1">
        <v>2015</v>
      </c>
      <c r="X2787" s="62"/>
    </row>
    <row r="2788" spans="1:24" s="13" customFormat="1" ht="76.5" customHeight="1" outlineLevel="1" x14ac:dyDescent="0.2">
      <c r="A2788" s="1" t="s">
        <v>2803</v>
      </c>
      <c r="B2788" s="2" t="s">
        <v>5277</v>
      </c>
      <c r="C2788" s="2" t="s">
        <v>99</v>
      </c>
      <c r="D2788" s="2" t="s">
        <v>3449</v>
      </c>
      <c r="E2788" s="2" t="s">
        <v>98</v>
      </c>
      <c r="F2788" s="2"/>
      <c r="G2788" s="3" t="s">
        <v>3190</v>
      </c>
      <c r="H2788" s="5">
        <v>0</v>
      </c>
      <c r="I2788" s="6">
        <v>710000000</v>
      </c>
      <c r="J2788" s="4" t="s">
        <v>1931</v>
      </c>
      <c r="K2788" s="4" t="s">
        <v>5297</v>
      </c>
      <c r="L2788" s="3" t="s">
        <v>1889</v>
      </c>
      <c r="M2788" s="8" t="s">
        <v>3195</v>
      </c>
      <c r="N2788" s="3" t="s">
        <v>1890</v>
      </c>
      <c r="O2788" s="8" t="s">
        <v>1935</v>
      </c>
      <c r="P2788" s="60" t="s">
        <v>3010</v>
      </c>
      <c r="Q2788" s="3" t="s">
        <v>5142</v>
      </c>
      <c r="R2788" s="69">
        <v>5</v>
      </c>
      <c r="S2788" s="69">
        <v>1376</v>
      </c>
      <c r="T2788" s="10">
        <v>0</v>
      </c>
      <c r="U2788" s="10">
        <f t="shared" si="1646"/>
        <v>0</v>
      </c>
      <c r="V2788" s="7"/>
      <c r="W2788" s="1">
        <v>2015</v>
      </c>
      <c r="X2788" s="62">
        <v>11</v>
      </c>
    </row>
    <row r="2789" spans="1:24" s="13" customFormat="1" ht="76.5" customHeight="1" outlineLevel="1" x14ac:dyDescent="0.2">
      <c r="A2789" s="1" t="s">
        <v>7937</v>
      </c>
      <c r="B2789" s="2" t="s">
        <v>5277</v>
      </c>
      <c r="C2789" s="2" t="s">
        <v>99</v>
      </c>
      <c r="D2789" s="2" t="s">
        <v>3449</v>
      </c>
      <c r="E2789" s="2" t="s">
        <v>98</v>
      </c>
      <c r="F2789" s="2"/>
      <c r="G2789" s="3" t="s">
        <v>3190</v>
      </c>
      <c r="H2789" s="5">
        <v>0</v>
      </c>
      <c r="I2789" s="6">
        <v>710000000</v>
      </c>
      <c r="J2789" s="4" t="s">
        <v>1931</v>
      </c>
      <c r="K2789" s="4" t="s">
        <v>756</v>
      </c>
      <c r="L2789" s="3" t="s">
        <v>1889</v>
      </c>
      <c r="M2789" s="8" t="s">
        <v>3195</v>
      </c>
      <c r="N2789" s="3" t="s">
        <v>1890</v>
      </c>
      <c r="O2789" s="8" t="s">
        <v>1935</v>
      </c>
      <c r="P2789" s="60" t="s">
        <v>3010</v>
      </c>
      <c r="Q2789" s="3" t="s">
        <v>5142</v>
      </c>
      <c r="R2789" s="69">
        <v>5</v>
      </c>
      <c r="S2789" s="69">
        <v>1376</v>
      </c>
      <c r="T2789" s="10">
        <f t="shared" ref="T2789" si="1693">S2789*R2789</f>
        <v>6880</v>
      </c>
      <c r="U2789" s="10">
        <f t="shared" ref="U2789" si="1694">T2789*1.12</f>
        <v>7705.6</v>
      </c>
      <c r="V2789" s="7"/>
      <c r="W2789" s="1">
        <v>2015</v>
      </c>
      <c r="X2789" s="62"/>
    </row>
    <row r="2790" spans="1:24" s="13" customFormat="1" ht="76.5" customHeight="1" outlineLevel="1" x14ac:dyDescent="0.2">
      <c r="A2790" s="1" t="s">
        <v>2804</v>
      </c>
      <c r="B2790" s="2" t="s">
        <v>5277</v>
      </c>
      <c r="C2790" s="2" t="s">
        <v>97</v>
      </c>
      <c r="D2790" s="2" t="s">
        <v>3449</v>
      </c>
      <c r="E2790" s="6" t="s">
        <v>96</v>
      </c>
      <c r="F2790" s="52" t="s">
        <v>95</v>
      </c>
      <c r="G2790" s="3" t="s">
        <v>3190</v>
      </c>
      <c r="H2790" s="5">
        <v>0</v>
      </c>
      <c r="I2790" s="6">
        <v>710000000</v>
      </c>
      <c r="J2790" s="4" t="s">
        <v>1931</v>
      </c>
      <c r="K2790" s="4" t="s">
        <v>5297</v>
      </c>
      <c r="L2790" s="3" t="s">
        <v>1889</v>
      </c>
      <c r="M2790" s="8" t="s">
        <v>3195</v>
      </c>
      <c r="N2790" s="3" t="s">
        <v>1890</v>
      </c>
      <c r="O2790" s="8" t="s">
        <v>1935</v>
      </c>
      <c r="P2790" s="8">
        <v>796</v>
      </c>
      <c r="Q2790" s="8" t="s">
        <v>3196</v>
      </c>
      <c r="R2790" s="69">
        <v>25</v>
      </c>
      <c r="S2790" s="69">
        <v>2400</v>
      </c>
      <c r="T2790" s="10">
        <v>0</v>
      </c>
      <c r="U2790" s="10">
        <f t="shared" si="1646"/>
        <v>0</v>
      </c>
      <c r="V2790" s="7"/>
      <c r="W2790" s="1">
        <v>2015</v>
      </c>
      <c r="X2790" s="62">
        <v>11</v>
      </c>
    </row>
    <row r="2791" spans="1:24" s="13" customFormat="1" ht="76.5" customHeight="1" outlineLevel="1" x14ac:dyDescent="0.2">
      <c r="A2791" s="1" t="s">
        <v>7938</v>
      </c>
      <c r="B2791" s="2" t="s">
        <v>5277</v>
      </c>
      <c r="C2791" s="2" t="s">
        <v>97</v>
      </c>
      <c r="D2791" s="2" t="s">
        <v>3449</v>
      </c>
      <c r="E2791" s="6" t="s">
        <v>96</v>
      </c>
      <c r="F2791" s="52" t="s">
        <v>95</v>
      </c>
      <c r="G2791" s="3" t="s">
        <v>3190</v>
      </c>
      <c r="H2791" s="5">
        <v>0</v>
      </c>
      <c r="I2791" s="6">
        <v>710000000</v>
      </c>
      <c r="J2791" s="4" t="s">
        <v>1931</v>
      </c>
      <c r="K2791" s="4" t="s">
        <v>756</v>
      </c>
      <c r="L2791" s="3" t="s">
        <v>1889</v>
      </c>
      <c r="M2791" s="8" t="s">
        <v>3195</v>
      </c>
      <c r="N2791" s="3" t="s">
        <v>1890</v>
      </c>
      <c r="O2791" s="8" t="s">
        <v>1935</v>
      </c>
      <c r="P2791" s="8">
        <v>796</v>
      </c>
      <c r="Q2791" s="8" t="s">
        <v>3196</v>
      </c>
      <c r="R2791" s="69">
        <v>25</v>
      </c>
      <c r="S2791" s="69">
        <v>2400</v>
      </c>
      <c r="T2791" s="10">
        <f t="shared" ref="T2791" si="1695">S2791*R2791</f>
        <v>60000</v>
      </c>
      <c r="U2791" s="10">
        <f t="shared" ref="U2791" si="1696">T2791*1.12</f>
        <v>67200</v>
      </c>
      <c r="V2791" s="7"/>
      <c r="W2791" s="1">
        <v>2015</v>
      </c>
      <c r="X2791" s="62"/>
    </row>
    <row r="2792" spans="1:24" s="13" customFormat="1" ht="76.5" customHeight="1" outlineLevel="1" x14ac:dyDescent="0.2">
      <c r="A2792" s="1" t="s">
        <v>2805</v>
      </c>
      <c r="B2792" s="38" t="s">
        <v>5277</v>
      </c>
      <c r="C2792" s="2" t="s">
        <v>1285</v>
      </c>
      <c r="D2792" s="2" t="s">
        <v>5511</v>
      </c>
      <c r="E2792" s="2" t="s">
        <v>1284</v>
      </c>
      <c r="F2792" s="2"/>
      <c r="G2792" s="50" t="s">
        <v>3190</v>
      </c>
      <c r="H2792" s="5">
        <v>0</v>
      </c>
      <c r="I2792" s="6">
        <v>710000000</v>
      </c>
      <c r="J2792" s="4" t="s">
        <v>1931</v>
      </c>
      <c r="K2792" s="4" t="s">
        <v>5297</v>
      </c>
      <c r="L2792" s="3" t="s">
        <v>1165</v>
      </c>
      <c r="M2792" s="8" t="s">
        <v>3195</v>
      </c>
      <c r="N2792" s="3" t="s">
        <v>1890</v>
      </c>
      <c r="O2792" s="8" t="s">
        <v>1935</v>
      </c>
      <c r="P2792" s="60" t="s">
        <v>3443</v>
      </c>
      <c r="Q2792" s="3" t="s">
        <v>5676</v>
      </c>
      <c r="R2792" s="9">
        <f>20+60</f>
        <v>80</v>
      </c>
      <c r="S2792" s="9">
        <v>500</v>
      </c>
      <c r="T2792" s="10">
        <v>0</v>
      </c>
      <c r="U2792" s="10">
        <f t="shared" si="1646"/>
        <v>0</v>
      </c>
      <c r="V2792" s="7"/>
      <c r="W2792" s="11">
        <v>2015</v>
      </c>
      <c r="X2792" s="12" t="s">
        <v>6562</v>
      </c>
    </row>
    <row r="2793" spans="1:24" s="13" customFormat="1" ht="76.5" customHeight="1" outlineLevel="1" x14ac:dyDescent="0.2">
      <c r="A2793" s="1" t="s">
        <v>6715</v>
      </c>
      <c r="B2793" s="2" t="s">
        <v>5277</v>
      </c>
      <c r="C2793" s="2" t="s">
        <v>1285</v>
      </c>
      <c r="D2793" s="2" t="s">
        <v>5511</v>
      </c>
      <c r="E2793" s="2" t="s">
        <v>1284</v>
      </c>
      <c r="F2793" s="2"/>
      <c r="G2793" s="3" t="s">
        <v>3190</v>
      </c>
      <c r="H2793" s="5">
        <v>0</v>
      </c>
      <c r="I2793" s="6">
        <v>710000000</v>
      </c>
      <c r="J2793" s="4" t="s">
        <v>1931</v>
      </c>
      <c r="K2793" s="4" t="s">
        <v>5297</v>
      </c>
      <c r="L2793" s="3" t="s">
        <v>1165</v>
      </c>
      <c r="M2793" s="8" t="s">
        <v>3195</v>
      </c>
      <c r="N2793" s="3" t="s">
        <v>1890</v>
      </c>
      <c r="O2793" s="8" t="s">
        <v>1935</v>
      </c>
      <c r="P2793" s="60" t="s">
        <v>3443</v>
      </c>
      <c r="Q2793" s="3" t="s">
        <v>5676</v>
      </c>
      <c r="R2793" s="69">
        <f>15+50</f>
        <v>65</v>
      </c>
      <c r="S2793" s="69">
        <v>500</v>
      </c>
      <c r="T2793" s="10">
        <v>0</v>
      </c>
      <c r="U2793" s="10">
        <f t="shared" si="1646"/>
        <v>0</v>
      </c>
      <c r="V2793" s="7"/>
      <c r="W2793" s="1">
        <v>2015</v>
      </c>
      <c r="X2793" s="62" t="s">
        <v>7518</v>
      </c>
    </row>
    <row r="2794" spans="1:24" s="13" customFormat="1" ht="76.5" customHeight="1" outlineLevel="1" x14ac:dyDescent="0.2">
      <c r="A2794" s="1" t="s">
        <v>7939</v>
      </c>
      <c r="B2794" s="2" t="s">
        <v>5277</v>
      </c>
      <c r="C2794" s="2" t="s">
        <v>1285</v>
      </c>
      <c r="D2794" s="2" t="s">
        <v>5511</v>
      </c>
      <c r="E2794" s="2" t="s">
        <v>1284</v>
      </c>
      <c r="F2794" s="2"/>
      <c r="G2794" s="3" t="s">
        <v>3190</v>
      </c>
      <c r="H2794" s="5">
        <v>0</v>
      </c>
      <c r="I2794" s="6">
        <v>710000000</v>
      </c>
      <c r="J2794" s="4" t="s">
        <v>1931</v>
      </c>
      <c r="K2794" s="4" t="s">
        <v>756</v>
      </c>
      <c r="L2794" s="3" t="s">
        <v>1165</v>
      </c>
      <c r="M2794" s="8" t="s">
        <v>3195</v>
      </c>
      <c r="N2794" s="3" t="s">
        <v>1890</v>
      </c>
      <c r="O2794" s="8" t="s">
        <v>1935</v>
      </c>
      <c r="P2794" s="60" t="s">
        <v>3443</v>
      </c>
      <c r="Q2794" s="3" t="s">
        <v>5676</v>
      </c>
      <c r="R2794" s="69">
        <f>10+40</f>
        <v>50</v>
      </c>
      <c r="S2794" s="69">
        <v>500</v>
      </c>
      <c r="T2794" s="10">
        <f t="shared" ref="T2794" si="1697">S2794*R2794</f>
        <v>25000</v>
      </c>
      <c r="U2794" s="10">
        <f t="shared" ref="U2794" si="1698">T2794*1.12</f>
        <v>28000.000000000004</v>
      </c>
      <c r="V2794" s="7"/>
      <c r="W2794" s="1">
        <v>2015</v>
      </c>
      <c r="X2794" s="62"/>
    </row>
    <row r="2795" spans="1:24" s="13" customFormat="1" ht="76.5" customHeight="1" outlineLevel="1" x14ac:dyDescent="0.2">
      <c r="A2795" s="1" t="s">
        <v>2806</v>
      </c>
      <c r="B2795" s="38" t="s">
        <v>5277</v>
      </c>
      <c r="C2795" s="2" t="s">
        <v>3831</v>
      </c>
      <c r="D2795" s="2" t="s">
        <v>5511</v>
      </c>
      <c r="E2795" s="6" t="s">
        <v>5512</v>
      </c>
      <c r="F2795" s="2"/>
      <c r="G2795" s="50" t="s">
        <v>3190</v>
      </c>
      <c r="H2795" s="5">
        <v>0</v>
      </c>
      <c r="I2795" s="6">
        <v>710000000</v>
      </c>
      <c r="J2795" s="4" t="s">
        <v>1931</v>
      </c>
      <c r="K2795" s="4" t="s">
        <v>5297</v>
      </c>
      <c r="L2795" s="3" t="s">
        <v>1165</v>
      </c>
      <c r="M2795" s="8" t="s">
        <v>3195</v>
      </c>
      <c r="N2795" s="3" t="s">
        <v>1890</v>
      </c>
      <c r="O2795" s="8" t="s">
        <v>1935</v>
      </c>
      <c r="P2795" s="60" t="s">
        <v>3443</v>
      </c>
      <c r="Q2795" s="3" t="s">
        <v>5676</v>
      </c>
      <c r="R2795" s="9">
        <f>28+60</f>
        <v>88</v>
      </c>
      <c r="S2795" s="9">
        <v>300</v>
      </c>
      <c r="T2795" s="10">
        <v>0</v>
      </c>
      <c r="U2795" s="10">
        <f t="shared" si="1646"/>
        <v>0</v>
      </c>
      <c r="V2795" s="7"/>
      <c r="W2795" s="11">
        <v>2015</v>
      </c>
      <c r="X2795" s="12" t="s">
        <v>6562</v>
      </c>
    </row>
    <row r="2796" spans="1:24" s="13" customFormat="1" ht="76.5" customHeight="1" outlineLevel="1" x14ac:dyDescent="0.2">
      <c r="A2796" s="1" t="s">
        <v>6716</v>
      </c>
      <c r="B2796" s="2" t="s">
        <v>5277</v>
      </c>
      <c r="C2796" s="2" t="s">
        <v>3831</v>
      </c>
      <c r="D2796" s="2" t="s">
        <v>5511</v>
      </c>
      <c r="E2796" s="6" t="s">
        <v>5512</v>
      </c>
      <c r="F2796" s="2"/>
      <c r="G2796" s="3" t="s">
        <v>3190</v>
      </c>
      <c r="H2796" s="5">
        <v>0</v>
      </c>
      <c r="I2796" s="6">
        <v>710000000</v>
      </c>
      <c r="J2796" s="4" t="s">
        <v>1931</v>
      </c>
      <c r="K2796" s="4" t="s">
        <v>5297</v>
      </c>
      <c r="L2796" s="3" t="s">
        <v>1165</v>
      </c>
      <c r="M2796" s="8" t="s">
        <v>3195</v>
      </c>
      <c r="N2796" s="3" t="s">
        <v>1890</v>
      </c>
      <c r="O2796" s="8" t="s">
        <v>1935</v>
      </c>
      <c r="P2796" s="60" t="s">
        <v>3443</v>
      </c>
      <c r="Q2796" s="3" t="s">
        <v>5676</v>
      </c>
      <c r="R2796" s="69">
        <f>23+50</f>
        <v>73</v>
      </c>
      <c r="S2796" s="69">
        <v>300</v>
      </c>
      <c r="T2796" s="10">
        <v>0</v>
      </c>
      <c r="U2796" s="10">
        <f t="shared" si="1646"/>
        <v>0</v>
      </c>
      <c r="V2796" s="7"/>
      <c r="W2796" s="1">
        <v>2015</v>
      </c>
      <c r="X2796" s="62" t="s">
        <v>7518</v>
      </c>
    </row>
    <row r="2797" spans="1:24" s="13" customFormat="1" ht="76.5" customHeight="1" outlineLevel="1" x14ac:dyDescent="0.2">
      <c r="A2797" s="1" t="s">
        <v>7940</v>
      </c>
      <c r="B2797" s="2" t="s">
        <v>5277</v>
      </c>
      <c r="C2797" s="2" t="s">
        <v>3831</v>
      </c>
      <c r="D2797" s="2" t="s">
        <v>5511</v>
      </c>
      <c r="E2797" s="6" t="s">
        <v>5512</v>
      </c>
      <c r="F2797" s="2"/>
      <c r="G2797" s="3" t="s">
        <v>3190</v>
      </c>
      <c r="H2797" s="5">
        <v>0</v>
      </c>
      <c r="I2797" s="6">
        <v>710000000</v>
      </c>
      <c r="J2797" s="4" t="s">
        <v>1931</v>
      </c>
      <c r="K2797" s="4" t="s">
        <v>756</v>
      </c>
      <c r="L2797" s="3" t="s">
        <v>1165</v>
      </c>
      <c r="M2797" s="8" t="s">
        <v>3195</v>
      </c>
      <c r="N2797" s="3" t="s">
        <v>1890</v>
      </c>
      <c r="O2797" s="8" t="s">
        <v>1935</v>
      </c>
      <c r="P2797" s="60" t="s">
        <v>3443</v>
      </c>
      <c r="Q2797" s="3" t="s">
        <v>5676</v>
      </c>
      <c r="R2797" s="69">
        <f>20+30</f>
        <v>50</v>
      </c>
      <c r="S2797" s="69">
        <v>300</v>
      </c>
      <c r="T2797" s="10">
        <f t="shared" ref="T2797" si="1699">S2797*R2797</f>
        <v>15000</v>
      </c>
      <c r="U2797" s="10">
        <f t="shared" ref="U2797" si="1700">T2797*1.12</f>
        <v>16800</v>
      </c>
      <c r="V2797" s="7"/>
      <c r="W2797" s="1">
        <v>2015</v>
      </c>
      <c r="X2797" s="62"/>
    </row>
    <row r="2798" spans="1:24" s="13" customFormat="1" ht="76.5" customHeight="1" outlineLevel="1" x14ac:dyDescent="0.2">
      <c r="A2798" s="1" t="s">
        <v>2807</v>
      </c>
      <c r="B2798" s="38" t="s">
        <v>5277</v>
      </c>
      <c r="C2798" s="2" t="s">
        <v>3830</v>
      </c>
      <c r="D2798" s="2" t="s">
        <v>5511</v>
      </c>
      <c r="E2798" s="6" t="s">
        <v>5513</v>
      </c>
      <c r="F2798" s="39"/>
      <c r="G2798" s="50" t="s">
        <v>3190</v>
      </c>
      <c r="H2798" s="5">
        <v>0</v>
      </c>
      <c r="I2798" s="6">
        <v>710000000</v>
      </c>
      <c r="J2798" s="4" t="s">
        <v>1931</v>
      </c>
      <c r="K2798" s="4" t="s">
        <v>5297</v>
      </c>
      <c r="L2798" s="3" t="s">
        <v>1165</v>
      </c>
      <c r="M2798" s="8" t="s">
        <v>3195</v>
      </c>
      <c r="N2798" s="3" t="s">
        <v>1890</v>
      </c>
      <c r="O2798" s="8" t="s">
        <v>1935</v>
      </c>
      <c r="P2798" s="60" t="s">
        <v>3443</v>
      </c>
      <c r="Q2798" s="3" t="s">
        <v>5676</v>
      </c>
      <c r="R2798" s="9">
        <f>20+60</f>
        <v>80</v>
      </c>
      <c r="S2798" s="9">
        <v>333.92</v>
      </c>
      <c r="T2798" s="10">
        <v>0</v>
      </c>
      <c r="U2798" s="10">
        <f t="shared" si="1646"/>
        <v>0</v>
      </c>
      <c r="V2798" s="7"/>
      <c r="W2798" s="11">
        <v>2015</v>
      </c>
      <c r="X2798" s="12" t="s">
        <v>6562</v>
      </c>
    </row>
    <row r="2799" spans="1:24" s="13" customFormat="1" ht="76.5" customHeight="1" outlineLevel="1" x14ac:dyDescent="0.2">
      <c r="A2799" s="1" t="s">
        <v>6717</v>
      </c>
      <c r="B2799" s="2" t="s">
        <v>5277</v>
      </c>
      <c r="C2799" s="2" t="s">
        <v>3830</v>
      </c>
      <c r="D2799" s="2" t="s">
        <v>5511</v>
      </c>
      <c r="E2799" s="6" t="s">
        <v>5513</v>
      </c>
      <c r="F2799" s="2"/>
      <c r="G2799" s="3" t="s">
        <v>3190</v>
      </c>
      <c r="H2799" s="5">
        <v>0</v>
      </c>
      <c r="I2799" s="6">
        <v>710000000</v>
      </c>
      <c r="J2799" s="4" t="s">
        <v>1931</v>
      </c>
      <c r="K2799" s="4" t="s">
        <v>5297</v>
      </c>
      <c r="L2799" s="3" t="s">
        <v>1165</v>
      </c>
      <c r="M2799" s="8" t="s">
        <v>3195</v>
      </c>
      <c r="N2799" s="3" t="s">
        <v>1890</v>
      </c>
      <c r="O2799" s="8" t="s">
        <v>1935</v>
      </c>
      <c r="P2799" s="60" t="s">
        <v>3443</v>
      </c>
      <c r="Q2799" s="3" t="s">
        <v>5676</v>
      </c>
      <c r="R2799" s="69">
        <f>15+50</f>
        <v>65</v>
      </c>
      <c r="S2799" s="69">
        <v>333.92</v>
      </c>
      <c r="T2799" s="10">
        <v>0</v>
      </c>
      <c r="U2799" s="10">
        <f t="shared" si="1646"/>
        <v>0</v>
      </c>
      <c r="V2799" s="7"/>
      <c r="W2799" s="1">
        <v>2015</v>
      </c>
      <c r="X2799" s="62" t="s">
        <v>7518</v>
      </c>
    </row>
    <row r="2800" spans="1:24" s="13" customFormat="1" ht="76.5" customHeight="1" outlineLevel="1" x14ac:dyDescent="0.2">
      <c r="A2800" s="1" t="s">
        <v>7941</v>
      </c>
      <c r="B2800" s="2" t="s">
        <v>5277</v>
      </c>
      <c r="C2800" s="2" t="s">
        <v>3830</v>
      </c>
      <c r="D2800" s="2" t="s">
        <v>5511</v>
      </c>
      <c r="E2800" s="6" t="s">
        <v>5513</v>
      </c>
      <c r="F2800" s="2"/>
      <c r="G2800" s="3" t="s">
        <v>3190</v>
      </c>
      <c r="H2800" s="5">
        <v>0</v>
      </c>
      <c r="I2800" s="6">
        <v>710000000</v>
      </c>
      <c r="J2800" s="4" t="s">
        <v>1931</v>
      </c>
      <c r="K2800" s="4" t="s">
        <v>756</v>
      </c>
      <c r="L2800" s="3" t="s">
        <v>1165</v>
      </c>
      <c r="M2800" s="8" t="s">
        <v>3195</v>
      </c>
      <c r="N2800" s="3" t="s">
        <v>1890</v>
      </c>
      <c r="O2800" s="8" t="s">
        <v>1935</v>
      </c>
      <c r="P2800" s="60" t="s">
        <v>3443</v>
      </c>
      <c r="Q2800" s="3" t="s">
        <v>5676</v>
      </c>
      <c r="R2800" s="69">
        <f>10+40</f>
        <v>50</v>
      </c>
      <c r="S2800" s="69">
        <v>333.92</v>
      </c>
      <c r="T2800" s="10">
        <f t="shared" ref="T2800" si="1701">S2800*R2800</f>
        <v>16696</v>
      </c>
      <c r="U2800" s="10">
        <f t="shared" ref="U2800" si="1702">T2800*1.12</f>
        <v>18699.52</v>
      </c>
      <c r="V2800" s="7"/>
      <c r="W2800" s="1">
        <v>2015</v>
      </c>
      <c r="X2800" s="62"/>
    </row>
    <row r="2801" spans="1:24" s="13" customFormat="1" ht="76.5" customHeight="1" outlineLevel="1" x14ac:dyDescent="0.2">
      <c r="A2801" s="1" t="s">
        <v>2808</v>
      </c>
      <c r="B2801" s="38" t="s">
        <v>5277</v>
      </c>
      <c r="C2801" s="2" t="s">
        <v>1283</v>
      </c>
      <c r="D2801" s="2" t="s">
        <v>5511</v>
      </c>
      <c r="E2801" s="6" t="s">
        <v>1282</v>
      </c>
      <c r="F2801" s="39"/>
      <c r="G2801" s="50" t="s">
        <v>3190</v>
      </c>
      <c r="H2801" s="5">
        <v>0</v>
      </c>
      <c r="I2801" s="6">
        <v>710000000</v>
      </c>
      <c r="J2801" s="4" t="s">
        <v>1931</v>
      </c>
      <c r="K2801" s="4" t="s">
        <v>5297</v>
      </c>
      <c r="L2801" s="3" t="s">
        <v>1165</v>
      </c>
      <c r="M2801" s="8" t="s">
        <v>3195</v>
      </c>
      <c r="N2801" s="3" t="s">
        <v>1890</v>
      </c>
      <c r="O2801" s="8" t="s">
        <v>1935</v>
      </c>
      <c r="P2801" s="60" t="s">
        <v>3010</v>
      </c>
      <c r="Q2801" s="3" t="s">
        <v>5142</v>
      </c>
      <c r="R2801" s="9">
        <f>20+20+200+20</f>
        <v>260</v>
      </c>
      <c r="S2801" s="9">
        <v>450</v>
      </c>
      <c r="T2801" s="10">
        <v>0</v>
      </c>
      <c r="U2801" s="10">
        <f t="shared" si="1646"/>
        <v>0</v>
      </c>
      <c r="V2801" s="7"/>
      <c r="W2801" s="11">
        <v>2015</v>
      </c>
      <c r="X2801" s="12" t="s">
        <v>6562</v>
      </c>
    </row>
    <row r="2802" spans="1:24" s="13" customFormat="1" ht="76.5" customHeight="1" outlineLevel="1" x14ac:dyDescent="0.2">
      <c r="A2802" s="1" t="s">
        <v>6718</v>
      </c>
      <c r="B2802" s="2" t="s">
        <v>5277</v>
      </c>
      <c r="C2802" s="2" t="s">
        <v>1283</v>
      </c>
      <c r="D2802" s="2" t="s">
        <v>5511</v>
      </c>
      <c r="E2802" s="6" t="s">
        <v>1282</v>
      </c>
      <c r="F2802" s="2"/>
      <c r="G2802" s="3" t="s">
        <v>3190</v>
      </c>
      <c r="H2802" s="5">
        <v>0</v>
      </c>
      <c r="I2802" s="6">
        <v>710000000</v>
      </c>
      <c r="J2802" s="4" t="s">
        <v>1931</v>
      </c>
      <c r="K2802" s="4" t="s">
        <v>5297</v>
      </c>
      <c r="L2802" s="3" t="s">
        <v>1165</v>
      </c>
      <c r="M2802" s="8" t="s">
        <v>3195</v>
      </c>
      <c r="N2802" s="3" t="s">
        <v>1890</v>
      </c>
      <c r="O2802" s="8" t="s">
        <v>1935</v>
      </c>
      <c r="P2802" s="60" t="s">
        <v>3010</v>
      </c>
      <c r="Q2802" s="3" t="s">
        <v>5142</v>
      </c>
      <c r="R2802" s="69">
        <f>20+10+150+20</f>
        <v>200</v>
      </c>
      <c r="S2802" s="69">
        <v>450</v>
      </c>
      <c r="T2802" s="10">
        <v>0</v>
      </c>
      <c r="U2802" s="10">
        <f t="shared" si="1646"/>
        <v>0</v>
      </c>
      <c r="V2802" s="7"/>
      <c r="W2802" s="1">
        <v>2015</v>
      </c>
      <c r="X2802" s="62" t="s">
        <v>7518</v>
      </c>
    </row>
    <row r="2803" spans="1:24" s="13" customFormat="1" ht="76.5" customHeight="1" outlineLevel="1" x14ac:dyDescent="0.2">
      <c r="A2803" s="1" t="s">
        <v>7942</v>
      </c>
      <c r="B2803" s="2" t="s">
        <v>5277</v>
      </c>
      <c r="C2803" s="2" t="s">
        <v>1283</v>
      </c>
      <c r="D2803" s="2" t="s">
        <v>5511</v>
      </c>
      <c r="E2803" s="6" t="s">
        <v>1282</v>
      </c>
      <c r="F2803" s="2"/>
      <c r="G2803" s="3" t="s">
        <v>3190</v>
      </c>
      <c r="H2803" s="5">
        <v>0</v>
      </c>
      <c r="I2803" s="6">
        <v>710000000</v>
      </c>
      <c r="J2803" s="4" t="s">
        <v>1931</v>
      </c>
      <c r="K2803" s="4" t="s">
        <v>756</v>
      </c>
      <c r="L2803" s="3" t="s">
        <v>1165</v>
      </c>
      <c r="M2803" s="8" t="s">
        <v>3195</v>
      </c>
      <c r="N2803" s="3" t="s">
        <v>1890</v>
      </c>
      <c r="O2803" s="8" t="s">
        <v>1935</v>
      </c>
      <c r="P2803" s="60" t="s">
        <v>3010</v>
      </c>
      <c r="Q2803" s="3" t="s">
        <v>5142</v>
      </c>
      <c r="R2803" s="69">
        <f>15+5+100+10</f>
        <v>130</v>
      </c>
      <c r="S2803" s="69">
        <v>450</v>
      </c>
      <c r="T2803" s="10">
        <f t="shared" ref="T2803" si="1703">S2803*R2803</f>
        <v>58500</v>
      </c>
      <c r="U2803" s="10">
        <f t="shared" ref="U2803" si="1704">T2803*1.12</f>
        <v>65520.000000000007</v>
      </c>
      <c r="V2803" s="7"/>
      <c r="W2803" s="1">
        <v>2015</v>
      </c>
      <c r="X2803" s="62"/>
    </row>
    <row r="2804" spans="1:24" s="13" customFormat="1" ht="76.5" customHeight="1" outlineLevel="1" x14ac:dyDescent="0.2">
      <c r="A2804" s="1" t="s">
        <v>2809</v>
      </c>
      <c r="B2804" s="38" t="s">
        <v>5277</v>
      </c>
      <c r="C2804" s="2" t="s">
        <v>1281</v>
      </c>
      <c r="D2804" s="2" t="s">
        <v>5511</v>
      </c>
      <c r="E2804" s="6" t="s">
        <v>1280</v>
      </c>
      <c r="F2804" s="39"/>
      <c r="G2804" s="50" t="s">
        <v>3190</v>
      </c>
      <c r="H2804" s="5">
        <v>0</v>
      </c>
      <c r="I2804" s="6">
        <v>710000000</v>
      </c>
      <c r="J2804" s="4" t="s">
        <v>1931</v>
      </c>
      <c r="K2804" s="4" t="s">
        <v>5297</v>
      </c>
      <c r="L2804" s="3" t="s">
        <v>1165</v>
      </c>
      <c r="M2804" s="8" t="s">
        <v>3195</v>
      </c>
      <c r="N2804" s="3" t="s">
        <v>1890</v>
      </c>
      <c r="O2804" s="8" t="s">
        <v>1935</v>
      </c>
      <c r="P2804" s="60" t="s">
        <v>3010</v>
      </c>
      <c r="Q2804" s="3" t="s">
        <v>5142</v>
      </c>
      <c r="R2804" s="9">
        <f>20+20+20</f>
        <v>60</v>
      </c>
      <c r="S2804" s="9">
        <v>654</v>
      </c>
      <c r="T2804" s="10">
        <v>0</v>
      </c>
      <c r="U2804" s="10">
        <f t="shared" si="1646"/>
        <v>0</v>
      </c>
      <c r="V2804" s="7"/>
      <c r="W2804" s="11">
        <v>2015</v>
      </c>
      <c r="X2804" s="12" t="s">
        <v>6562</v>
      </c>
    </row>
    <row r="2805" spans="1:24" s="13" customFormat="1" ht="76.5" customHeight="1" outlineLevel="1" x14ac:dyDescent="0.2">
      <c r="A2805" s="1" t="s">
        <v>6719</v>
      </c>
      <c r="B2805" s="2" t="s">
        <v>5277</v>
      </c>
      <c r="C2805" s="2" t="s">
        <v>1281</v>
      </c>
      <c r="D2805" s="2" t="s">
        <v>5511</v>
      </c>
      <c r="E2805" s="6" t="s">
        <v>1280</v>
      </c>
      <c r="F2805" s="2"/>
      <c r="G2805" s="3" t="s">
        <v>3190</v>
      </c>
      <c r="H2805" s="5">
        <v>0</v>
      </c>
      <c r="I2805" s="6">
        <v>710000000</v>
      </c>
      <c r="J2805" s="4" t="s">
        <v>1931</v>
      </c>
      <c r="K2805" s="4" t="s">
        <v>5297</v>
      </c>
      <c r="L2805" s="3" t="s">
        <v>1165</v>
      </c>
      <c r="M2805" s="8" t="s">
        <v>3195</v>
      </c>
      <c r="N2805" s="3" t="s">
        <v>1890</v>
      </c>
      <c r="O2805" s="8" t="s">
        <v>1935</v>
      </c>
      <c r="P2805" s="60" t="s">
        <v>3010</v>
      </c>
      <c r="Q2805" s="3" t="s">
        <v>5142</v>
      </c>
      <c r="R2805" s="69">
        <f>10+20+10</f>
        <v>40</v>
      </c>
      <c r="S2805" s="69">
        <v>654</v>
      </c>
      <c r="T2805" s="10">
        <v>0</v>
      </c>
      <c r="U2805" s="10">
        <f t="shared" si="1646"/>
        <v>0</v>
      </c>
      <c r="V2805" s="7"/>
      <c r="W2805" s="1">
        <v>2015</v>
      </c>
      <c r="X2805" s="62" t="s">
        <v>7518</v>
      </c>
    </row>
    <row r="2806" spans="1:24" s="13" customFormat="1" ht="76.5" customHeight="1" outlineLevel="1" x14ac:dyDescent="0.2">
      <c r="A2806" s="1" t="s">
        <v>7943</v>
      </c>
      <c r="B2806" s="2" t="s">
        <v>5277</v>
      </c>
      <c r="C2806" s="2" t="s">
        <v>1281</v>
      </c>
      <c r="D2806" s="2" t="s">
        <v>5511</v>
      </c>
      <c r="E2806" s="6" t="s">
        <v>1280</v>
      </c>
      <c r="F2806" s="2"/>
      <c r="G2806" s="3" t="s">
        <v>3190</v>
      </c>
      <c r="H2806" s="5">
        <v>0</v>
      </c>
      <c r="I2806" s="6">
        <v>710000000</v>
      </c>
      <c r="J2806" s="4" t="s">
        <v>1931</v>
      </c>
      <c r="K2806" s="4" t="s">
        <v>756</v>
      </c>
      <c r="L2806" s="3" t="s">
        <v>1165</v>
      </c>
      <c r="M2806" s="8" t="s">
        <v>3195</v>
      </c>
      <c r="N2806" s="3" t="s">
        <v>1890</v>
      </c>
      <c r="O2806" s="8" t="s">
        <v>1935</v>
      </c>
      <c r="P2806" s="60" t="s">
        <v>3010</v>
      </c>
      <c r="Q2806" s="3" t="s">
        <v>5142</v>
      </c>
      <c r="R2806" s="69">
        <f>5+10+5</f>
        <v>20</v>
      </c>
      <c r="S2806" s="69">
        <v>654</v>
      </c>
      <c r="T2806" s="10">
        <f t="shared" ref="T2806" si="1705">S2806*R2806</f>
        <v>13080</v>
      </c>
      <c r="U2806" s="10">
        <f t="shared" ref="U2806" si="1706">T2806*1.12</f>
        <v>14649.600000000002</v>
      </c>
      <c r="V2806" s="7"/>
      <c r="W2806" s="1">
        <v>2015</v>
      </c>
      <c r="X2806" s="62"/>
    </row>
    <row r="2807" spans="1:24" s="13" customFormat="1" ht="76.5" customHeight="1" outlineLevel="1" x14ac:dyDescent="0.2">
      <c r="A2807" s="1" t="s">
        <v>2810</v>
      </c>
      <c r="B2807" s="38" t="s">
        <v>5277</v>
      </c>
      <c r="C2807" s="2" t="s">
        <v>1279</v>
      </c>
      <c r="D2807" s="2" t="s">
        <v>5511</v>
      </c>
      <c r="E2807" s="6" t="s">
        <v>1278</v>
      </c>
      <c r="F2807" s="39"/>
      <c r="G2807" s="50" t="s">
        <v>3190</v>
      </c>
      <c r="H2807" s="5">
        <v>0</v>
      </c>
      <c r="I2807" s="6">
        <v>710000000</v>
      </c>
      <c r="J2807" s="4" t="s">
        <v>1931</v>
      </c>
      <c r="K2807" s="4" t="s">
        <v>5297</v>
      </c>
      <c r="L2807" s="3" t="s">
        <v>1165</v>
      </c>
      <c r="M2807" s="8" t="s">
        <v>3195</v>
      </c>
      <c r="N2807" s="3" t="s">
        <v>1890</v>
      </c>
      <c r="O2807" s="8" t="s">
        <v>1935</v>
      </c>
      <c r="P2807" s="60" t="s">
        <v>3010</v>
      </c>
      <c r="Q2807" s="3" t="s">
        <v>5142</v>
      </c>
      <c r="R2807" s="9">
        <f>20+20+20</f>
        <v>60</v>
      </c>
      <c r="S2807" s="9">
        <v>400</v>
      </c>
      <c r="T2807" s="10">
        <v>0</v>
      </c>
      <c r="U2807" s="10">
        <f t="shared" si="1646"/>
        <v>0</v>
      </c>
      <c r="V2807" s="7"/>
      <c r="W2807" s="11">
        <v>2015</v>
      </c>
      <c r="X2807" s="12" t="s">
        <v>6562</v>
      </c>
    </row>
    <row r="2808" spans="1:24" s="13" customFormat="1" ht="76.5" customHeight="1" outlineLevel="1" x14ac:dyDescent="0.2">
      <c r="A2808" s="1" t="s">
        <v>6720</v>
      </c>
      <c r="B2808" s="2" t="s">
        <v>5277</v>
      </c>
      <c r="C2808" s="2" t="s">
        <v>1279</v>
      </c>
      <c r="D2808" s="2" t="s">
        <v>5511</v>
      </c>
      <c r="E2808" s="6" t="s">
        <v>1278</v>
      </c>
      <c r="F2808" s="2"/>
      <c r="G2808" s="3" t="s">
        <v>3190</v>
      </c>
      <c r="H2808" s="5">
        <v>0</v>
      </c>
      <c r="I2808" s="6">
        <v>710000000</v>
      </c>
      <c r="J2808" s="4" t="s">
        <v>1931</v>
      </c>
      <c r="K2808" s="4" t="s">
        <v>5297</v>
      </c>
      <c r="L2808" s="3" t="s">
        <v>1165</v>
      </c>
      <c r="M2808" s="8" t="s">
        <v>3195</v>
      </c>
      <c r="N2808" s="3" t="s">
        <v>1890</v>
      </c>
      <c r="O2808" s="8" t="s">
        <v>1935</v>
      </c>
      <c r="P2808" s="60" t="s">
        <v>3010</v>
      </c>
      <c r="Q2808" s="3" t="s">
        <v>5142</v>
      </c>
      <c r="R2808" s="69">
        <f>15+20+10</f>
        <v>45</v>
      </c>
      <c r="S2808" s="69">
        <v>400</v>
      </c>
      <c r="T2808" s="10">
        <v>0</v>
      </c>
      <c r="U2808" s="10">
        <f t="shared" si="1646"/>
        <v>0</v>
      </c>
      <c r="V2808" s="7"/>
      <c r="W2808" s="1">
        <v>2015</v>
      </c>
      <c r="X2808" s="62" t="s">
        <v>7518</v>
      </c>
    </row>
    <row r="2809" spans="1:24" s="13" customFormat="1" ht="76.5" customHeight="1" outlineLevel="1" x14ac:dyDescent="0.2">
      <c r="A2809" s="1" t="s">
        <v>7944</v>
      </c>
      <c r="B2809" s="2" t="s">
        <v>5277</v>
      </c>
      <c r="C2809" s="2" t="s">
        <v>1279</v>
      </c>
      <c r="D2809" s="2" t="s">
        <v>5511</v>
      </c>
      <c r="E2809" s="6" t="s">
        <v>1278</v>
      </c>
      <c r="F2809" s="2"/>
      <c r="G2809" s="3" t="s">
        <v>3190</v>
      </c>
      <c r="H2809" s="5">
        <v>0</v>
      </c>
      <c r="I2809" s="6">
        <v>710000000</v>
      </c>
      <c r="J2809" s="4" t="s">
        <v>1931</v>
      </c>
      <c r="K2809" s="4" t="s">
        <v>756</v>
      </c>
      <c r="L2809" s="3" t="s">
        <v>1165</v>
      </c>
      <c r="M2809" s="8" t="s">
        <v>3195</v>
      </c>
      <c r="N2809" s="3" t="s">
        <v>1890</v>
      </c>
      <c r="O2809" s="8" t="s">
        <v>1935</v>
      </c>
      <c r="P2809" s="60" t="s">
        <v>3010</v>
      </c>
      <c r="Q2809" s="3" t="s">
        <v>5142</v>
      </c>
      <c r="R2809" s="69">
        <f>10+15+5</f>
        <v>30</v>
      </c>
      <c r="S2809" s="69">
        <v>400</v>
      </c>
      <c r="T2809" s="10">
        <f t="shared" ref="T2809" si="1707">S2809*R2809</f>
        <v>12000</v>
      </c>
      <c r="U2809" s="10">
        <f t="shared" ref="U2809" si="1708">T2809*1.12</f>
        <v>13440.000000000002</v>
      </c>
      <c r="V2809" s="7"/>
      <c r="W2809" s="1">
        <v>2015</v>
      </c>
      <c r="X2809" s="62"/>
    </row>
    <row r="2810" spans="1:24" s="13" customFormat="1" ht="76.5" customHeight="1" outlineLevel="1" x14ac:dyDescent="0.2">
      <c r="A2810" s="1" t="s">
        <v>2811</v>
      </c>
      <c r="B2810" s="2" t="s">
        <v>5277</v>
      </c>
      <c r="C2810" s="2" t="s">
        <v>94</v>
      </c>
      <c r="D2810" s="2" t="s">
        <v>5511</v>
      </c>
      <c r="E2810" s="2" t="s">
        <v>93</v>
      </c>
      <c r="F2810" s="2"/>
      <c r="G2810" s="3" t="s">
        <v>3190</v>
      </c>
      <c r="H2810" s="5">
        <v>0</v>
      </c>
      <c r="I2810" s="6">
        <v>710000000</v>
      </c>
      <c r="J2810" s="4" t="s">
        <v>1931</v>
      </c>
      <c r="K2810" s="4" t="s">
        <v>5297</v>
      </c>
      <c r="L2810" s="3" t="s">
        <v>1165</v>
      </c>
      <c r="M2810" s="8" t="s">
        <v>3195</v>
      </c>
      <c r="N2810" s="3" t="s">
        <v>1890</v>
      </c>
      <c r="O2810" s="8" t="s">
        <v>1935</v>
      </c>
      <c r="P2810" s="60" t="s">
        <v>3010</v>
      </c>
      <c r="Q2810" s="3" t="s">
        <v>5142</v>
      </c>
      <c r="R2810" s="69">
        <v>15</v>
      </c>
      <c r="S2810" s="69">
        <v>500</v>
      </c>
      <c r="T2810" s="10">
        <v>0</v>
      </c>
      <c r="U2810" s="10">
        <f t="shared" si="1646"/>
        <v>0</v>
      </c>
      <c r="V2810" s="7"/>
      <c r="W2810" s="1">
        <v>2015</v>
      </c>
      <c r="X2810" s="62">
        <v>11</v>
      </c>
    </row>
    <row r="2811" spans="1:24" s="13" customFormat="1" ht="76.5" customHeight="1" outlineLevel="1" x14ac:dyDescent="0.2">
      <c r="A2811" s="1" t="s">
        <v>7945</v>
      </c>
      <c r="B2811" s="2" t="s">
        <v>5277</v>
      </c>
      <c r="C2811" s="2" t="s">
        <v>94</v>
      </c>
      <c r="D2811" s="2" t="s">
        <v>5511</v>
      </c>
      <c r="E2811" s="2" t="s">
        <v>93</v>
      </c>
      <c r="F2811" s="2"/>
      <c r="G2811" s="3" t="s">
        <v>3190</v>
      </c>
      <c r="H2811" s="5">
        <v>0</v>
      </c>
      <c r="I2811" s="6">
        <v>710000000</v>
      </c>
      <c r="J2811" s="4" t="s">
        <v>1931</v>
      </c>
      <c r="K2811" s="4" t="s">
        <v>756</v>
      </c>
      <c r="L2811" s="3" t="s">
        <v>1165</v>
      </c>
      <c r="M2811" s="8" t="s">
        <v>3195</v>
      </c>
      <c r="N2811" s="3" t="s">
        <v>1890</v>
      </c>
      <c r="O2811" s="8" t="s">
        <v>1935</v>
      </c>
      <c r="P2811" s="60" t="s">
        <v>3010</v>
      </c>
      <c r="Q2811" s="3" t="s">
        <v>5142</v>
      </c>
      <c r="R2811" s="69">
        <v>15</v>
      </c>
      <c r="S2811" s="69">
        <v>500</v>
      </c>
      <c r="T2811" s="10">
        <f t="shared" ref="T2811" si="1709">S2811*R2811</f>
        <v>7500</v>
      </c>
      <c r="U2811" s="10">
        <f t="shared" ref="U2811" si="1710">T2811*1.12</f>
        <v>8400</v>
      </c>
      <c r="V2811" s="7"/>
      <c r="W2811" s="1">
        <v>2015</v>
      </c>
      <c r="X2811" s="62"/>
    </row>
    <row r="2812" spans="1:24" s="13" customFormat="1" ht="76.5" customHeight="1" outlineLevel="1" x14ac:dyDescent="0.2">
      <c r="A2812" s="1" t="s">
        <v>2812</v>
      </c>
      <c r="B2812" s="2" t="s">
        <v>5277</v>
      </c>
      <c r="C2812" s="2" t="s">
        <v>92</v>
      </c>
      <c r="D2812" s="2" t="s">
        <v>5511</v>
      </c>
      <c r="E2812" s="2" t="s">
        <v>91</v>
      </c>
      <c r="F2812" s="2"/>
      <c r="G2812" s="3" t="s">
        <v>3190</v>
      </c>
      <c r="H2812" s="5">
        <v>0</v>
      </c>
      <c r="I2812" s="6">
        <v>710000000</v>
      </c>
      <c r="J2812" s="4" t="s">
        <v>1931</v>
      </c>
      <c r="K2812" s="4" t="s">
        <v>5297</v>
      </c>
      <c r="L2812" s="3" t="s">
        <v>1165</v>
      </c>
      <c r="M2812" s="8" t="s">
        <v>3195</v>
      </c>
      <c r="N2812" s="3" t="s">
        <v>1890</v>
      </c>
      <c r="O2812" s="8" t="s">
        <v>1935</v>
      </c>
      <c r="P2812" s="60" t="s">
        <v>3010</v>
      </c>
      <c r="Q2812" s="3" t="s">
        <v>5142</v>
      </c>
      <c r="R2812" s="69">
        <v>6</v>
      </c>
      <c r="S2812" s="69">
        <v>1040</v>
      </c>
      <c r="T2812" s="10">
        <v>0</v>
      </c>
      <c r="U2812" s="10">
        <f t="shared" si="1646"/>
        <v>0</v>
      </c>
      <c r="V2812" s="7"/>
      <c r="W2812" s="1">
        <v>2015</v>
      </c>
      <c r="X2812" s="62">
        <v>11</v>
      </c>
    </row>
    <row r="2813" spans="1:24" s="13" customFormat="1" ht="76.5" customHeight="1" outlineLevel="1" x14ac:dyDescent="0.2">
      <c r="A2813" s="1" t="s">
        <v>7946</v>
      </c>
      <c r="B2813" s="2" t="s">
        <v>5277</v>
      </c>
      <c r="C2813" s="2" t="s">
        <v>92</v>
      </c>
      <c r="D2813" s="2" t="s">
        <v>5511</v>
      </c>
      <c r="E2813" s="2" t="s">
        <v>91</v>
      </c>
      <c r="F2813" s="2"/>
      <c r="G2813" s="3" t="s">
        <v>3190</v>
      </c>
      <c r="H2813" s="5">
        <v>0</v>
      </c>
      <c r="I2813" s="6">
        <v>710000000</v>
      </c>
      <c r="J2813" s="4" t="s">
        <v>1931</v>
      </c>
      <c r="K2813" s="4" t="s">
        <v>756</v>
      </c>
      <c r="L2813" s="3" t="s">
        <v>1165</v>
      </c>
      <c r="M2813" s="8" t="s">
        <v>3195</v>
      </c>
      <c r="N2813" s="3" t="s">
        <v>1890</v>
      </c>
      <c r="O2813" s="8" t="s">
        <v>1935</v>
      </c>
      <c r="P2813" s="60" t="s">
        <v>3010</v>
      </c>
      <c r="Q2813" s="3" t="s">
        <v>5142</v>
      </c>
      <c r="R2813" s="69">
        <v>6</v>
      </c>
      <c r="S2813" s="69">
        <v>1040</v>
      </c>
      <c r="T2813" s="10">
        <f t="shared" ref="T2813" si="1711">S2813*R2813</f>
        <v>6240</v>
      </c>
      <c r="U2813" s="10">
        <f t="shared" ref="U2813" si="1712">T2813*1.12</f>
        <v>6988.8000000000011</v>
      </c>
      <c r="V2813" s="7"/>
      <c r="W2813" s="1">
        <v>2015</v>
      </c>
      <c r="X2813" s="62"/>
    </row>
    <row r="2814" spans="1:24" s="13" customFormat="1" ht="76.5" customHeight="1" outlineLevel="1" x14ac:dyDescent="0.2">
      <c r="A2814" s="1" t="s">
        <v>2813</v>
      </c>
      <c r="B2814" s="2" t="s">
        <v>5277</v>
      </c>
      <c r="C2814" s="2" t="s">
        <v>3829</v>
      </c>
      <c r="D2814" s="2" t="s">
        <v>5511</v>
      </c>
      <c r="E2814" s="2" t="s">
        <v>90</v>
      </c>
      <c r="F2814" s="75"/>
      <c r="G2814" s="3" t="s">
        <v>3190</v>
      </c>
      <c r="H2814" s="5">
        <v>0</v>
      </c>
      <c r="I2814" s="6">
        <v>710000000</v>
      </c>
      <c r="J2814" s="4" t="s">
        <v>1931</v>
      </c>
      <c r="K2814" s="4" t="s">
        <v>5297</v>
      </c>
      <c r="L2814" s="3" t="s">
        <v>1165</v>
      </c>
      <c r="M2814" s="8" t="s">
        <v>3195</v>
      </c>
      <c r="N2814" s="3" t="s">
        <v>1890</v>
      </c>
      <c r="O2814" s="8" t="s">
        <v>1935</v>
      </c>
      <c r="P2814" s="60" t="s">
        <v>3010</v>
      </c>
      <c r="Q2814" s="3" t="s">
        <v>5142</v>
      </c>
      <c r="R2814" s="69">
        <v>30</v>
      </c>
      <c r="S2814" s="69">
        <v>783.93</v>
      </c>
      <c r="T2814" s="10">
        <v>0</v>
      </c>
      <c r="U2814" s="10">
        <f t="shared" si="1646"/>
        <v>0</v>
      </c>
      <c r="V2814" s="7"/>
      <c r="W2814" s="1">
        <v>2015</v>
      </c>
      <c r="X2814" s="62">
        <v>11</v>
      </c>
    </row>
    <row r="2815" spans="1:24" s="13" customFormat="1" ht="76.5" customHeight="1" outlineLevel="1" x14ac:dyDescent="0.2">
      <c r="A2815" s="1" t="s">
        <v>7947</v>
      </c>
      <c r="B2815" s="2" t="s">
        <v>5277</v>
      </c>
      <c r="C2815" s="2" t="s">
        <v>3829</v>
      </c>
      <c r="D2815" s="2" t="s">
        <v>5511</v>
      </c>
      <c r="E2815" s="2" t="s">
        <v>90</v>
      </c>
      <c r="F2815" s="75"/>
      <c r="G2815" s="3" t="s">
        <v>3190</v>
      </c>
      <c r="H2815" s="5">
        <v>0</v>
      </c>
      <c r="I2815" s="6">
        <v>710000000</v>
      </c>
      <c r="J2815" s="4" t="s">
        <v>1931</v>
      </c>
      <c r="K2815" s="4" t="s">
        <v>756</v>
      </c>
      <c r="L2815" s="3" t="s">
        <v>1165</v>
      </c>
      <c r="M2815" s="8" t="s">
        <v>3195</v>
      </c>
      <c r="N2815" s="3" t="s">
        <v>1890</v>
      </c>
      <c r="O2815" s="8" t="s">
        <v>1935</v>
      </c>
      <c r="P2815" s="60" t="s">
        <v>3010</v>
      </c>
      <c r="Q2815" s="3" t="s">
        <v>5142</v>
      </c>
      <c r="R2815" s="69">
        <v>30</v>
      </c>
      <c r="S2815" s="69">
        <v>783.93</v>
      </c>
      <c r="T2815" s="10">
        <f t="shared" ref="T2815" si="1713">S2815*R2815</f>
        <v>23517.899999999998</v>
      </c>
      <c r="U2815" s="10">
        <f t="shared" ref="U2815" si="1714">T2815*1.12</f>
        <v>26340.047999999999</v>
      </c>
      <c r="V2815" s="7"/>
      <c r="W2815" s="1">
        <v>2015</v>
      </c>
      <c r="X2815" s="62"/>
    </row>
    <row r="2816" spans="1:24" s="13" customFormat="1" ht="76.5" customHeight="1" outlineLevel="1" x14ac:dyDescent="0.2">
      <c r="A2816" s="1" t="s">
        <v>2814</v>
      </c>
      <c r="B2816" s="38" t="s">
        <v>5277</v>
      </c>
      <c r="C2816" s="2" t="s">
        <v>3828</v>
      </c>
      <c r="D2816" s="2" t="s">
        <v>5511</v>
      </c>
      <c r="E2816" s="2" t="s">
        <v>89</v>
      </c>
      <c r="F2816" s="2"/>
      <c r="G2816" s="50" t="s">
        <v>3190</v>
      </c>
      <c r="H2816" s="5">
        <v>0</v>
      </c>
      <c r="I2816" s="6">
        <v>710000000</v>
      </c>
      <c r="J2816" s="4" t="s">
        <v>1931</v>
      </c>
      <c r="K2816" s="4" t="s">
        <v>5297</v>
      </c>
      <c r="L2816" s="3" t="s">
        <v>1165</v>
      </c>
      <c r="M2816" s="8" t="s">
        <v>3195</v>
      </c>
      <c r="N2816" s="3" t="s">
        <v>1890</v>
      </c>
      <c r="O2816" s="8" t="s">
        <v>1935</v>
      </c>
      <c r="P2816" s="60" t="s">
        <v>3010</v>
      </c>
      <c r="Q2816" s="3" t="s">
        <v>5142</v>
      </c>
      <c r="R2816" s="9">
        <f>35+30</f>
        <v>65</v>
      </c>
      <c r="S2816" s="9">
        <v>783.93</v>
      </c>
      <c r="T2816" s="10">
        <v>0</v>
      </c>
      <c r="U2816" s="10">
        <f t="shared" si="1646"/>
        <v>0</v>
      </c>
      <c r="V2816" s="7"/>
      <c r="W2816" s="11">
        <v>2015</v>
      </c>
      <c r="X2816" s="12" t="s">
        <v>6562</v>
      </c>
    </row>
    <row r="2817" spans="1:24" s="13" customFormat="1" ht="76.5" customHeight="1" outlineLevel="1" x14ac:dyDescent="0.2">
      <c r="A2817" s="1" t="s">
        <v>6721</v>
      </c>
      <c r="B2817" s="2" t="s">
        <v>5277</v>
      </c>
      <c r="C2817" s="2" t="s">
        <v>3828</v>
      </c>
      <c r="D2817" s="2" t="s">
        <v>5511</v>
      </c>
      <c r="E2817" s="2" t="s">
        <v>89</v>
      </c>
      <c r="F2817" s="2"/>
      <c r="G2817" s="3" t="s">
        <v>3190</v>
      </c>
      <c r="H2817" s="5">
        <v>0</v>
      </c>
      <c r="I2817" s="6">
        <v>710000000</v>
      </c>
      <c r="J2817" s="4" t="s">
        <v>1931</v>
      </c>
      <c r="K2817" s="4" t="s">
        <v>5297</v>
      </c>
      <c r="L2817" s="3" t="s">
        <v>1165</v>
      </c>
      <c r="M2817" s="8" t="s">
        <v>3195</v>
      </c>
      <c r="N2817" s="3" t="s">
        <v>1890</v>
      </c>
      <c r="O2817" s="8" t="s">
        <v>1935</v>
      </c>
      <c r="P2817" s="60" t="s">
        <v>3010</v>
      </c>
      <c r="Q2817" s="3" t="s">
        <v>5142</v>
      </c>
      <c r="R2817" s="69">
        <f>30+20</f>
        <v>50</v>
      </c>
      <c r="S2817" s="69">
        <v>783.93</v>
      </c>
      <c r="T2817" s="10">
        <v>0</v>
      </c>
      <c r="U2817" s="10">
        <f t="shared" si="1646"/>
        <v>0</v>
      </c>
      <c r="V2817" s="7"/>
      <c r="W2817" s="1">
        <v>2015</v>
      </c>
      <c r="X2817" s="62">
        <v>11</v>
      </c>
    </row>
    <row r="2818" spans="1:24" s="13" customFormat="1" ht="76.5" customHeight="1" outlineLevel="1" x14ac:dyDescent="0.2">
      <c r="A2818" s="1" t="s">
        <v>7948</v>
      </c>
      <c r="B2818" s="2" t="s">
        <v>5277</v>
      </c>
      <c r="C2818" s="2" t="s">
        <v>3828</v>
      </c>
      <c r="D2818" s="2" t="s">
        <v>5511</v>
      </c>
      <c r="E2818" s="2" t="s">
        <v>89</v>
      </c>
      <c r="F2818" s="2"/>
      <c r="G2818" s="3" t="s">
        <v>3190</v>
      </c>
      <c r="H2818" s="5">
        <v>0</v>
      </c>
      <c r="I2818" s="6">
        <v>710000000</v>
      </c>
      <c r="J2818" s="4" t="s">
        <v>1931</v>
      </c>
      <c r="K2818" s="4" t="s">
        <v>756</v>
      </c>
      <c r="L2818" s="3" t="s">
        <v>1165</v>
      </c>
      <c r="M2818" s="8" t="s">
        <v>3195</v>
      </c>
      <c r="N2818" s="3" t="s">
        <v>1890</v>
      </c>
      <c r="O2818" s="8" t="s">
        <v>1935</v>
      </c>
      <c r="P2818" s="60" t="s">
        <v>3010</v>
      </c>
      <c r="Q2818" s="3" t="s">
        <v>5142</v>
      </c>
      <c r="R2818" s="69">
        <f>30+20</f>
        <v>50</v>
      </c>
      <c r="S2818" s="69">
        <v>783.93</v>
      </c>
      <c r="T2818" s="10">
        <f t="shared" ref="T2818" si="1715">S2818*R2818</f>
        <v>39196.5</v>
      </c>
      <c r="U2818" s="10">
        <f t="shared" ref="U2818" si="1716">T2818*1.12</f>
        <v>43900.08</v>
      </c>
      <c r="V2818" s="7"/>
      <c r="W2818" s="1">
        <v>2015</v>
      </c>
      <c r="X2818" s="62"/>
    </row>
    <row r="2819" spans="1:24" s="13" customFormat="1" ht="76.5" customHeight="1" outlineLevel="1" x14ac:dyDescent="0.2">
      <c r="A2819" s="1" t="s">
        <v>2815</v>
      </c>
      <c r="B2819" s="38" t="s">
        <v>5277</v>
      </c>
      <c r="C2819" s="2" t="s">
        <v>3827</v>
      </c>
      <c r="D2819" s="2" t="s">
        <v>5511</v>
      </c>
      <c r="E2819" s="2" t="s">
        <v>88</v>
      </c>
      <c r="F2819" s="39"/>
      <c r="G2819" s="50" t="s">
        <v>3190</v>
      </c>
      <c r="H2819" s="5">
        <v>0</v>
      </c>
      <c r="I2819" s="6">
        <v>710000000</v>
      </c>
      <c r="J2819" s="4" t="s">
        <v>1931</v>
      </c>
      <c r="K2819" s="4" t="s">
        <v>5297</v>
      </c>
      <c r="L2819" s="3" t="s">
        <v>1165</v>
      </c>
      <c r="M2819" s="8" t="s">
        <v>3195</v>
      </c>
      <c r="N2819" s="3" t="s">
        <v>1890</v>
      </c>
      <c r="O2819" s="8" t="s">
        <v>1935</v>
      </c>
      <c r="P2819" s="60" t="s">
        <v>3010</v>
      </c>
      <c r="Q2819" s="3" t="s">
        <v>5142</v>
      </c>
      <c r="R2819" s="9">
        <f>30+30</f>
        <v>60</v>
      </c>
      <c r="S2819" s="9">
        <v>783.93</v>
      </c>
      <c r="T2819" s="10">
        <v>0</v>
      </c>
      <c r="U2819" s="10">
        <f t="shared" si="1646"/>
        <v>0</v>
      </c>
      <c r="V2819" s="7"/>
      <c r="W2819" s="11">
        <v>2015</v>
      </c>
      <c r="X2819" s="12" t="s">
        <v>6562</v>
      </c>
    </row>
    <row r="2820" spans="1:24" s="13" customFormat="1" ht="76.5" customHeight="1" outlineLevel="1" x14ac:dyDescent="0.2">
      <c r="A2820" s="1" t="s">
        <v>6722</v>
      </c>
      <c r="B2820" s="2" t="s">
        <v>5277</v>
      </c>
      <c r="C2820" s="2" t="s">
        <v>3827</v>
      </c>
      <c r="D2820" s="2" t="s">
        <v>5511</v>
      </c>
      <c r="E2820" s="2" t="s">
        <v>88</v>
      </c>
      <c r="F2820" s="2"/>
      <c r="G2820" s="3" t="s">
        <v>3190</v>
      </c>
      <c r="H2820" s="5">
        <v>0</v>
      </c>
      <c r="I2820" s="6">
        <v>710000000</v>
      </c>
      <c r="J2820" s="4" t="s">
        <v>1931</v>
      </c>
      <c r="K2820" s="4" t="s">
        <v>5297</v>
      </c>
      <c r="L2820" s="3" t="s">
        <v>1165</v>
      </c>
      <c r="M2820" s="8" t="s">
        <v>3195</v>
      </c>
      <c r="N2820" s="3" t="s">
        <v>1890</v>
      </c>
      <c r="O2820" s="8" t="s">
        <v>1935</v>
      </c>
      <c r="P2820" s="60" t="s">
        <v>3010</v>
      </c>
      <c r="Q2820" s="3" t="s">
        <v>5142</v>
      </c>
      <c r="R2820" s="69">
        <f>20+20</f>
        <v>40</v>
      </c>
      <c r="S2820" s="69">
        <v>783.93</v>
      </c>
      <c r="T2820" s="10">
        <v>0</v>
      </c>
      <c r="U2820" s="10">
        <f t="shared" si="1646"/>
        <v>0</v>
      </c>
      <c r="V2820" s="7"/>
      <c r="W2820" s="1">
        <v>2015</v>
      </c>
      <c r="X2820" s="62">
        <v>11</v>
      </c>
    </row>
    <row r="2821" spans="1:24" s="13" customFormat="1" ht="76.5" customHeight="1" outlineLevel="1" x14ac:dyDescent="0.2">
      <c r="A2821" s="1" t="s">
        <v>7949</v>
      </c>
      <c r="B2821" s="2" t="s">
        <v>5277</v>
      </c>
      <c r="C2821" s="2" t="s">
        <v>3827</v>
      </c>
      <c r="D2821" s="2" t="s">
        <v>5511</v>
      </c>
      <c r="E2821" s="2" t="s">
        <v>88</v>
      </c>
      <c r="F2821" s="2"/>
      <c r="G2821" s="3" t="s">
        <v>3190</v>
      </c>
      <c r="H2821" s="5">
        <v>0</v>
      </c>
      <c r="I2821" s="6">
        <v>710000000</v>
      </c>
      <c r="J2821" s="4" t="s">
        <v>1931</v>
      </c>
      <c r="K2821" s="77" t="s">
        <v>6167</v>
      </c>
      <c r="L2821" s="3" t="s">
        <v>1165</v>
      </c>
      <c r="M2821" s="8" t="s">
        <v>3195</v>
      </c>
      <c r="N2821" s="3" t="s">
        <v>1890</v>
      </c>
      <c r="O2821" s="8" t="s">
        <v>1935</v>
      </c>
      <c r="P2821" s="60" t="s">
        <v>3010</v>
      </c>
      <c r="Q2821" s="3" t="s">
        <v>5142</v>
      </c>
      <c r="R2821" s="69">
        <f>20+20</f>
        <v>40</v>
      </c>
      <c r="S2821" s="69">
        <v>783.93</v>
      </c>
      <c r="T2821" s="10">
        <f t="shared" ref="T2821" si="1717">S2821*R2821</f>
        <v>31357.199999999997</v>
      </c>
      <c r="U2821" s="10">
        <f t="shared" ref="U2821" si="1718">T2821*1.12</f>
        <v>35120.063999999998</v>
      </c>
      <c r="V2821" s="7"/>
      <c r="W2821" s="1">
        <v>2015</v>
      </c>
      <c r="X2821" s="62"/>
    </row>
    <row r="2822" spans="1:24" s="13" customFormat="1" ht="76.5" customHeight="1" outlineLevel="1" x14ac:dyDescent="0.2">
      <c r="A2822" s="1" t="s">
        <v>2816</v>
      </c>
      <c r="B2822" s="38" t="s">
        <v>5277</v>
      </c>
      <c r="C2822" s="2" t="s">
        <v>3826</v>
      </c>
      <c r="D2822" s="2" t="s">
        <v>5511</v>
      </c>
      <c r="E2822" s="2" t="s">
        <v>87</v>
      </c>
      <c r="F2822" s="39"/>
      <c r="G2822" s="50" t="s">
        <v>3190</v>
      </c>
      <c r="H2822" s="5">
        <v>0</v>
      </c>
      <c r="I2822" s="6">
        <v>710000000</v>
      </c>
      <c r="J2822" s="4" t="s">
        <v>1931</v>
      </c>
      <c r="K2822" s="4" t="s">
        <v>5297</v>
      </c>
      <c r="L2822" s="3" t="s">
        <v>1165</v>
      </c>
      <c r="M2822" s="8" t="s">
        <v>3195</v>
      </c>
      <c r="N2822" s="3" t="s">
        <v>1890</v>
      </c>
      <c r="O2822" s="8" t="s">
        <v>1935</v>
      </c>
      <c r="P2822" s="60" t="s">
        <v>3010</v>
      </c>
      <c r="Q2822" s="3" t="s">
        <v>5142</v>
      </c>
      <c r="R2822" s="9">
        <f>30+30</f>
        <v>60</v>
      </c>
      <c r="S2822" s="9">
        <v>783.93</v>
      </c>
      <c r="T2822" s="10">
        <v>0</v>
      </c>
      <c r="U2822" s="10">
        <f t="shared" si="1646"/>
        <v>0</v>
      </c>
      <c r="V2822" s="7"/>
      <c r="W2822" s="11">
        <v>2015</v>
      </c>
      <c r="X2822" s="12" t="s">
        <v>6562</v>
      </c>
    </row>
    <row r="2823" spans="1:24" s="13" customFormat="1" ht="76.5" customHeight="1" outlineLevel="1" x14ac:dyDescent="0.2">
      <c r="A2823" s="1" t="s">
        <v>6723</v>
      </c>
      <c r="B2823" s="2" t="s">
        <v>5277</v>
      </c>
      <c r="C2823" s="2" t="s">
        <v>3826</v>
      </c>
      <c r="D2823" s="2" t="s">
        <v>5511</v>
      </c>
      <c r="E2823" s="2" t="s">
        <v>87</v>
      </c>
      <c r="F2823" s="2"/>
      <c r="G2823" s="3" t="s">
        <v>3190</v>
      </c>
      <c r="H2823" s="5">
        <v>0</v>
      </c>
      <c r="I2823" s="6">
        <v>710000000</v>
      </c>
      <c r="J2823" s="4" t="s">
        <v>1931</v>
      </c>
      <c r="K2823" s="4" t="s">
        <v>5297</v>
      </c>
      <c r="L2823" s="3" t="s">
        <v>1165</v>
      </c>
      <c r="M2823" s="8" t="s">
        <v>3195</v>
      </c>
      <c r="N2823" s="3" t="s">
        <v>1890</v>
      </c>
      <c r="O2823" s="8" t="s">
        <v>1935</v>
      </c>
      <c r="P2823" s="60" t="s">
        <v>3010</v>
      </c>
      <c r="Q2823" s="3" t="s">
        <v>5142</v>
      </c>
      <c r="R2823" s="69">
        <f>20+20</f>
        <v>40</v>
      </c>
      <c r="S2823" s="69">
        <v>783.93</v>
      </c>
      <c r="T2823" s="10">
        <v>0</v>
      </c>
      <c r="U2823" s="10">
        <f t="shared" si="1646"/>
        <v>0</v>
      </c>
      <c r="V2823" s="7"/>
      <c r="W2823" s="1">
        <v>2015</v>
      </c>
      <c r="X2823" s="62">
        <v>11</v>
      </c>
    </row>
    <row r="2824" spans="1:24" s="13" customFormat="1" ht="76.5" customHeight="1" outlineLevel="1" x14ac:dyDescent="0.2">
      <c r="A2824" s="1" t="s">
        <v>7950</v>
      </c>
      <c r="B2824" s="2" t="s">
        <v>5277</v>
      </c>
      <c r="C2824" s="2" t="s">
        <v>3826</v>
      </c>
      <c r="D2824" s="2" t="s">
        <v>5511</v>
      </c>
      <c r="E2824" s="2" t="s">
        <v>87</v>
      </c>
      <c r="F2824" s="2"/>
      <c r="G2824" s="3" t="s">
        <v>3190</v>
      </c>
      <c r="H2824" s="5">
        <v>0</v>
      </c>
      <c r="I2824" s="6">
        <v>710000000</v>
      </c>
      <c r="J2824" s="4" t="s">
        <v>1931</v>
      </c>
      <c r="K2824" s="4" t="s">
        <v>756</v>
      </c>
      <c r="L2824" s="3" t="s">
        <v>1165</v>
      </c>
      <c r="M2824" s="8" t="s">
        <v>3195</v>
      </c>
      <c r="N2824" s="3" t="s">
        <v>1890</v>
      </c>
      <c r="O2824" s="8" t="s">
        <v>1935</v>
      </c>
      <c r="P2824" s="60" t="s">
        <v>3010</v>
      </c>
      <c r="Q2824" s="3" t="s">
        <v>5142</v>
      </c>
      <c r="R2824" s="69">
        <f>20+20</f>
        <v>40</v>
      </c>
      <c r="S2824" s="69">
        <v>783.93</v>
      </c>
      <c r="T2824" s="10">
        <f t="shared" ref="T2824" si="1719">S2824*R2824</f>
        <v>31357.199999999997</v>
      </c>
      <c r="U2824" s="10">
        <f t="shared" ref="U2824" si="1720">T2824*1.12</f>
        <v>35120.063999999998</v>
      </c>
      <c r="V2824" s="7"/>
      <c r="W2824" s="1">
        <v>2015</v>
      </c>
      <c r="X2824" s="62"/>
    </row>
    <row r="2825" spans="1:24" s="13" customFormat="1" ht="76.5" customHeight="1" outlineLevel="1" x14ac:dyDescent="0.2">
      <c r="A2825" s="1" t="s">
        <v>2817</v>
      </c>
      <c r="B2825" s="38" t="s">
        <v>5277</v>
      </c>
      <c r="C2825" s="2" t="s">
        <v>3825</v>
      </c>
      <c r="D2825" s="2" t="s">
        <v>5511</v>
      </c>
      <c r="E2825" s="2" t="s">
        <v>86</v>
      </c>
      <c r="F2825" s="39"/>
      <c r="G2825" s="50" t="s">
        <v>3190</v>
      </c>
      <c r="H2825" s="5">
        <v>0</v>
      </c>
      <c r="I2825" s="6">
        <v>710000000</v>
      </c>
      <c r="J2825" s="4" t="s">
        <v>1931</v>
      </c>
      <c r="K2825" s="4" t="s">
        <v>5297</v>
      </c>
      <c r="L2825" s="3" t="s">
        <v>1165</v>
      </c>
      <c r="M2825" s="8" t="s">
        <v>3195</v>
      </c>
      <c r="N2825" s="3" t="s">
        <v>1890</v>
      </c>
      <c r="O2825" s="8" t="s">
        <v>1935</v>
      </c>
      <c r="P2825" s="60" t="s">
        <v>3010</v>
      </c>
      <c r="Q2825" s="3" t="s">
        <v>5142</v>
      </c>
      <c r="R2825" s="9">
        <f>30+30</f>
        <v>60</v>
      </c>
      <c r="S2825" s="9">
        <v>783.93</v>
      </c>
      <c r="T2825" s="10">
        <v>0</v>
      </c>
      <c r="U2825" s="10">
        <f t="shared" si="1646"/>
        <v>0</v>
      </c>
      <c r="V2825" s="7"/>
      <c r="W2825" s="11">
        <v>2015</v>
      </c>
      <c r="X2825" s="12" t="s">
        <v>6562</v>
      </c>
    </row>
    <row r="2826" spans="1:24" s="13" customFormat="1" ht="76.5" customHeight="1" outlineLevel="1" x14ac:dyDescent="0.2">
      <c r="A2826" s="1" t="s">
        <v>6724</v>
      </c>
      <c r="B2826" s="2" t="s">
        <v>5277</v>
      </c>
      <c r="C2826" s="2" t="s">
        <v>3825</v>
      </c>
      <c r="D2826" s="2" t="s">
        <v>5511</v>
      </c>
      <c r="E2826" s="2" t="s">
        <v>86</v>
      </c>
      <c r="F2826" s="2"/>
      <c r="G2826" s="3" t="s">
        <v>3190</v>
      </c>
      <c r="H2826" s="5">
        <v>0</v>
      </c>
      <c r="I2826" s="6">
        <v>710000000</v>
      </c>
      <c r="J2826" s="4" t="s">
        <v>1931</v>
      </c>
      <c r="K2826" s="4" t="s">
        <v>5297</v>
      </c>
      <c r="L2826" s="3" t="s">
        <v>1165</v>
      </c>
      <c r="M2826" s="8" t="s">
        <v>3195</v>
      </c>
      <c r="N2826" s="3" t="s">
        <v>1890</v>
      </c>
      <c r="O2826" s="8" t="s">
        <v>1935</v>
      </c>
      <c r="P2826" s="60" t="s">
        <v>3010</v>
      </c>
      <c r="Q2826" s="3" t="s">
        <v>5142</v>
      </c>
      <c r="R2826" s="69">
        <f>30+20</f>
        <v>50</v>
      </c>
      <c r="S2826" s="69">
        <v>783.93</v>
      </c>
      <c r="T2826" s="10">
        <v>0</v>
      </c>
      <c r="U2826" s="10">
        <f t="shared" si="1646"/>
        <v>0</v>
      </c>
      <c r="V2826" s="7"/>
      <c r="W2826" s="1">
        <v>2015</v>
      </c>
      <c r="X2826" s="62">
        <v>11</v>
      </c>
    </row>
    <row r="2827" spans="1:24" s="13" customFormat="1" ht="76.5" customHeight="1" outlineLevel="1" x14ac:dyDescent="0.2">
      <c r="A2827" s="1" t="s">
        <v>7951</v>
      </c>
      <c r="B2827" s="2" t="s">
        <v>5277</v>
      </c>
      <c r="C2827" s="2" t="s">
        <v>3825</v>
      </c>
      <c r="D2827" s="2" t="s">
        <v>5511</v>
      </c>
      <c r="E2827" s="2" t="s">
        <v>86</v>
      </c>
      <c r="F2827" s="2"/>
      <c r="G2827" s="3" t="s">
        <v>3190</v>
      </c>
      <c r="H2827" s="5">
        <v>0</v>
      </c>
      <c r="I2827" s="6">
        <v>710000000</v>
      </c>
      <c r="J2827" s="4" t="s">
        <v>1931</v>
      </c>
      <c r="K2827" s="4" t="s">
        <v>756</v>
      </c>
      <c r="L2827" s="3" t="s">
        <v>1165</v>
      </c>
      <c r="M2827" s="8" t="s">
        <v>3195</v>
      </c>
      <c r="N2827" s="3" t="s">
        <v>1890</v>
      </c>
      <c r="O2827" s="8" t="s">
        <v>1935</v>
      </c>
      <c r="P2827" s="60" t="s">
        <v>3010</v>
      </c>
      <c r="Q2827" s="3" t="s">
        <v>5142</v>
      </c>
      <c r="R2827" s="69">
        <f>30+20</f>
        <v>50</v>
      </c>
      <c r="S2827" s="69">
        <v>783.93</v>
      </c>
      <c r="T2827" s="10">
        <f t="shared" ref="T2827" si="1721">S2827*R2827</f>
        <v>39196.5</v>
      </c>
      <c r="U2827" s="10">
        <f t="shared" ref="U2827" si="1722">T2827*1.12</f>
        <v>43900.08</v>
      </c>
      <c r="V2827" s="7"/>
      <c r="W2827" s="1">
        <v>2015</v>
      </c>
      <c r="X2827" s="62"/>
    </row>
    <row r="2828" spans="1:24" s="13" customFormat="1" ht="76.5" customHeight="1" outlineLevel="1" x14ac:dyDescent="0.2">
      <c r="A2828" s="1" t="s">
        <v>2818</v>
      </c>
      <c r="B2828" s="38" t="s">
        <v>5277</v>
      </c>
      <c r="C2828" s="2" t="s">
        <v>3824</v>
      </c>
      <c r="D2828" s="2" t="s">
        <v>5511</v>
      </c>
      <c r="E2828" s="2" t="s">
        <v>85</v>
      </c>
      <c r="F2828" s="39"/>
      <c r="G2828" s="50" t="s">
        <v>3190</v>
      </c>
      <c r="H2828" s="5">
        <v>0</v>
      </c>
      <c r="I2828" s="6">
        <v>710000000</v>
      </c>
      <c r="J2828" s="4" t="s">
        <v>1931</v>
      </c>
      <c r="K2828" s="4" t="s">
        <v>5297</v>
      </c>
      <c r="L2828" s="3" t="s">
        <v>1165</v>
      </c>
      <c r="M2828" s="8" t="s">
        <v>3195</v>
      </c>
      <c r="N2828" s="3" t="s">
        <v>1890</v>
      </c>
      <c r="O2828" s="8" t="s">
        <v>1935</v>
      </c>
      <c r="P2828" s="60" t="s">
        <v>3010</v>
      </c>
      <c r="Q2828" s="3" t="s">
        <v>5142</v>
      </c>
      <c r="R2828" s="9">
        <f>20+30</f>
        <v>50</v>
      </c>
      <c r="S2828" s="9">
        <v>783.93</v>
      </c>
      <c r="T2828" s="10">
        <v>0</v>
      </c>
      <c r="U2828" s="10">
        <f t="shared" si="1646"/>
        <v>0</v>
      </c>
      <c r="V2828" s="7"/>
      <c r="W2828" s="11">
        <v>2015</v>
      </c>
      <c r="X2828" s="12" t="s">
        <v>6562</v>
      </c>
    </row>
    <row r="2829" spans="1:24" s="13" customFormat="1" ht="76.5" customHeight="1" outlineLevel="1" x14ac:dyDescent="0.2">
      <c r="A2829" s="1" t="s">
        <v>6725</v>
      </c>
      <c r="B2829" s="2" t="s">
        <v>5277</v>
      </c>
      <c r="C2829" s="2" t="s">
        <v>3824</v>
      </c>
      <c r="D2829" s="2" t="s">
        <v>5511</v>
      </c>
      <c r="E2829" s="2" t="s">
        <v>85</v>
      </c>
      <c r="F2829" s="2"/>
      <c r="G2829" s="3" t="s">
        <v>3190</v>
      </c>
      <c r="H2829" s="5">
        <v>0</v>
      </c>
      <c r="I2829" s="6">
        <v>710000000</v>
      </c>
      <c r="J2829" s="4" t="s">
        <v>1931</v>
      </c>
      <c r="K2829" s="4" t="s">
        <v>5297</v>
      </c>
      <c r="L2829" s="3" t="s">
        <v>1165</v>
      </c>
      <c r="M2829" s="8" t="s">
        <v>3195</v>
      </c>
      <c r="N2829" s="3" t="s">
        <v>1890</v>
      </c>
      <c r="O2829" s="8" t="s">
        <v>1935</v>
      </c>
      <c r="P2829" s="60" t="s">
        <v>3010</v>
      </c>
      <c r="Q2829" s="3" t="s">
        <v>5142</v>
      </c>
      <c r="R2829" s="69">
        <f>20+20</f>
        <v>40</v>
      </c>
      <c r="S2829" s="69">
        <v>783.93</v>
      </c>
      <c r="T2829" s="10">
        <v>0</v>
      </c>
      <c r="U2829" s="10">
        <f t="shared" si="1646"/>
        <v>0</v>
      </c>
      <c r="V2829" s="7"/>
      <c r="W2829" s="1">
        <v>2015</v>
      </c>
      <c r="X2829" s="62">
        <v>11</v>
      </c>
    </row>
    <row r="2830" spans="1:24" s="13" customFormat="1" ht="76.5" customHeight="1" outlineLevel="1" x14ac:dyDescent="0.2">
      <c r="A2830" s="1" t="s">
        <v>7952</v>
      </c>
      <c r="B2830" s="2" t="s">
        <v>5277</v>
      </c>
      <c r="C2830" s="2" t="s">
        <v>3824</v>
      </c>
      <c r="D2830" s="2" t="s">
        <v>5511</v>
      </c>
      <c r="E2830" s="2" t="s">
        <v>85</v>
      </c>
      <c r="F2830" s="2"/>
      <c r="G2830" s="3" t="s">
        <v>3190</v>
      </c>
      <c r="H2830" s="5">
        <v>0</v>
      </c>
      <c r="I2830" s="6">
        <v>710000000</v>
      </c>
      <c r="J2830" s="4" t="s">
        <v>1931</v>
      </c>
      <c r="K2830" s="4" t="s">
        <v>756</v>
      </c>
      <c r="L2830" s="3" t="s">
        <v>1165</v>
      </c>
      <c r="M2830" s="8" t="s">
        <v>3195</v>
      </c>
      <c r="N2830" s="3" t="s">
        <v>1890</v>
      </c>
      <c r="O2830" s="8" t="s">
        <v>1935</v>
      </c>
      <c r="P2830" s="60" t="s">
        <v>3010</v>
      </c>
      <c r="Q2830" s="3" t="s">
        <v>5142</v>
      </c>
      <c r="R2830" s="69">
        <f>20+20</f>
        <v>40</v>
      </c>
      <c r="S2830" s="69">
        <v>783.93</v>
      </c>
      <c r="T2830" s="10">
        <f t="shared" ref="T2830" si="1723">S2830*R2830</f>
        <v>31357.199999999997</v>
      </c>
      <c r="U2830" s="10">
        <f t="shared" ref="U2830" si="1724">T2830*1.12</f>
        <v>35120.063999999998</v>
      </c>
      <c r="V2830" s="7"/>
      <c r="W2830" s="1">
        <v>2015</v>
      </c>
      <c r="X2830" s="62"/>
    </row>
    <row r="2831" spans="1:24" s="13" customFormat="1" ht="76.5" customHeight="1" outlineLevel="1" x14ac:dyDescent="0.2">
      <c r="A2831" s="1" t="s">
        <v>2819</v>
      </c>
      <c r="B2831" s="38" t="s">
        <v>5277</v>
      </c>
      <c r="C2831" s="2" t="s">
        <v>84</v>
      </c>
      <c r="D2831" s="2" t="s">
        <v>5511</v>
      </c>
      <c r="E2831" s="2" t="s">
        <v>7619</v>
      </c>
      <c r="F2831" s="39"/>
      <c r="G2831" s="50" t="s">
        <v>3190</v>
      </c>
      <c r="H2831" s="5">
        <v>0</v>
      </c>
      <c r="I2831" s="6">
        <v>710000000</v>
      </c>
      <c r="J2831" s="4" t="s">
        <v>1931</v>
      </c>
      <c r="K2831" s="4" t="s">
        <v>5297</v>
      </c>
      <c r="L2831" s="3" t="s">
        <v>1165</v>
      </c>
      <c r="M2831" s="8" t="s">
        <v>3195</v>
      </c>
      <c r="N2831" s="3" t="s">
        <v>1890</v>
      </c>
      <c r="O2831" s="8" t="s">
        <v>1935</v>
      </c>
      <c r="P2831" s="60" t="s">
        <v>3010</v>
      </c>
      <c r="Q2831" s="3" t="s">
        <v>5142</v>
      </c>
      <c r="R2831" s="9">
        <f>30+30</f>
        <v>60</v>
      </c>
      <c r="S2831" s="9">
        <v>783.93</v>
      </c>
      <c r="T2831" s="10">
        <v>0</v>
      </c>
      <c r="U2831" s="10">
        <f t="shared" si="1646"/>
        <v>0</v>
      </c>
      <c r="V2831" s="7"/>
      <c r="W2831" s="11">
        <v>2015</v>
      </c>
      <c r="X2831" s="12" t="s">
        <v>6562</v>
      </c>
    </row>
    <row r="2832" spans="1:24" s="13" customFormat="1" ht="76.5" customHeight="1" outlineLevel="1" x14ac:dyDescent="0.2">
      <c r="A2832" s="1" t="s">
        <v>6726</v>
      </c>
      <c r="B2832" s="2" t="s">
        <v>5277</v>
      </c>
      <c r="C2832" s="2" t="s">
        <v>84</v>
      </c>
      <c r="D2832" s="2" t="s">
        <v>5511</v>
      </c>
      <c r="E2832" s="2" t="s">
        <v>7619</v>
      </c>
      <c r="F2832" s="2"/>
      <c r="G2832" s="3" t="s">
        <v>3190</v>
      </c>
      <c r="H2832" s="5">
        <v>0</v>
      </c>
      <c r="I2832" s="6">
        <v>710000000</v>
      </c>
      <c r="J2832" s="4" t="s">
        <v>1931</v>
      </c>
      <c r="K2832" s="4" t="s">
        <v>5297</v>
      </c>
      <c r="L2832" s="3" t="s">
        <v>1165</v>
      </c>
      <c r="M2832" s="8" t="s">
        <v>3195</v>
      </c>
      <c r="N2832" s="3" t="s">
        <v>1890</v>
      </c>
      <c r="O2832" s="8" t="s">
        <v>1935</v>
      </c>
      <c r="P2832" s="60" t="s">
        <v>3010</v>
      </c>
      <c r="Q2832" s="3" t="s">
        <v>5142</v>
      </c>
      <c r="R2832" s="69">
        <f>18+20</f>
        <v>38</v>
      </c>
      <c r="S2832" s="69">
        <v>783.93</v>
      </c>
      <c r="T2832" s="10">
        <v>0</v>
      </c>
      <c r="U2832" s="10">
        <f t="shared" si="1646"/>
        <v>0</v>
      </c>
      <c r="V2832" s="7"/>
      <c r="W2832" s="1">
        <v>2015</v>
      </c>
      <c r="X2832" s="62">
        <v>11</v>
      </c>
    </row>
    <row r="2833" spans="1:24" s="13" customFormat="1" ht="76.5" customHeight="1" outlineLevel="1" x14ac:dyDescent="0.2">
      <c r="A2833" s="1" t="s">
        <v>7953</v>
      </c>
      <c r="B2833" s="2" t="s">
        <v>5277</v>
      </c>
      <c r="C2833" s="2" t="s">
        <v>84</v>
      </c>
      <c r="D2833" s="2" t="s">
        <v>5511</v>
      </c>
      <c r="E2833" s="2" t="s">
        <v>7619</v>
      </c>
      <c r="F2833" s="2"/>
      <c r="G2833" s="3" t="s">
        <v>3190</v>
      </c>
      <c r="H2833" s="5">
        <v>0</v>
      </c>
      <c r="I2833" s="6">
        <v>710000000</v>
      </c>
      <c r="J2833" s="4" t="s">
        <v>1931</v>
      </c>
      <c r="K2833" s="4" t="s">
        <v>756</v>
      </c>
      <c r="L2833" s="3" t="s">
        <v>1165</v>
      </c>
      <c r="M2833" s="8" t="s">
        <v>3195</v>
      </c>
      <c r="N2833" s="3" t="s">
        <v>1890</v>
      </c>
      <c r="O2833" s="8" t="s">
        <v>1935</v>
      </c>
      <c r="P2833" s="60" t="s">
        <v>3010</v>
      </c>
      <c r="Q2833" s="3" t="s">
        <v>5142</v>
      </c>
      <c r="R2833" s="69">
        <f>18+20</f>
        <v>38</v>
      </c>
      <c r="S2833" s="69">
        <v>783.93</v>
      </c>
      <c r="T2833" s="10">
        <f t="shared" ref="T2833" si="1725">S2833*R2833</f>
        <v>29789.339999999997</v>
      </c>
      <c r="U2833" s="10">
        <f t="shared" ref="U2833" si="1726">T2833*1.12</f>
        <v>33364.060799999999</v>
      </c>
      <c r="V2833" s="7"/>
      <c r="W2833" s="1">
        <v>2015</v>
      </c>
      <c r="X2833" s="62"/>
    </row>
    <row r="2834" spans="1:24" s="13" customFormat="1" ht="76.5" customHeight="1" outlineLevel="1" x14ac:dyDescent="0.2">
      <c r="A2834" s="1" t="s">
        <v>2820</v>
      </c>
      <c r="B2834" s="38" t="s">
        <v>5277</v>
      </c>
      <c r="C2834" s="2" t="s">
        <v>83</v>
      </c>
      <c r="D2834" s="2" t="s">
        <v>5511</v>
      </c>
      <c r="E2834" s="2" t="s">
        <v>82</v>
      </c>
      <c r="F2834" s="39"/>
      <c r="G2834" s="50" t="s">
        <v>3190</v>
      </c>
      <c r="H2834" s="5">
        <v>0</v>
      </c>
      <c r="I2834" s="6">
        <v>710000000</v>
      </c>
      <c r="J2834" s="4" t="s">
        <v>1931</v>
      </c>
      <c r="K2834" s="4" t="s">
        <v>5297</v>
      </c>
      <c r="L2834" s="3" t="s">
        <v>1165</v>
      </c>
      <c r="M2834" s="8" t="s">
        <v>3195</v>
      </c>
      <c r="N2834" s="3" t="s">
        <v>1890</v>
      </c>
      <c r="O2834" s="8" t="s">
        <v>1935</v>
      </c>
      <c r="P2834" s="60" t="s">
        <v>3010</v>
      </c>
      <c r="Q2834" s="3" t="s">
        <v>5142</v>
      </c>
      <c r="R2834" s="9">
        <f>32+30+40</f>
        <v>102</v>
      </c>
      <c r="S2834" s="9">
        <v>675</v>
      </c>
      <c r="T2834" s="10">
        <v>0</v>
      </c>
      <c r="U2834" s="10">
        <f t="shared" si="1646"/>
        <v>0</v>
      </c>
      <c r="V2834" s="7"/>
      <c r="W2834" s="11">
        <v>2015</v>
      </c>
      <c r="X2834" s="12" t="s">
        <v>6562</v>
      </c>
    </row>
    <row r="2835" spans="1:24" s="13" customFormat="1" ht="76.5" customHeight="1" outlineLevel="1" x14ac:dyDescent="0.2">
      <c r="A2835" s="1" t="s">
        <v>6727</v>
      </c>
      <c r="B2835" s="2" t="s">
        <v>5277</v>
      </c>
      <c r="C2835" s="2" t="s">
        <v>83</v>
      </c>
      <c r="D2835" s="2" t="s">
        <v>5511</v>
      </c>
      <c r="E2835" s="2" t="s">
        <v>82</v>
      </c>
      <c r="F2835" s="2"/>
      <c r="G2835" s="3" t="s">
        <v>3190</v>
      </c>
      <c r="H2835" s="5">
        <v>0</v>
      </c>
      <c r="I2835" s="6">
        <v>710000000</v>
      </c>
      <c r="J2835" s="4" t="s">
        <v>1931</v>
      </c>
      <c r="K2835" s="4" t="s">
        <v>5297</v>
      </c>
      <c r="L2835" s="3" t="s">
        <v>1165</v>
      </c>
      <c r="M2835" s="8" t="s">
        <v>3195</v>
      </c>
      <c r="N2835" s="3" t="s">
        <v>1890</v>
      </c>
      <c r="O2835" s="8" t="s">
        <v>1935</v>
      </c>
      <c r="P2835" s="60" t="s">
        <v>3010</v>
      </c>
      <c r="Q2835" s="3" t="s">
        <v>5142</v>
      </c>
      <c r="R2835" s="69">
        <f>27+30+40</f>
        <v>97</v>
      </c>
      <c r="S2835" s="69">
        <v>675</v>
      </c>
      <c r="T2835" s="10">
        <v>0</v>
      </c>
      <c r="U2835" s="10">
        <f t="shared" si="1646"/>
        <v>0</v>
      </c>
      <c r="V2835" s="7"/>
      <c r="W2835" s="1">
        <v>2015</v>
      </c>
      <c r="X2835" s="62">
        <v>11</v>
      </c>
    </row>
    <row r="2836" spans="1:24" s="13" customFormat="1" ht="76.5" customHeight="1" outlineLevel="1" x14ac:dyDescent="0.2">
      <c r="A2836" s="1" t="s">
        <v>7954</v>
      </c>
      <c r="B2836" s="2" t="s">
        <v>5277</v>
      </c>
      <c r="C2836" s="2" t="s">
        <v>83</v>
      </c>
      <c r="D2836" s="2" t="s">
        <v>5511</v>
      </c>
      <c r="E2836" s="2" t="s">
        <v>82</v>
      </c>
      <c r="F2836" s="2"/>
      <c r="G2836" s="3" t="s">
        <v>3190</v>
      </c>
      <c r="H2836" s="5">
        <v>0</v>
      </c>
      <c r="I2836" s="6">
        <v>710000000</v>
      </c>
      <c r="J2836" s="4" t="s">
        <v>1931</v>
      </c>
      <c r="K2836" s="4" t="s">
        <v>756</v>
      </c>
      <c r="L2836" s="3" t="s">
        <v>1165</v>
      </c>
      <c r="M2836" s="8" t="s">
        <v>3195</v>
      </c>
      <c r="N2836" s="3" t="s">
        <v>1890</v>
      </c>
      <c r="O2836" s="8" t="s">
        <v>1935</v>
      </c>
      <c r="P2836" s="60" t="s">
        <v>3010</v>
      </c>
      <c r="Q2836" s="3" t="s">
        <v>5142</v>
      </c>
      <c r="R2836" s="69">
        <f>27+30+40</f>
        <v>97</v>
      </c>
      <c r="S2836" s="69">
        <v>675</v>
      </c>
      <c r="T2836" s="10">
        <f t="shared" ref="T2836" si="1727">S2836*R2836</f>
        <v>65475</v>
      </c>
      <c r="U2836" s="10">
        <f t="shared" ref="U2836" si="1728">T2836*1.12</f>
        <v>73332</v>
      </c>
      <c r="V2836" s="7"/>
      <c r="W2836" s="1">
        <v>2015</v>
      </c>
      <c r="X2836" s="62"/>
    </row>
    <row r="2837" spans="1:24" s="13" customFormat="1" ht="76.5" customHeight="1" outlineLevel="1" x14ac:dyDescent="0.2">
      <c r="A2837" s="1" t="s">
        <v>2821</v>
      </c>
      <c r="B2837" s="2" t="s">
        <v>5277</v>
      </c>
      <c r="C2837" s="2" t="s">
        <v>80</v>
      </c>
      <c r="D2837" s="2" t="s">
        <v>5940</v>
      </c>
      <c r="E2837" s="2" t="s">
        <v>79</v>
      </c>
      <c r="F2837" s="2" t="s">
        <v>81</v>
      </c>
      <c r="G2837" s="3" t="s">
        <v>3190</v>
      </c>
      <c r="H2837" s="5">
        <v>0</v>
      </c>
      <c r="I2837" s="6">
        <v>710000000</v>
      </c>
      <c r="J2837" s="4" t="s">
        <v>1931</v>
      </c>
      <c r="K2837" s="4" t="s">
        <v>5297</v>
      </c>
      <c r="L2837" s="3" t="s">
        <v>1165</v>
      </c>
      <c r="M2837" s="8" t="s">
        <v>3195</v>
      </c>
      <c r="N2837" s="3" t="s">
        <v>1890</v>
      </c>
      <c r="O2837" s="8" t="s">
        <v>1935</v>
      </c>
      <c r="P2837" s="8">
        <v>796</v>
      </c>
      <c r="Q2837" s="8" t="s">
        <v>3196</v>
      </c>
      <c r="R2837" s="69">
        <f>20+20</f>
        <v>40</v>
      </c>
      <c r="S2837" s="69">
        <v>383.04</v>
      </c>
      <c r="T2837" s="10">
        <v>0</v>
      </c>
      <c r="U2837" s="10">
        <f t="shared" si="1646"/>
        <v>0</v>
      </c>
      <c r="V2837" s="7"/>
      <c r="W2837" s="1">
        <v>2015</v>
      </c>
      <c r="X2837" s="62" t="s">
        <v>7518</v>
      </c>
    </row>
    <row r="2838" spans="1:24" s="13" customFormat="1" ht="76.5" customHeight="1" outlineLevel="1" x14ac:dyDescent="0.2">
      <c r="A2838" s="1" t="s">
        <v>7955</v>
      </c>
      <c r="B2838" s="2" t="s">
        <v>5277</v>
      </c>
      <c r="C2838" s="2" t="s">
        <v>80</v>
      </c>
      <c r="D2838" s="2" t="s">
        <v>5940</v>
      </c>
      <c r="E2838" s="2" t="s">
        <v>79</v>
      </c>
      <c r="F2838" s="2" t="s">
        <v>81</v>
      </c>
      <c r="G2838" s="3" t="s">
        <v>3190</v>
      </c>
      <c r="H2838" s="5">
        <v>0</v>
      </c>
      <c r="I2838" s="6">
        <v>710000000</v>
      </c>
      <c r="J2838" s="4" t="s">
        <v>1931</v>
      </c>
      <c r="K2838" s="4" t="s">
        <v>756</v>
      </c>
      <c r="L2838" s="3" t="s">
        <v>1165</v>
      </c>
      <c r="M2838" s="8" t="s">
        <v>3195</v>
      </c>
      <c r="N2838" s="3" t="s">
        <v>1890</v>
      </c>
      <c r="O2838" s="8" t="s">
        <v>1935</v>
      </c>
      <c r="P2838" s="8">
        <v>796</v>
      </c>
      <c r="Q2838" s="8" t="s">
        <v>3196</v>
      </c>
      <c r="R2838" s="69">
        <f>15+15</f>
        <v>30</v>
      </c>
      <c r="S2838" s="69">
        <v>383.04</v>
      </c>
      <c r="T2838" s="10">
        <f t="shared" ref="T2838" si="1729">S2838*R2838</f>
        <v>11491.2</v>
      </c>
      <c r="U2838" s="10">
        <f t="shared" ref="U2838" si="1730">T2838*1.12</f>
        <v>12870.144000000002</v>
      </c>
      <c r="V2838" s="7"/>
      <c r="W2838" s="1">
        <v>2015</v>
      </c>
      <c r="X2838" s="62"/>
    </row>
    <row r="2839" spans="1:24" s="13" customFormat="1" ht="76.5" customHeight="1" outlineLevel="1" x14ac:dyDescent="0.2">
      <c r="A2839" s="1" t="s">
        <v>2822</v>
      </c>
      <c r="B2839" s="2" t="s">
        <v>5277</v>
      </c>
      <c r="C2839" s="2" t="s">
        <v>78</v>
      </c>
      <c r="D2839" s="2" t="s">
        <v>5940</v>
      </c>
      <c r="E2839" s="2" t="s">
        <v>77</v>
      </c>
      <c r="F2839" s="2" t="s">
        <v>81</v>
      </c>
      <c r="G2839" s="3" t="s">
        <v>3190</v>
      </c>
      <c r="H2839" s="5">
        <v>0</v>
      </c>
      <c r="I2839" s="6">
        <v>710000000</v>
      </c>
      <c r="J2839" s="4" t="s">
        <v>1931</v>
      </c>
      <c r="K2839" s="4" t="s">
        <v>5297</v>
      </c>
      <c r="L2839" s="3" t="s">
        <v>1165</v>
      </c>
      <c r="M2839" s="8" t="s">
        <v>3195</v>
      </c>
      <c r="N2839" s="3" t="s">
        <v>1890</v>
      </c>
      <c r="O2839" s="8" t="s">
        <v>1935</v>
      </c>
      <c r="P2839" s="8">
        <v>796</v>
      </c>
      <c r="Q2839" s="8" t="s">
        <v>3196</v>
      </c>
      <c r="R2839" s="69">
        <v>20</v>
      </c>
      <c r="S2839" s="69">
        <v>383.04</v>
      </c>
      <c r="T2839" s="10">
        <v>0</v>
      </c>
      <c r="U2839" s="10">
        <f t="shared" si="1646"/>
        <v>0</v>
      </c>
      <c r="V2839" s="7"/>
      <c r="W2839" s="1">
        <v>2015</v>
      </c>
      <c r="X2839" s="62" t="s">
        <v>7518</v>
      </c>
    </row>
    <row r="2840" spans="1:24" s="13" customFormat="1" ht="76.5" customHeight="1" outlineLevel="1" x14ac:dyDescent="0.2">
      <c r="A2840" s="1" t="s">
        <v>7956</v>
      </c>
      <c r="B2840" s="2" t="s">
        <v>5277</v>
      </c>
      <c r="C2840" s="2" t="s">
        <v>78</v>
      </c>
      <c r="D2840" s="2" t="s">
        <v>5940</v>
      </c>
      <c r="E2840" s="2" t="s">
        <v>77</v>
      </c>
      <c r="F2840" s="2" t="s">
        <v>81</v>
      </c>
      <c r="G2840" s="3" t="s">
        <v>3190</v>
      </c>
      <c r="H2840" s="5">
        <v>0</v>
      </c>
      <c r="I2840" s="6">
        <v>710000000</v>
      </c>
      <c r="J2840" s="4" t="s">
        <v>1931</v>
      </c>
      <c r="K2840" s="4" t="s">
        <v>756</v>
      </c>
      <c r="L2840" s="3" t="s">
        <v>1165</v>
      </c>
      <c r="M2840" s="8" t="s">
        <v>3195</v>
      </c>
      <c r="N2840" s="3" t="s">
        <v>1890</v>
      </c>
      <c r="O2840" s="8" t="s">
        <v>1935</v>
      </c>
      <c r="P2840" s="8">
        <v>796</v>
      </c>
      <c r="Q2840" s="8" t="s">
        <v>3196</v>
      </c>
      <c r="R2840" s="69">
        <v>15</v>
      </c>
      <c r="S2840" s="69">
        <v>383.04</v>
      </c>
      <c r="T2840" s="10">
        <f t="shared" ref="T2840" si="1731">S2840*R2840</f>
        <v>5745.6</v>
      </c>
      <c r="U2840" s="10">
        <f t="shared" ref="U2840" si="1732">T2840*1.12</f>
        <v>6435.072000000001</v>
      </c>
      <c r="V2840" s="7"/>
      <c r="W2840" s="1">
        <v>2015</v>
      </c>
      <c r="X2840" s="62"/>
    </row>
    <row r="2841" spans="1:24" s="13" customFormat="1" ht="76.5" customHeight="1" outlineLevel="1" x14ac:dyDescent="0.2">
      <c r="A2841" s="1" t="s">
        <v>2823</v>
      </c>
      <c r="B2841" s="38" t="s">
        <v>5277</v>
      </c>
      <c r="C2841" s="2" t="s">
        <v>3855</v>
      </c>
      <c r="D2841" s="2" t="s">
        <v>5940</v>
      </c>
      <c r="E2841" s="2" t="s">
        <v>5941</v>
      </c>
      <c r="F2841" s="39" t="s">
        <v>3156</v>
      </c>
      <c r="G2841" s="50" t="s">
        <v>3190</v>
      </c>
      <c r="H2841" s="5">
        <v>0</v>
      </c>
      <c r="I2841" s="6">
        <v>710000000</v>
      </c>
      <c r="J2841" s="4" t="s">
        <v>1931</v>
      </c>
      <c r="K2841" s="4" t="s">
        <v>5297</v>
      </c>
      <c r="L2841" s="3" t="s">
        <v>1165</v>
      </c>
      <c r="M2841" s="8" t="s">
        <v>3195</v>
      </c>
      <c r="N2841" s="3" t="s">
        <v>1890</v>
      </c>
      <c r="O2841" s="8" t="s">
        <v>1935</v>
      </c>
      <c r="P2841" s="8">
        <v>796</v>
      </c>
      <c r="Q2841" s="8" t="s">
        <v>3196</v>
      </c>
      <c r="R2841" s="9">
        <v>20</v>
      </c>
      <c r="S2841" s="9">
        <v>383.04</v>
      </c>
      <c r="T2841" s="10">
        <v>0</v>
      </c>
      <c r="U2841" s="10">
        <f t="shared" si="1646"/>
        <v>0</v>
      </c>
      <c r="V2841" s="7"/>
      <c r="W2841" s="11">
        <v>2015</v>
      </c>
      <c r="X2841" s="12" t="s">
        <v>6562</v>
      </c>
    </row>
    <row r="2842" spans="1:24" s="13" customFormat="1" ht="76.5" customHeight="1" outlineLevel="1" x14ac:dyDescent="0.2">
      <c r="A2842" s="1" t="s">
        <v>6728</v>
      </c>
      <c r="B2842" s="2" t="s">
        <v>5277</v>
      </c>
      <c r="C2842" s="2" t="s">
        <v>3855</v>
      </c>
      <c r="D2842" s="2" t="s">
        <v>5940</v>
      </c>
      <c r="E2842" s="2" t="s">
        <v>5941</v>
      </c>
      <c r="F2842" s="2" t="s">
        <v>3156</v>
      </c>
      <c r="G2842" s="3" t="s">
        <v>3190</v>
      </c>
      <c r="H2842" s="5">
        <v>0</v>
      </c>
      <c r="I2842" s="6">
        <v>710000000</v>
      </c>
      <c r="J2842" s="4" t="s">
        <v>1931</v>
      </c>
      <c r="K2842" s="4" t="s">
        <v>5297</v>
      </c>
      <c r="L2842" s="3" t="s">
        <v>1165</v>
      </c>
      <c r="M2842" s="8" t="s">
        <v>3195</v>
      </c>
      <c r="N2842" s="3" t="s">
        <v>1890</v>
      </c>
      <c r="O2842" s="8" t="s">
        <v>1935</v>
      </c>
      <c r="P2842" s="8">
        <v>796</v>
      </c>
      <c r="Q2842" s="8" t="s">
        <v>3196</v>
      </c>
      <c r="R2842" s="69">
        <v>18</v>
      </c>
      <c r="S2842" s="69">
        <v>383.04</v>
      </c>
      <c r="T2842" s="10">
        <v>0</v>
      </c>
      <c r="U2842" s="10">
        <f t="shared" si="1646"/>
        <v>0</v>
      </c>
      <c r="V2842" s="7"/>
      <c r="W2842" s="1">
        <v>2015</v>
      </c>
      <c r="X2842" s="62" t="s">
        <v>7518</v>
      </c>
    </row>
    <row r="2843" spans="1:24" s="13" customFormat="1" ht="76.5" customHeight="1" outlineLevel="1" x14ac:dyDescent="0.2">
      <c r="A2843" s="1" t="s">
        <v>7957</v>
      </c>
      <c r="B2843" s="2" t="s">
        <v>5277</v>
      </c>
      <c r="C2843" s="2" t="s">
        <v>3855</v>
      </c>
      <c r="D2843" s="2" t="s">
        <v>5940</v>
      </c>
      <c r="E2843" s="2" t="s">
        <v>5941</v>
      </c>
      <c r="F2843" s="2" t="s">
        <v>3156</v>
      </c>
      <c r="G2843" s="3" t="s">
        <v>3190</v>
      </c>
      <c r="H2843" s="5">
        <v>0</v>
      </c>
      <c r="I2843" s="6">
        <v>710000000</v>
      </c>
      <c r="J2843" s="4" t="s">
        <v>1931</v>
      </c>
      <c r="K2843" s="4" t="s">
        <v>756</v>
      </c>
      <c r="L2843" s="3" t="s">
        <v>1165</v>
      </c>
      <c r="M2843" s="8" t="s">
        <v>3195</v>
      </c>
      <c r="N2843" s="3" t="s">
        <v>1890</v>
      </c>
      <c r="O2843" s="8" t="s">
        <v>1935</v>
      </c>
      <c r="P2843" s="8">
        <v>796</v>
      </c>
      <c r="Q2843" s="8" t="s">
        <v>3196</v>
      </c>
      <c r="R2843" s="69">
        <v>15</v>
      </c>
      <c r="S2843" s="69">
        <v>383.04</v>
      </c>
      <c r="T2843" s="10">
        <f t="shared" ref="T2843" si="1733">S2843*R2843</f>
        <v>5745.6</v>
      </c>
      <c r="U2843" s="10">
        <f t="shared" ref="U2843" si="1734">T2843*1.12</f>
        <v>6435.072000000001</v>
      </c>
      <c r="V2843" s="7"/>
      <c r="W2843" s="1">
        <v>2015</v>
      </c>
      <c r="X2843" s="62"/>
    </row>
    <row r="2844" spans="1:24" s="13" customFormat="1" ht="76.5" customHeight="1" outlineLevel="1" x14ac:dyDescent="0.2">
      <c r="A2844" s="1" t="s">
        <v>2824</v>
      </c>
      <c r="B2844" s="38" t="s">
        <v>5277</v>
      </c>
      <c r="C2844" s="2" t="s">
        <v>80</v>
      </c>
      <c r="D2844" s="2" t="s">
        <v>5940</v>
      </c>
      <c r="E2844" s="2" t="s">
        <v>79</v>
      </c>
      <c r="F2844" s="39" t="s">
        <v>3156</v>
      </c>
      <c r="G2844" s="50" t="s">
        <v>3190</v>
      </c>
      <c r="H2844" s="5">
        <v>0</v>
      </c>
      <c r="I2844" s="6">
        <v>710000000</v>
      </c>
      <c r="J2844" s="4" t="s">
        <v>1931</v>
      </c>
      <c r="K2844" s="4" t="s">
        <v>5297</v>
      </c>
      <c r="L2844" s="3" t="s">
        <v>1165</v>
      </c>
      <c r="M2844" s="8" t="s">
        <v>3195</v>
      </c>
      <c r="N2844" s="3" t="s">
        <v>1890</v>
      </c>
      <c r="O2844" s="8" t="s">
        <v>1935</v>
      </c>
      <c r="P2844" s="8">
        <v>796</v>
      </c>
      <c r="Q2844" s="8" t="s">
        <v>3196</v>
      </c>
      <c r="R2844" s="9">
        <v>20</v>
      </c>
      <c r="S2844" s="9">
        <v>383.04</v>
      </c>
      <c r="T2844" s="10">
        <v>0</v>
      </c>
      <c r="U2844" s="10">
        <f t="shared" si="1646"/>
        <v>0</v>
      </c>
      <c r="V2844" s="7"/>
      <c r="W2844" s="11">
        <v>2015</v>
      </c>
      <c r="X2844" s="12" t="s">
        <v>6562</v>
      </c>
    </row>
    <row r="2845" spans="1:24" s="13" customFormat="1" ht="76.5" customHeight="1" outlineLevel="1" x14ac:dyDescent="0.2">
      <c r="A2845" s="1" t="s">
        <v>6729</v>
      </c>
      <c r="B2845" s="2" t="s">
        <v>5277</v>
      </c>
      <c r="C2845" s="2" t="s">
        <v>80</v>
      </c>
      <c r="D2845" s="2" t="s">
        <v>5940</v>
      </c>
      <c r="E2845" s="2" t="s">
        <v>79</v>
      </c>
      <c r="F2845" s="2" t="s">
        <v>3156</v>
      </c>
      <c r="G2845" s="3" t="s">
        <v>3190</v>
      </c>
      <c r="H2845" s="5">
        <v>0</v>
      </c>
      <c r="I2845" s="6">
        <v>710000000</v>
      </c>
      <c r="J2845" s="4" t="s">
        <v>1931</v>
      </c>
      <c r="K2845" s="4" t="s">
        <v>5297</v>
      </c>
      <c r="L2845" s="3" t="s">
        <v>1165</v>
      </c>
      <c r="M2845" s="8" t="s">
        <v>3195</v>
      </c>
      <c r="N2845" s="3" t="s">
        <v>1890</v>
      </c>
      <c r="O2845" s="8" t="s">
        <v>1935</v>
      </c>
      <c r="P2845" s="8">
        <v>796</v>
      </c>
      <c r="Q2845" s="8" t="s">
        <v>3196</v>
      </c>
      <c r="R2845" s="69">
        <v>18</v>
      </c>
      <c r="S2845" s="69">
        <v>383.04</v>
      </c>
      <c r="T2845" s="10">
        <v>0</v>
      </c>
      <c r="U2845" s="10">
        <f t="shared" si="1646"/>
        <v>0</v>
      </c>
      <c r="V2845" s="7"/>
      <c r="W2845" s="1">
        <v>2015</v>
      </c>
      <c r="X2845" s="62" t="s">
        <v>7518</v>
      </c>
    </row>
    <row r="2846" spans="1:24" s="13" customFormat="1" ht="76.5" customHeight="1" outlineLevel="1" x14ac:dyDescent="0.2">
      <c r="A2846" s="1" t="s">
        <v>7958</v>
      </c>
      <c r="B2846" s="2" t="s">
        <v>5277</v>
      </c>
      <c r="C2846" s="2" t="s">
        <v>80</v>
      </c>
      <c r="D2846" s="2" t="s">
        <v>5940</v>
      </c>
      <c r="E2846" s="2" t="s">
        <v>79</v>
      </c>
      <c r="F2846" s="2" t="s">
        <v>3156</v>
      </c>
      <c r="G2846" s="3" t="s">
        <v>3190</v>
      </c>
      <c r="H2846" s="5">
        <v>0</v>
      </c>
      <c r="I2846" s="6">
        <v>710000000</v>
      </c>
      <c r="J2846" s="4" t="s">
        <v>1931</v>
      </c>
      <c r="K2846" s="4" t="s">
        <v>756</v>
      </c>
      <c r="L2846" s="3" t="s">
        <v>1165</v>
      </c>
      <c r="M2846" s="8" t="s">
        <v>3195</v>
      </c>
      <c r="N2846" s="3" t="s">
        <v>1890</v>
      </c>
      <c r="O2846" s="8" t="s">
        <v>1935</v>
      </c>
      <c r="P2846" s="8">
        <v>796</v>
      </c>
      <c r="Q2846" s="8" t="s">
        <v>3196</v>
      </c>
      <c r="R2846" s="69">
        <v>15</v>
      </c>
      <c r="S2846" s="69">
        <v>383.04</v>
      </c>
      <c r="T2846" s="10">
        <f t="shared" ref="T2846" si="1735">S2846*R2846</f>
        <v>5745.6</v>
      </c>
      <c r="U2846" s="10">
        <f t="shared" ref="U2846" si="1736">T2846*1.12</f>
        <v>6435.072000000001</v>
      </c>
      <c r="V2846" s="7"/>
      <c r="W2846" s="1">
        <v>2015</v>
      </c>
      <c r="X2846" s="62"/>
    </row>
    <row r="2847" spans="1:24" s="13" customFormat="1" ht="76.5" customHeight="1" outlineLevel="1" x14ac:dyDescent="0.2">
      <c r="A2847" s="1" t="s">
        <v>2825</v>
      </c>
      <c r="B2847" s="38" t="s">
        <v>5277</v>
      </c>
      <c r="C2847" s="2" t="s">
        <v>78</v>
      </c>
      <c r="D2847" s="2" t="s">
        <v>5940</v>
      </c>
      <c r="E2847" s="2" t="s">
        <v>77</v>
      </c>
      <c r="F2847" s="39" t="s">
        <v>3156</v>
      </c>
      <c r="G2847" s="50" t="s">
        <v>3190</v>
      </c>
      <c r="H2847" s="5">
        <v>0</v>
      </c>
      <c r="I2847" s="6">
        <v>710000000</v>
      </c>
      <c r="J2847" s="4" t="s">
        <v>1931</v>
      </c>
      <c r="K2847" s="4" t="s">
        <v>5297</v>
      </c>
      <c r="L2847" s="3" t="s">
        <v>1165</v>
      </c>
      <c r="M2847" s="8" t="s">
        <v>3195</v>
      </c>
      <c r="N2847" s="3" t="s">
        <v>1890</v>
      </c>
      <c r="O2847" s="8" t="s">
        <v>1935</v>
      </c>
      <c r="P2847" s="8">
        <v>796</v>
      </c>
      <c r="Q2847" s="8" t="s">
        <v>3196</v>
      </c>
      <c r="R2847" s="9">
        <f>20+23</f>
        <v>43</v>
      </c>
      <c r="S2847" s="9">
        <v>383.04</v>
      </c>
      <c r="T2847" s="10">
        <v>0</v>
      </c>
      <c r="U2847" s="10">
        <f t="shared" si="1646"/>
        <v>0</v>
      </c>
      <c r="V2847" s="7"/>
      <c r="W2847" s="11">
        <v>2015</v>
      </c>
      <c r="X2847" s="12" t="s">
        <v>6562</v>
      </c>
    </row>
    <row r="2848" spans="1:24" s="13" customFormat="1" ht="76.5" customHeight="1" outlineLevel="1" x14ac:dyDescent="0.2">
      <c r="A2848" s="1" t="s">
        <v>6730</v>
      </c>
      <c r="B2848" s="2" t="s">
        <v>5277</v>
      </c>
      <c r="C2848" s="2" t="s">
        <v>78</v>
      </c>
      <c r="D2848" s="2" t="s">
        <v>5940</v>
      </c>
      <c r="E2848" s="2" t="s">
        <v>77</v>
      </c>
      <c r="F2848" s="2" t="s">
        <v>3156</v>
      </c>
      <c r="G2848" s="3" t="s">
        <v>3190</v>
      </c>
      <c r="H2848" s="5">
        <v>0</v>
      </c>
      <c r="I2848" s="6">
        <v>710000000</v>
      </c>
      <c r="J2848" s="4" t="s">
        <v>1931</v>
      </c>
      <c r="K2848" s="4" t="s">
        <v>5297</v>
      </c>
      <c r="L2848" s="3" t="s">
        <v>1165</v>
      </c>
      <c r="M2848" s="8" t="s">
        <v>3195</v>
      </c>
      <c r="N2848" s="3" t="s">
        <v>1890</v>
      </c>
      <c r="O2848" s="8" t="s">
        <v>1935</v>
      </c>
      <c r="P2848" s="8">
        <v>796</v>
      </c>
      <c r="Q2848" s="8" t="s">
        <v>3196</v>
      </c>
      <c r="R2848" s="69">
        <f>20+22</f>
        <v>42</v>
      </c>
      <c r="S2848" s="69">
        <v>383.04</v>
      </c>
      <c r="T2848" s="10">
        <v>0</v>
      </c>
      <c r="U2848" s="10">
        <f t="shared" si="1646"/>
        <v>0</v>
      </c>
      <c r="V2848" s="7"/>
      <c r="W2848" s="1">
        <v>2015</v>
      </c>
      <c r="X2848" s="62" t="s">
        <v>7518</v>
      </c>
    </row>
    <row r="2849" spans="1:24" s="13" customFormat="1" ht="76.5" customHeight="1" outlineLevel="1" x14ac:dyDescent="0.2">
      <c r="A2849" s="1" t="s">
        <v>7959</v>
      </c>
      <c r="B2849" s="2" t="s">
        <v>5277</v>
      </c>
      <c r="C2849" s="2" t="s">
        <v>78</v>
      </c>
      <c r="D2849" s="2" t="s">
        <v>5940</v>
      </c>
      <c r="E2849" s="2" t="s">
        <v>77</v>
      </c>
      <c r="F2849" s="2" t="s">
        <v>3156</v>
      </c>
      <c r="G2849" s="3" t="s">
        <v>3190</v>
      </c>
      <c r="H2849" s="5">
        <v>0</v>
      </c>
      <c r="I2849" s="6">
        <v>710000000</v>
      </c>
      <c r="J2849" s="4" t="s">
        <v>1931</v>
      </c>
      <c r="K2849" s="4" t="s">
        <v>756</v>
      </c>
      <c r="L2849" s="3" t="s">
        <v>1165</v>
      </c>
      <c r="M2849" s="8" t="s">
        <v>3195</v>
      </c>
      <c r="N2849" s="3" t="s">
        <v>1890</v>
      </c>
      <c r="O2849" s="8" t="s">
        <v>1935</v>
      </c>
      <c r="P2849" s="8">
        <v>796</v>
      </c>
      <c r="Q2849" s="8" t="s">
        <v>3196</v>
      </c>
      <c r="R2849" s="69">
        <f>15+15</f>
        <v>30</v>
      </c>
      <c r="S2849" s="69">
        <v>383.04</v>
      </c>
      <c r="T2849" s="10">
        <f t="shared" ref="T2849" si="1737">S2849*R2849</f>
        <v>11491.2</v>
      </c>
      <c r="U2849" s="10">
        <f t="shared" ref="U2849" si="1738">T2849*1.12</f>
        <v>12870.144000000002</v>
      </c>
      <c r="V2849" s="7"/>
      <c r="W2849" s="1">
        <v>2015</v>
      </c>
      <c r="X2849" s="62"/>
    </row>
    <row r="2850" spans="1:24" s="13" customFormat="1" ht="76.5" customHeight="1" outlineLevel="1" x14ac:dyDescent="0.2">
      <c r="A2850" s="1" t="s">
        <v>2826</v>
      </c>
      <c r="B2850" s="38" t="s">
        <v>5277</v>
      </c>
      <c r="C2850" s="2" t="s">
        <v>3854</v>
      </c>
      <c r="D2850" s="2" t="s">
        <v>3853</v>
      </c>
      <c r="E2850" s="6" t="s">
        <v>5942</v>
      </c>
      <c r="F2850" s="52" t="s">
        <v>5943</v>
      </c>
      <c r="G2850" s="50" t="s">
        <v>3190</v>
      </c>
      <c r="H2850" s="5">
        <v>0</v>
      </c>
      <c r="I2850" s="6">
        <v>710000000</v>
      </c>
      <c r="J2850" s="4" t="s">
        <v>1931</v>
      </c>
      <c r="K2850" s="4" t="s">
        <v>5297</v>
      </c>
      <c r="L2850" s="3" t="s">
        <v>1165</v>
      </c>
      <c r="M2850" s="8" t="s">
        <v>3195</v>
      </c>
      <c r="N2850" s="3" t="s">
        <v>1890</v>
      </c>
      <c r="O2850" s="8" t="s">
        <v>1935</v>
      </c>
      <c r="P2850" s="8">
        <v>796</v>
      </c>
      <c r="Q2850" s="8" t="s">
        <v>3196</v>
      </c>
      <c r="R2850" s="9">
        <f>8+40</f>
        <v>48</v>
      </c>
      <c r="S2850" s="9">
        <v>817.86</v>
      </c>
      <c r="T2850" s="10">
        <v>0</v>
      </c>
      <c r="U2850" s="10">
        <f t="shared" si="1646"/>
        <v>0</v>
      </c>
      <c r="V2850" s="7"/>
      <c r="W2850" s="11">
        <v>2015</v>
      </c>
      <c r="X2850" s="12" t="s">
        <v>6562</v>
      </c>
    </row>
    <row r="2851" spans="1:24" s="13" customFormat="1" ht="76.5" customHeight="1" outlineLevel="1" x14ac:dyDescent="0.2">
      <c r="A2851" s="1" t="s">
        <v>6731</v>
      </c>
      <c r="B2851" s="2" t="s">
        <v>5277</v>
      </c>
      <c r="C2851" s="2" t="s">
        <v>3854</v>
      </c>
      <c r="D2851" s="2" t="s">
        <v>3853</v>
      </c>
      <c r="E2851" s="6" t="s">
        <v>5942</v>
      </c>
      <c r="F2851" s="52" t="s">
        <v>5943</v>
      </c>
      <c r="G2851" s="3" t="s">
        <v>3190</v>
      </c>
      <c r="H2851" s="5">
        <v>0</v>
      </c>
      <c r="I2851" s="6">
        <v>710000000</v>
      </c>
      <c r="J2851" s="4" t="s">
        <v>1931</v>
      </c>
      <c r="K2851" s="4" t="s">
        <v>5297</v>
      </c>
      <c r="L2851" s="3" t="s">
        <v>1165</v>
      </c>
      <c r="M2851" s="8" t="s">
        <v>3195</v>
      </c>
      <c r="N2851" s="3" t="s">
        <v>1890</v>
      </c>
      <c r="O2851" s="8" t="s">
        <v>1935</v>
      </c>
      <c r="P2851" s="8">
        <v>796</v>
      </c>
      <c r="Q2851" s="8" t="s">
        <v>3196</v>
      </c>
      <c r="R2851" s="69">
        <v>32</v>
      </c>
      <c r="S2851" s="69">
        <v>817.86</v>
      </c>
      <c r="T2851" s="10">
        <v>0</v>
      </c>
      <c r="U2851" s="10">
        <f t="shared" si="1646"/>
        <v>0</v>
      </c>
      <c r="V2851" s="7"/>
      <c r="W2851" s="1">
        <v>2015</v>
      </c>
      <c r="X2851" s="62" t="s">
        <v>7518</v>
      </c>
    </row>
    <row r="2852" spans="1:24" s="13" customFormat="1" ht="76.5" customHeight="1" outlineLevel="1" x14ac:dyDescent="0.2">
      <c r="A2852" s="1" t="s">
        <v>7960</v>
      </c>
      <c r="B2852" s="2" t="s">
        <v>5277</v>
      </c>
      <c r="C2852" s="2" t="s">
        <v>3854</v>
      </c>
      <c r="D2852" s="2" t="s">
        <v>3853</v>
      </c>
      <c r="E2852" s="6" t="s">
        <v>5942</v>
      </c>
      <c r="F2852" s="52" t="s">
        <v>5943</v>
      </c>
      <c r="G2852" s="3" t="s">
        <v>3190</v>
      </c>
      <c r="H2852" s="5">
        <v>0</v>
      </c>
      <c r="I2852" s="6">
        <v>710000000</v>
      </c>
      <c r="J2852" s="4" t="s">
        <v>1931</v>
      </c>
      <c r="K2852" s="4" t="s">
        <v>756</v>
      </c>
      <c r="L2852" s="3" t="s">
        <v>1165</v>
      </c>
      <c r="M2852" s="8" t="s">
        <v>3195</v>
      </c>
      <c r="N2852" s="3" t="s">
        <v>1890</v>
      </c>
      <c r="O2852" s="8" t="s">
        <v>1935</v>
      </c>
      <c r="P2852" s="8">
        <v>796</v>
      </c>
      <c r="Q2852" s="8" t="s">
        <v>3196</v>
      </c>
      <c r="R2852" s="69">
        <v>20</v>
      </c>
      <c r="S2852" s="69">
        <v>817.86</v>
      </c>
      <c r="T2852" s="10">
        <f t="shared" ref="T2852" si="1739">S2852*R2852</f>
        <v>16357.2</v>
      </c>
      <c r="U2852" s="10">
        <f t="shared" ref="U2852" si="1740">T2852*1.12</f>
        <v>18320.064000000002</v>
      </c>
      <c r="V2852" s="7"/>
      <c r="W2852" s="1">
        <v>2015</v>
      </c>
      <c r="X2852" s="62"/>
    </row>
    <row r="2853" spans="1:24" s="13" customFormat="1" ht="76.5" customHeight="1" outlineLevel="1" x14ac:dyDescent="0.2">
      <c r="A2853" s="1" t="s">
        <v>2827</v>
      </c>
      <c r="B2853" s="2" t="s">
        <v>5277</v>
      </c>
      <c r="C2853" s="2" t="s">
        <v>3854</v>
      </c>
      <c r="D2853" s="2" t="s">
        <v>3853</v>
      </c>
      <c r="E2853" s="6" t="s">
        <v>5942</v>
      </c>
      <c r="F2853" s="52" t="s">
        <v>5944</v>
      </c>
      <c r="G2853" s="3" t="s">
        <v>3190</v>
      </c>
      <c r="H2853" s="5">
        <v>0</v>
      </c>
      <c r="I2853" s="6">
        <v>710000000</v>
      </c>
      <c r="J2853" s="4" t="s">
        <v>1931</v>
      </c>
      <c r="K2853" s="4" t="s">
        <v>5297</v>
      </c>
      <c r="L2853" s="3" t="s">
        <v>1165</v>
      </c>
      <c r="M2853" s="8" t="s">
        <v>3195</v>
      </c>
      <c r="N2853" s="3" t="s">
        <v>1890</v>
      </c>
      <c r="O2853" s="8" t="s">
        <v>1935</v>
      </c>
      <c r="P2853" s="8">
        <v>796</v>
      </c>
      <c r="Q2853" s="8" t="s">
        <v>3196</v>
      </c>
      <c r="R2853" s="69">
        <f>4+10</f>
        <v>14</v>
      </c>
      <c r="S2853" s="69">
        <v>0</v>
      </c>
      <c r="T2853" s="10">
        <f t="shared" si="1639"/>
        <v>0</v>
      </c>
      <c r="U2853" s="10">
        <f t="shared" si="1646"/>
        <v>0</v>
      </c>
      <c r="V2853" s="7"/>
      <c r="W2853" s="1">
        <v>2015</v>
      </c>
      <c r="X2853" s="62" t="s">
        <v>7518</v>
      </c>
    </row>
    <row r="2854" spans="1:24" s="13" customFormat="1" ht="76.5" customHeight="1" outlineLevel="1" x14ac:dyDescent="0.2">
      <c r="A2854" s="1" t="s">
        <v>7961</v>
      </c>
      <c r="B2854" s="2" t="s">
        <v>5277</v>
      </c>
      <c r="C2854" s="2" t="s">
        <v>3854</v>
      </c>
      <c r="D2854" s="2" t="s">
        <v>3853</v>
      </c>
      <c r="E2854" s="6" t="s">
        <v>5942</v>
      </c>
      <c r="F2854" s="52" t="s">
        <v>5944</v>
      </c>
      <c r="G2854" s="3" t="s">
        <v>3190</v>
      </c>
      <c r="H2854" s="5">
        <v>0</v>
      </c>
      <c r="I2854" s="6">
        <v>710000000</v>
      </c>
      <c r="J2854" s="4" t="s">
        <v>1931</v>
      </c>
      <c r="K2854" s="4" t="s">
        <v>756</v>
      </c>
      <c r="L2854" s="3" t="s">
        <v>1165</v>
      </c>
      <c r="M2854" s="8" t="s">
        <v>3195</v>
      </c>
      <c r="N2854" s="3" t="s">
        <v>1890</v>
      </c>
      <c r="O2854" s="8" t="s">
        <v>1935</v>
      </c>
      <c r="P2854" s="8">
        <v>796</v>
      </c>
      <c r="Q2854" s="8" t="s">
        <v>3196</v>
      </c>
      <c r="R2854" s="69">
        <v>10</v>
      </c>
      <c r="S2854" s="69">
        <v>1024.1099999999999</v>
      </c>
      <c r="T2854" s="10">
        <f t="shared" ref="T2854" si="1741">S2854*R2854</f>
        <v>10241.099999999999</v>
      </c>
      <c r="U2854" s="10">
        <f t="shared" ref="U2854" si="1742">T2854*1.12</f>
        <v>11470.031999999999</v>
      </c>
      <c r="V2854" s="7"/>
      <c r="W2854" s="1">
        <v>2015</v>
      </c>
      <c r="X2854" s="62"/>
    </row>
    <row r="2855" spans="1:24" s="13" customFormat="1" ht="76.5" customHeight="1" outlineLevel="1" x14ac:dyDescent="0.2">
      <c r="A2855" s="1" t="s">
        <v>2828</v>
      </c>
      <c r="B2855" s="2" t="s">
        <v>5277</v>
      </c>
      <c r="C2855" s="2" t="s">
        <v>76</v>
      </c>
      <c r="D2855" s="2" t="s">
        <v>3853</v>
      </c>
      <c r="E2855" s="2" t="s">
        <v>75</v>
      </c>
      <c r="F2855" s="2"/>
      <c r="G2855" s="3" t="s">
        <v>3190</v>
      </c>
      <c r="H2855" s="5">
        <v>0</v>
      </c>
      <c r="I2855" s="6">
        <v>710000000</v>
      </c>
      <c r="J2855" s="4" t="s">
        <v>1931</v>
      </c>
      <c r="K2855" s="4" t="s">
        <v>5297</v>
      </c>
      <c r="L2855" s="3" t="s">
        <v>1165</v>
      </c>
      <c r="M2855" s="8" t="s">
        <v>3195</v>
      </c>
      <c r="N2855" s="3" t="s">
        <v>1890</v>
      </c>
      <c r="O2855" s="8" t="s">
        <v>1935</v>
      </c>
      <c r="P2855" s="8">
        <v>796</v>
      </c>
      <c r="Q2855" s="8" t="s">
        <v>3196</v>
      </c>
      <c r="R2855" s="69">
        <v>5</v>
      </c>
      <c r="S2855" s="69">
        <v>3825.89</v>
      </c>
      <c r="T2855" s="10">
        <v>0</v>
      </c>
      <c r="U2855" s="10">
        <f t="shared" si="1646"/>
        <v>0</v>
      </c>
      <c r="V2855" s="7"/>
      <c r="W2855" s="1">
        <v>2015</v>
      </c>
      <c r="X2855" s="62" t="s">
        <v>7518</v>
      </c>
    </row>
    <row r="2856" spans="1:24" s="13" customFormat="1" ht="76.5" customHeight="1" outlineLevel="1" x14ac:dyDescent="0.2">
      <c r="A2856" s="1" t="s">
        <v>7962</v>
      </c>
      <c r="B2856" s="2" t="s">
        <v>5277</v>
      </c>
      <c r="C2856" s="2" t="s">
        <v>76</v>
      </c>
      <c r="D2856" s="2" t="s">
        <v>3853</v>
      </c>
      <c r="E2856" s="2" t="s">
        <v>75</v>
      </c>
      <c r="F2856" s="2"/>
      <c r="G2856" s="3" t="s">
        <v>3190</v>
      </c>
      <c r="H2856" s="5">
        <v>0</v>
      </c>
      <c r="I2856" s="6">
        <v>710000000</v>
      </c>
      <c r="J2856" s="4" t="s">
        <v>1931</v>
      </c>
      <c r="K2856" s="4" t="s">
        <v>756</v>
      </c>
      <c r="L2856" s="3" t="s">
        <v>1165</v>
      </c>
      <c r="M2856" s="8" t="s">
        <v>3195</v>
      </c>
      <c r="N2856" s="3" t="s">
        <v>1890</v>
      </c>
      <c r="O2856" s="8" t="s">
        <v>1935</v>
      </c>
      <c r="P2856" s="8">
        <v>796</v>
      </c>
      <c r="Q2856" s="8" t="s">
        <v>3196</v>
      </c>
      <c r="R2856" s="69">
        <v>5</v>
      </c>
      <c r="S2856" s="69">
        <v>3825.89</v>
      </c>
      <c r="T2856" s="10">
        <f t="shared" ref="T2856" si="1743">S2856*R2856</f>
        <v>19129.45</v>
      </c>
      <c r="U2856" s="10">
        <f t="shared" ref="U2856" si="1744">T2856*1.12</f>
        <v>21424.984000000004</v>
      </c>
      <c r="V2856" s="7"/>
      <c r="W2856" s="1">
        <v>2015</v>
      </c>
      <c r="X2856" s="62"/>
    </row>
    <row r="2857" spans="1:24" s="13" customFormat="1" ht="76.5" customHeight="1" outlineLevel="1" x14ac:dyDescent="0.2">
      <c r="A2857" s="1" t="s">
        <v>2829</v>
      </c>
      <c r="B2857" s="38" t="s">
        <v>5277</v>
      </c>
      <c r="C2857" s="2" t="s">
        <v>29</v>
      </c>
      <c r="D2857" s="2" t="s">
        <v>28</v>
      </c>
      <c r="E2857" s="2" t="s">
        <v>6483</v>
      </c>
      <c r="F2857" s="39"/>
      <c r="G2857" s="50" t="s">
        <v>3190</v>
      </c>
      <c r="H2857" s="5">
        <v>0</v>
      </c>
      <c r="I2857" s="6">
        <v>710000000</v>
      </c>
      <c r="J2857" s="4" t="s">
        <v>1931</v>
      </c>
      <c r="K2857" s="4" t="s">
        <v>5297</v>
      </c>
      <c r="L2857" s="3" t="s">
        <v>1165</v>
      </c>
      <c r="M2857" s="8" t="s">
        <v>3195</v>
      </c>
      <c r="N2857" s="3" t="s">
        <v>1890</v>
      </c>
      <c r="O2857" s="8" t="s">
        <v>1935</v>
      </c>
      <c r="P2857" s="8">
        <v>796</v>
      </c>
      <c r="Q2857" s="8" t="s">
        <v>3196</v>
      </c>
      <c r="R2857" s="9">
        <f>166+108</f>
        <v>274</v>
      </c>
      <c r="S2857" s="9">
        <v>213</v>
      </c>
      <c r="T2857" s="10">
        <v>0</v>
      </c>
      <c r="U2857" s="10">
        <f t="shared" si="1646"/>
        <v>0</v>
      </c>
      <c r="V2857" s="7"/>
      <c r="W2857" s="11">
        <v>2015</v>
      </c>
      <c r="X2857" s="12" t="s">
        <v>6562</v>
      </c>
    </row>
    <row r="2858" spans="1:24" s="13" customFormat="1" ht="76.5" customHeight="1" outlineLevel="1" x14ac:dyDescent="0.2">
      <c r="A2858" s="1" t="s">
        <v>6732</v>
      </c>
      <c r="B2858" s="2" t="s">
        <v>5277</v>
      </c>
      <c r="C2858" s="2" t="s">
        <v>29</v>
      </c>
      <c r="D2858" s="2" t="s">
        <v>28</v>
      </c>
      <c r="E2858" s="2" t="s">
        <v>6483</v>
      </c>
      <c r="F2858" s="2"/>
      <c r="G2858" s="3" t="s">
        <v>3190</v>
      </c>
      <c r="H2858" s="5">
        <v>0</v>
      </c>
      <c r="I2858" s="6">
        <v>710000000</v>
      </c>
      <c r="J2858" s="4" t="s">
        <v>1931</v>
      </c>
      <c r="K2858" s="4" t="s">
        <v>5297</v>
      </c>
      <c r="L2858" s="3" t="s">
        <v>1165</v>
      </c>
      <c r="M2858" s="8" t="s">
        <v>3195</v>
      </c>
      <c r="N2858" s="3" t="s">
        <v>1890</v>
      </c>
      <c r="O2858" s="8" t="s">
        <v>1935</v>
      </c>
      <c r="P2858" s="8">
        <v>796</v>
      </c>
      <c r="Q2858" s="8" t="s">
        <v>3196</v>
      </c>
      <c r="R2858" s="69">
        <f>148+108</f>
        <v>256</v>
      </c>
      <c r="S2858" s="69">
        <v>213</v>
      </c>
      <c r="T2858" s="10">
        <v>0</v>
      </c>
      <c r="U2858" s="10">
        <f t="shared" si="1646"/>
        <v>0</v>
      </c>
      <c r="V2858" s="7"/>
      <c r="W2858" s="1">
        <v>2015</v>
      </c>
      <c r="X2858" s="62" t="s">
        <v>7518</v>
      </c>
    </row>
    <row r="2859" spans="1:24" s="13" customFormat="1" ht="76.5" customHeight="1" outlineLevel="1" x14ac:dyDescent="0.2">
      <c r="A2859" s="1" t="s">
        <v>7963</v>
      </c>
      <c r="B2859" s="2" t="s">
        <v>5277</v>
      </c>
      <c r="C2859" s="2" t="s">
        <v>29</v>
      </c>
      <c r="D2859" s="2" t="s">
        <v>28</v>
      </c>
      <c r="E2859" s="2" t="s">
        <v>6483</v>
      </c>
      <c r="F2859" s="2"/>
      <c r="G2859" s="3" t="s">
        <v>3190</v>
      </c>
      <c r="H2859" s="5">
        <v>0</v>
      </c>
      <c r="I2859" s="6">
        <v>710000000</v>
      </c>
      <c r="J2859" s="4" t="s">
        <v>1931</v>
      </c>
      <c r="K2859" s="4" t="s">
        <v>756</v>
      </c>
      <c r="L2859" s="3" t="s">
        <v>1165</v>
      </c>
      <c r="M2859" s="8" t="s">
        <v>3195</v>
      </c>
      <c r="N2859" s="3" t="s">
        <v>1890</v>
      </c>
      <c r="O2859" s="8" t="s">
        <v>1935</v>
      </c>
      <c r="P2859" s="8">
        <v>796</v>
      </c>
      <c r="Q2859" s="8" t="s">
        <v>3196</v>
      </c>
      <c r="R2859" s="69">
        <f>100+80</f>
        <v>180</v>
      </c>
      <c r="S2859" s="69">
        <v>213</v>
      </c>
      <c r="T2859" s="10">
        <f t="shared" ref="T2859" si="1745">S2859*R2859</f>
        <v>38340</v>
      </c>
      <c r="U2859" s="10">
        <f t="shared" ref="U2859" si="1746">T2859*1.12</f>
        <v>42940.800000000003</v>
      </c>
      <c r="V2859" s="7"/>
      <c r="W2859" s="1">
        <v>2015</v>
      </c>
      <c r="X2859" s="62"/>
    </row>
    <row r="2860" spans="1:24" s="13" customFormat="1" ht="76.5" customHeight="1" outlineLevel="1" x14ac:dyDescent="0.2">
      <c r="A2860" s="1" t="s">
        <v>2830</v>
      </c>
      <c r="B2860" s="2" t="s">
        <v>5277</v>
      </c>
      <c r="C2860" s="2" t="s">
        <v>3459</v>
      </c>
      <c r="D2860" s="2" t="s">
        <v>5998</v>
      </c>
      <c r="E2860" s="6" t="s">
        <v>6000</v>
      </c>
      <c r="F2860" s="2"/>
      <c r="G2860" s="3" t="s">
        <v>3190</v>
      </c>
      <c r="H2860" s="5">
        <v>0</v>
      </c>
      <c r="I2860" s="6">
        <v>710000000</v>
      </c>
      <c r="J2860" s="4" t="s">
        <v>1931</v>
      </c>
      <c r="K2860" s="4" t="s">
        <v>5297</v>
      </c>
      <c r="L2860" s="3" t="s">
        <v>1165</v>
      </c>
      <c r="M2860" s="8" t="s">
        <v>3195</v>
      </c>
      <c r="N2860" s="3" t="s">
        <v>1890</v>
      </c>
      <c r="O2860" s="8" t="s">
        <v>1935</v>
      </c>
      <c r="P2860" s="8">
        <v>796</v>
      </c>
      <c r="Q2860" s="8" t="s">
        <v>3196</v>
      </c>
      <c r="R2860" s="69">
        <v>10</v>
      </c>
      <c r="S2860" s="69">
        <v>1220</v>
      </c>
      <c r="T2860" s="10">
        <v>0</v>
      </c>
      <c r="U2860" s="10">
        <f t="shared" si="1646"/>
        <v>0</v>
      </c>
      <c r="V2860" s="7"/>
      <c r="W2860" s="1">
        <v>2015</v>
      </c>
      <c r="X2860" s="62">
        <v>11</v>
      </c>
    </row>
    <row r="2861" spans="1:24" s="13" customFormat="1" ht="76.5" customHeight="1" outlineLevel="1" x14ac:dyDescent="0.2">
      <c r="A2861" s="1" t="s">
        <v>7964</v>
      </c>
      <c r="B2861" s="2" t="s">
        <v>5277</v>
      </c>
      <c r="C2861" s="2" t="s">
        <v>3459</v>
      </c>
      <c r="D2861" s="2" t="s">
        <v>5998</v>
      </c>
      <c r="E2861" s="6" t="s">
        <v>6000</v>
      </c>
      <c r="F2861" s="2"/>
      <c r="G2861" s="3" t="s">
        <v>3190</v>
      </c>
      <c r="H2861" s="5">
        <v>0</v>
      </c>
      <c r="I2861" s="6">
        <v>710000000</v>
      </c>
      <c r="J2861" s="4" t="s">
        <v>1931</v>
      </c>
      <c r="K2861" s="4" t="s">
        <v>756</v>
      </c>
      <c r="L2861" s="3" t="s">
        <v>1165</v>
      </c>
      <c r="M2861" s="8" t="s">
        <v>3195</v>
      </c>
      <c r="N2861" s="3" t="s">
        <v>1890</v>
      </c>
      <c r="O2861" s="8" t="s">
        <v>1935</v>
      </c>
      <c r="P2861" s="8">
        <v>796</v>
      </c>
      <c r="Q2861" s="8" t="s">
        <v>3196</v>
      </c>
      <c r="R2861" s="69">
        <v>10</v>
      </c>
      <c r="S2861" s="69">
        <v>1220</v>
      </c>
      <c r="T2861" s="10">
        <f t="shared" ref="T2861" si="1747">S2861*R2861</f>
        <v>12200</v>
      </c>
      <c r="U2861" s="10">
        <f t="shared" ref="U2861" si="1748">T2861*1.12</f>
        <v>13664.000000000002</v>
      </c>
      <c r="V2861" s="7"/>
      <c r="W2861" s="1">
        <v>2015</v>
      </c>
      <c r="X2861" s="62"/>
    </row>
    <row r="2862" spans="1:24" s="13" customFormat="1" ht="76.5" customHeight="1" outlineLevel="1" x14ac:dyDescent="0.2">
      <c r="A2862" s="1" t="s">
        <v>2831</v>
      </c>
      <c r="B2862" s="38" t="s">
        <v>5277</v>
      </c>
      <c r="C2862" s="2" t="s">
        <v>3460</v>
      </c>
      <c r="D2862" s="2" t="s">
        <v>5998</v>
      </c>
      <c r="E2862" s="6" t="s">
        <v>5999</v>
      </c>
      <c r="F2862" s="39"/>
      <c r="G2862" s="50" t="s">
        <v>3190</v>
      </c>
      <c r="H2862" s="5">
        <v>0</v>
      </c>
      <c r="I2862" s="6">
        <v>710000000</v>
      </c>
      <c r="J2862" s="4" t="s">
        <v>1931</v>
      </c>
      <c r="K2862" s="4" t="s">
        <v>5297</v>
      </c>
      <c r="L2862" s="3" t="s">
        <v>1165</v>
      </c>
      <c r="M2862" s="8" t="s">
        <v>3195</v>
      </c>
      <c r="N2862" s="3" t="s">
        <v>1890</v>
      </c>
      <c r="O2862" s="8" t="s">
        <v>1935</v>
      </c>
      <c r="P2862" s="8">
        <v>796</v>
      </c>
      <c r="Q2862" s="8" t="s">
        <v>3196</v>
      </c>
      <c r="R2862" s="9">
        <f>5+26</f>
        <v>31</v>
      </c>
      <c r="S2862" s="9">
        <v>2000</v>
      </c>
      <c r="T2862" s="10">
        <v>0</v>
      </c>
      <c r="U2862" s="10">
        <f t="shared" si="1646"/>
        <v>0</v>
      </c>
      <c r="V2862" s="7"/>
      <c r="W2862" s="11">
        <v>2015</v>
      </c>
      <c r="X2862" s="12" t="s">
        <v>6562</v>
      </c>
    </row>
    <row r="2863" spans="1:24" s="13" customFormat="1" ht="76.5" customHeight="1" outlineLevel="1" x14ac:dyDescent="0.2">
      <c r="A2863" s="1" t="s">
        <v>6733</v>
      </c>
      <c r="B2863" s="2" t="s">
        <v>5277</v>
      </c>
      <c r="C2863" s="2" t="s">
        <v>3460</v>
      </c>
      <c r="D2863" s="2" t="s">
        <v>5998</v>
      </c>
      <c r="E2863" s="6" t="s">
        <v>5999</v>
      </c>
      <c r="F2863" s="2"/>
      <c r="G2863" s="3" t="s">
        <v>3190</v>
      </c>
      <c r="H2863" s="5">
        <v>0</v>
      </c>
      <c r="I2863" s="6">
        <v>710000000</v>
      </c>
      <c r="J2863" s="4" t="s">
        <v>1931</v>
      </c>
      <c r="K2863" s="4" t="s">
        <v>5297</v>
      </c>
      <c r="L2863" s="3" t="s">
        <v>1165</v>
      </c>
      <c r="M2863" s="8" t="s">
        <v>3195</v>
      </c>
      <c r="N2863" s="3" t="s">
        <v>1890</v>
      </c>
      <c r="O2863" s="8" t="s">
        <v>1935</v>
      </c>
      <c r="P2863" s="8">
        <v>796</v>
      </c>
      <c r="Q2863" s="8" t="s">
        <v>3196</v>
      </c>
      <c r="R2863" s="69">
        <f>4+26</f>
        <v>30</v>
      </c>
      <c r="S2863" s="69">
        <v>2000</v>
      </c>
      <c r="T2863" s="10">
        <v>0</v>
      </c>
      <c r="U2863" s="10">
        <f t="shared" si="1646"/>
        <v>0</v>
      </c>
      <c r="V2863" s="7"/>
      <c r="W2863" s="1">
        <v>2015</v>
      </c>
      <c r="X2863" s="62">
        <v>11</v>
      </c>
    </row>
    <row r="2864" spans="1:24" s="13" customFormat="1" ht="76.5" customHeight="1" outlineLevel="1" x14ac:dyDescent="0.2">
      <c r="A2864" s="1" t="s">
        <v>7965</v>
      </c>
      <c r="B2864" s="2" t="s">
        <v>5277</v>
      </c>
      <c r="C2864" s="2" t="s">
        <v>3460</v>
      </c>
      <c r="D2864" s="2" t="s">
        <v>5998</v>
      </c>
      <c r="E2864" s="6" t="s">
        <v>5999</v>
      </c>
      <c r="F2864" s="2"/>
      <c r="G2864" s="3" t="s">
        <v>3190</v>
      </c>
      <c r="H2864" s="5">
        <v>0</v>
      </c>
      <c r="I2864" s="6">
        <v>710000000</v>
      </c>
      <c r="J2864" s="4" t="s">
        <v>1931</v>
      </c>
      <c r="K2864" s="4" t="s">
        <v>756</v>
      </c>
      <c r="L2864" s="3" t="s">
        <v>1165</v>
      </c>
      <c r="M2864" s="8" t="s">
        <v>3195</v>
      </c>
      <c r="N2864" s="3" t="s">
        <v>1890</v>
      </c>
      <c r="O2864" s="8" t="s">
        <v>1935</v>
      </c>
      <c r="P2864" s="8">
        <v>796</v>
      </c>
      <c r="Q2864" s="8" t="s">
        <v>3196</v>
      </c>
      <c r="R2864" s="69">
        <f>4+26</f>
        <v>30</v>
      </c>
      <c r="S2864" s="69">
        <v>2000</v>
      </c>
      <c r="T2864" s="10">
        <f t="shared" ref="T2864" si="1749">S2864*R2864</f>
        <v>60000</v>
      </c>
      <c r="U2864" s="10">
        <f t="shared" ref="U2864" si="1750">T2864*1.12</f>
        <v>67200</v>
      </c>
      <c r="V2864" s="7"/>
      <c r="W2864" s="1">
        <v>2015</v>
      </c>
      <c r="X2864" s="62"/>
    </row>
    <row r="2865" spans="1:24" s="13" customFormat="1" ht="76.5" customHeight="1" outlineLevel="1" x14ac:dyDescent="0.2">
      <c r="A2865" s="1" t="s">
        <v>2832</v>
      </c>
      <c r="B2865" s="38" t="s">
        <v>5277</v>
      </c>
      <c r="C2865" s="2" t="s">
        <v>3847</v>
      </c>
      <c r="D2865" s="2" t="s">
        <v>5953</v>
      </c>
      <c r="E2865" s="6" t="s">
        <v>5495</v>
      </c>
      <c r="F2865" s="52" t="s">
        <v>3846</v>
      </c>
      <c r="G2865" s="50" t="s">
        <v>3190</v>
      </c>
      <c r="H2865" s="5">
        <v>0</v>
      </c>
      <c r="I2865" s="6">
        <v>710000000</v>
      </c>
      <c r="J2865" s="4" t="s">
        <v>1931</v>
      </c>
      <c r="K2865" s="4" t="s">
        <v>5297</v>
      </c>
      <c r="L2865" s="7" t="s">
        <v>1940</v>
      </c>
      <c r="M2865" s="8" t="s">
        <v>3195</v>
      </c>
      <c r="N2865" s="3" t="s">
        <v>1890</v>
      </c>
      <c r="O2865" s="8" t="s">
        <v>1935</v>
      </c>
      <c r="P2865" s="8">
        <v>796</v>
      </c>
      <c r="Q2865" s="8" t="s">
        <v>3196</v>
      </c>
      <c r="R2865" s="9">
        <f>61+32+9</f>
        <v>102</v>
      </c>
      <c r="S2865" s="9">
        <v>950</v>
      </c>
      <c r="T2865" s="10">
        <v>0</v>
      </c>
      <c r="U2865" s="10">
        <f t="shared" si="1646"/>
        <v>0</v>
      </c>
      <c r="V2865" s="7"/>
      <c r="W2865" s="11">
        <v>2015</v>
      </c>
      <c r="X2865" s="12" t="s">
        <v>6562</v>
      </c>
    </row>
    <row r="2866" spans="1:24" s="13" customFormat="1" ht="76.5" customHeight="1" outlineLevel="1" x14ac:dyDescent="0.2">
      <c r="A2866" s="1" t="s">
        <v>6734</v>
      </c>
      <c r="B2866" s="2" t="s">
        <v>5277</v>
      </c>
      <c r="C2866" s="2" t="s">
        <v>3847</v>
      </c>
      <c r="D2866" s="2" t="s">
        <v>5953</v>
      </c>
      <c r="E2866" s="6" t="s">
        <v>5495</v>
      </c>
      <c r="F2866" s="52" t="s">
        <v>3846</v>
      </c>
      <c r="G2866" s="3" t="s">
        <v>3190</v>
      </c>
      <c r="H2866" s="5">
        <v>0</v>
      </c>
      <c r="I2866" s="6">
        <v>710000000</v>
      </c>
      <c r="J2866" s="4" t="s">
        <v>1931</v>
      </c>
      <c r="K2866" s="4" t="s">
        <v>5297</v>
      </c>
      <c r="L2866" s="7" t="s">
        <v>1940</v>
      </c>
      <c r="M2866" s="8" t="s">
        <v>3195</v>
      </c>
      <c r="N2866" s="3" t="s">
        <v>1890</v>
      </c>
      <c r="O2866" s="8" t="s">
        <v>1935</v>
      </c>
      <c r="P2866" s="8">
        <v>796</v>
      </c>
      <c r="Q2866" s="8" t="s">
        <v>3196</v>
      </c>
      <c r="R2866" s="69">
        <f>49+32+9</f>
        <v>90</v>
      </c>
      <c r="S2866" s="69">
        <v>950</v>
      </c>
      <c r="T2866" s="10">
        <v>0</v>
      </c>
      <c r="U2866" s="10">
        <f t="shared" si="1646"/>
        <v>0</v>
      </c>
      <c r="V2866" s="7"/>
      <c r="W2866" s="1">
        <v>2015</v>
      </c>
      <c r="X2866" s="62" t="s">
        <v>7518</v>
      </c>
    </row>
    <row r="2867" spans="1:24" s="13" customFormat="1" ht="76.5" customHeight="1" outlineLevel="1" x14ac:dyDescent="0.2">
      <c r="A2867" s="1" t="s">
        <v>7966</v>
      </c>
      <c r="B2867" s="2" t="s">
        <v>5277</v>
      </c>
      <c r="C2867" s="2" t="s">
        <v>3847</v>
      </c>
      <c r="D2867" s="2" t="s">
        <v>5953</v>
      </c>
      <c r="E2867" s="6" t="s">
        <v>5495</v>
      </c>
      <c r="F2867" s="52" t="s">
        <v>3846</v>
      </c>
      <c r="G2867" s="3" t="s">
        <v>3190</v>
      </c>
      <c r="H2867" s="5">
        <v>0</v>
      </c>
      <c r="I2867" s="6">
        <v>710000000</v>
      </c>
      <c r="J2867" s="4" t="s">
        <v>1931</v>
      </c>
      <c r="K2867" s="4" t="s">
        <v>756</v>
      </c>
      <c r="L2867" s="7" t="s">
        <v>1940</v>
      </c>
      <c r="M2867" s="8" t="s">
        <v>3195</v>
      </c>
      <c r="N2867" s="3" t="s">
        <v>1890</v>
      </c>
      <c r="O2867" s="8" t="s">
        <v>1935</v>
      </c>
      <c r="P2867" s="8">
        <v>796</v>
      </c>
      <c r="Q2867" s="8" t="s">
        <v>3196</v>
      </c>
      <c r="R2867" s="69">
        <f>30+20</f>
        <v>50</v>
      </c>
      <c r="S2867" s="69">
        <v>950</v>
      </c>
      <c r="T2867" s="10">
        <f t="shared" ref="T2867" si="1751">S2867*R2867</f>
        <v>47500</v>
      </c>
      <c r="U2867" s="10">
        <f t="shared" ref="U2867" si="1752">T2867*1.12</f>
        <v>53200.000000000007</v>
      </c>
      <c r="V2867" s="7"/>
      <c r="W2867" s="1">
        <v>2015</v>
      </c>
      <c r="X2867" s="62"/>
    </row>
    <row r="2868" spans="1:24" s="13" customFormat="1" ht="76.5" customHeight="1" outlineLevel="1" x14ac:dyDescent="0.2">
      <c r="A2868" s="1" t="s">
        <v>2833</v>
      </c>
      <c r="B2868" s="38" t="s">
        <v>5277</v>
      </c>
      <c r="C2868" s="2" t="s">
        <v>3845</v>
      </c>
      <c r="D2868" s="2" t="s">
        <v>5953</v>
      </c>
      <c r="E2868" s="6" t="s">
        <v>5496</v>
      </c>
      <c r="F2868" s="52" t="s">
        <v>3844</v>
      </c>
      <c r="G2868" s="50" t="s">
        <v>3190</v>
      </c>
      <c r="H2868" s="5">
        <v>0</v>
      </c>
      <c r="I2868" s="6">
        <v>710000000</v>
      </c>
      <c r="J2868" s="4" t="s">
        <v>1931</v>
      </c>
      <c r="K2868" s="4" t="s">
        <v>5297</v>
      </c>
      <c r="L2868" s="7" t="s">
        <v>1940</v>
      </c>
      <c r="M2868" s="8" t="s">
        <v>3195</v>
      </c>
      <c r="N2868" s="3" t="s">
        <v>1890</v>
      </c>
      <c r="O2868" s="8" t="s">
        <v>1935</v>
      </c>
      <c r="P2868" s="8">
        <v>796</v>
      </c>
      <c r="Q2868" s="8" t="s">
        <v>3196</v>
      </c>
      <c r="R2868" s="9">
        <f>29+28+9</f>
        <v>66</v>
      </c>
      <c r="S2868" s="9">
        <v>1350</v>
      </c>
      <c r="T2868" s="10">
        <v>0</v>
      </c>
      <c r="U2868" s="10">
        <f t="shared" si="1646"/>
        <v>0</v>
      </c>
      <c r="V2868" s="7"/>
      <c r="W2868" s="11">
        <v>2015</v>
      </c>
      <c r="X2868" s="12" t="s">
        <v>6562</v>
      </c>
    </row>
    <row r="2869" spans="1:24" s="13" customFormat="1" ht="76.5" customHeight="1" outlineLevel="1" x14ac:dyDescent="0.2">
      <c r="A2869" s="1" t="s">
        <v>6735</v>
      </c>
      <c r="B2869" s="2" t="s">
        <v>5277</v>
      </c>
      <c r="C2869" s="2" t="s">
        <v>3845</v>
      </c>
      <c r="D2869" s="2" t="s">
        <v>5953</v>
      </c>
      <c r="E2869" s="6" t="s">
        <v>5496</v>
      </c>
      <c r="F2869" s="52" t="s">
        <v>3844</v>
      </c>
      <c r="G2869" s="3" t="s">
        <v>3190</v>
      </c>
      <c r="H2869" s="5">
        <v>0</v>
      </c>
      <c r="I2869" s="6">
        <v>710000000</v>
      </c>
      <c r="J2869" s="4" t="s">
        <v>1931</v>
      </c>
      <c r="K2869" s="4" t="s">
        <v>5297</v>
      </c>
      <c r="L2869" s="7" t="s">
        <v>1940</v>
      </c>
      <c r="M2869" s="8" t="s">
        <v>3195</v>
      </c>
      <c r="N2869" s="3" t="s">
        <v>1890</v>
      </c>
      <c r="O2869" s="8" t="s">
        <v>1935</v>
      </c>
      <c r="P2869" s="8">
        <v>796</v>
      </c>
      <c r="Q2869" s="8" t="s">
        <v>3196</v>
      </c>
      <c r="R2869" s="69">
        <f>26+28+9</f>
        <v>63</v>
      </c>
      <c r="S2869" s="69">
        <v>1350</v>
      </c>
      <c r="T2869" s="10">
        <v>0</v>
      </c>
      <c r="U2869" s="10">
        <f t="shared" si="1646"/>
        <v>0</v>
      </c>
      <c r="V2869" s="7"/>
      <c r="W2869" s="1">
        <v>2015</v>
      </c>
      <c r="X2869" s="62" t="s">
        <v>7518</v>
      </c>
    </row>
    <row r="2870" spans="1:24" s="13" customFormat="1" ht="76.5" customHeight="1" outlineLevel="1" x14ac:dyDescent="0.2">
      <c r="A2870" s="1" t="s">
        <v>7967</v>
      </c>
      <c r="B2870" s="2" t="s">
        <v>5277</v>
      </c>
      <c r="C2870" s="2" t="s">
        <v>3845</v>
      </c>
      <c r="D2870" s="2" t="s">
        <v>5953</v>
      </c>
      <c r="E2870" s="6" t="s">
        <v>5496</v>
      </c>
      <c r="F2870" s="52" t="s">
        <v>3844</v>
      </c>
      <c r="G2870" s="3" t="s">
        <v>3190</v>
      </c>
      <c r="H2870" s="5">
        <v>0</v>
      </c>
      <c r="I2870" s="6">
        <v>710000000</v>
      </c>
      <c r="J2870" s="4" t="s">
        <v>1931</v>
      </c>
      <c r="K2870" s="4" t="s">
        <v>756</v>
      </c>
      <c r="L2870" s="7" t="s">
        <v>1940</v>
      </c>
      <c r="M2870" s="8" t="s">
        <v>3195</v>
      </c>
      <c r="N2870" s="3" t="s">
        <v>1890</v>
      </c>
      <c r="O2870" s="8" t="s">
        <v>1935</v>
      </c>
      <c r="P2870" s="8">
        <v>796</v>
      </c>
      <c r="Q2870" s="8" t="s">
        <v>3196</v>
      </c>
      <c r="R2870" s="69">
        <f>20+20+5</f>
        <v>45</v>
      </c>
      <c r="S2870" s="69">
        <v>1350</v>
      </c>
      <c r="T2870" s="10">
        <f t="shared" ref="T2870" si="1753">S2870*R2870</f>
        <v>60750</v>
      </c>
      <c r="U2870" s="10">
        <f t="shared" ref="U2870" si="1754">T2870*1.12</f>
        <v>68040</v>
      </c>
      <c r="V2870" s="7"/>
      <c r="W2870" s="1">
        <v>2015</v>
      </c>
      <c r="X2870" s="62"/>
    </row>
    <row r="2871" spans="1:24" s="13" customFormat="1" ht="76.5" customHeight="1" outlineLevel="1" x14ac:dyDescent="0.2">
      <c r="A2871" s="1" t="s">
        <v>2834</v>
      </c>
      <c r="B2871" s="2" t="s">
        <v>5277</v>
      </c>
      <c r="C2871" s="2" t="s">
        <v>3843</v>
      </c>
      <c r="D2871" s="2" t="s">
        <v>5953</v>
      </c>
      <c r="E2871" s="6" t="s">
        <v>5497</v>
      </c>
      <c r="F2871" s="52" t="s">
        <v>3842</v>
      </c>
      <c r="G2871" s="3" t="s">
        <v>3190</v>
      </c>
      <c r="H2871" s="5">
        <v>0</v>
      </c>
      <c r="I2871" s="6">
        <v>710000000</v>
      </c>
      <c r="J2871" s="4" t="s">
        <v>1931</v>
      </c>
      <c r="K2871" s="4" t="s">
        <v>5297</v>
      </c>
      <c r="L2871" s="7" t="s">
        <v>1940</v>
      </c>
      <c r="M2871" s="8" t="s">
        <v>3195</v>
      </c>
      <c r="N2871" s="3" t="s">
        <v>1890</v>
      </c>
      <c r="O2871" s="8" t="s">
        <v>1935</v>
      </c>
      <c r="P2871" s="8">
        <v>796</v>
      </c>
      <c r="Q2871" s="8" t="s">
        <v>3196</v>
      </c>
      <c r="R2871" s="69">
        <f>16+16+4</f>
        <v>36</v>
      </c>
      <c r="S2871" s="69">
        <v>2200</v>
      </c>
      <c r="T2871" s="10">
        <v>0</v>
      </c>
      <c r="U2871" s="10">
        <f t="shared" si="1646"/>
        <v>0</v>
      </c>
      <c r="V2871" s="7"/>
      <c r="W2871" s="1">
        <v>2015</v>
      </c>
      <c r="X2871" s="62" t="s">
        <v>7518</v>
      </c>
    </row>
    <row r="2872" spans="1:24" s="13" customFormat="1" ht="76.5" customHeight="1" outlineLevel="1" x14ac:dyDescent="0.2">
      <c r="A2872" s="1" t="s">
        <v>7968</v>
      </c>
      <c r="B2872" s="2" t="s">
        <v>5277</v>
      </c>
      <c r="C2872" s="2" t="s">
        <v>3843</v>
      </c>
      <c r="D2872" s="2" t="s">
        <v>5953</v>
      </c>
      <c r="E2872" s="6" t="s">
        <v>5497</v>
      </c>
      <c r="F2872" s="52" t="s">
        <v>3842</v>
      </c>
      <c r="G2872" s="3" t="s">
        <v>3190</v>
      </c>
      <c r="H2872" s="5">
        <v>0</v>
      </c>
      <c r="I2872" s="6">
        <v>710000000</v>
      </c>
      <c r="J2872" s="4" t="s">
        <v>1931</v>
      </c>
      <c r="K2872" s="4" t="s">
        <v>756</v>
      </c>
      <c r="L2872" s="7" t="s">
        <v>1940</v>
      </c>
      <c r="M2872" s="8" t="s">
        <v>3195</v>
      </c>
      <c r="N2872" s="3" t="s">
        <v>1890</v>
      </c>
      <c r="O2872" s="8" t="s">
        <v>1935</v>
      </c>
      <c r="P2872" s="8">
        <v>796</v>
      </c>
      <c r="Q2872" s="8" t="s">
        <v>3196</v>
      </c>
      <c r="R2872" s="69">
        <f>10+10</f>
        <v>20</v>
      </c>
      <c r="S2872" s="69">
        <v>2200</v>
      </c>
      <c r="T2872" s="10">
        <f t="shared" ref="T2872" si="1755">S2872*R2872</f>
        <v>44000</v>
      </c>
      <c r="U2872" s="10">
        <f t="shared" ref="U2872" si="1756">T2872*1.12</f>
        <v>49280.000000000007</v>
      </c>
      <c r="V2872" s="7"/>
      <c r="W2872" s="1">
        <v>2015</v>
      </c>
      <c r="X2872" s="62"/>
    </row>
    <row r="2873" spans="1:24" s="13" customFormat="1" ht="76.5" customHeight="1" outlineLevel="1" x14ac:dyDescent="0.2">
      <c r="A2873" s="1" t="s">
        <v>2835</v>
      </c>
      <c r="B2873" s="38" t="s">
        <v>5277</v>
      </c>
      <c r="C2873" s="2" t="s">
        <v>3841</v>
      </c>
      <c r="D2873" s="2" t="s">
        <v>5953</v>
      </c>
      <c r="E2873" s="6" t="s">
        <v>5498</v>
      </c>
      <c r="F2873" s="52" t="s">
        <v>3840</v>
      </c>
      <c r="G2873" s="50" t="s">
        <v>3190</v>
      </c>
      <c r="H2873" s="5">
        <v>0</v>
      </c>
      <c r="I2873" s="6">
        <v>710000000</v>
      </c>
      <c r="J2873" s="4" t="s">
        <v>1931</v>
      </c>
      <c r="K2873" s="4" t="s">
        <v>5297</v>
      </c>
      <c r="L2873" s="7" t="s">
        <v>1940</v>
      </c>
      <c r="M2873" s="8" t="s">
        <v>3195</v>
      </c>
      <c r="N2873" s="3" t="s">
        <v>1890</v>
      </c>
      <c r="O2873" s="8" t="s">
        <v>1935</v>
      </c>
      <c r="P2873" s="8">
        <v>796</v>
      </c>
      <c r="Q2873" s="8" t="s">
        <v>3196</v>
      </c>
      <c r="R2873" s="9">
        <f>8+16+4</f>
        <v>28</v>
      </c>
      <c r="S2873" s="9">
        <v>3500</v>
      </c>
      <c r="T2873" s="10">
        <v>0</v>
      </c>
      <c r="U2873" s="10">
        <f t="shared" si="1646"/>
        <v>0</v>
      </c>
      <c r="V2873" s="7"/>
      <c r="W2873" s="11">
        <v>2015</v>
      </c>
      <c r="X2873" s="12" t="s">
        <v>6562</v>
      </c>
    </row>
    <row r="2874" spans="1:24" s="13" customFormat="1" ht="76.5" customHeight="1" outlineLevel="1" x14ac:dyDescent="0.2">
      <c r="A2874" s="1" t="s">
        <v>6771</v>
      </c>
      <c r="B2874" s="2" t="s">
        <v>5277</v>
      </c>
      <c r="C2874" s="2" t="s">
        <v>3841</v>
      </c>
      <c r="D2874" s="2" t="s">
        <v>5953</v>
      </c>
      <c r="E2874" s="6" t="s">
        <v>5498</v>
      </c>
      <c r="F2874" s="52" t="s">
        <v>3840</v>
      </c>
      <c r="G2874" s="3" t="s">
        <v>3190</v>
      </c>
      <c r="H2874" s="5">
        <v>0</v>
      </c>
      <c r="I2874" s="6">
        <v>710000000</v>
      </c>
      <c r="J2874" s="4" t="s">
        <v>1931</v>
      </c>
      <c r="K2874" s="4" t="s">
        <v>5297</v>
      </c>
      <c r="L2874" s="7" t="s">
        <v>1940</v>
      </c>
      <c r="M2874" s="8" t="s">
        <v>3195</v>
      </c>
      <c r="N2874" s="3" t="s">
        <v>1890</v>
      </c>
      <c r="O2874" s="8" t="s">
        <v>1935</v>
      </c>
      <c r="P2874" s="8">
        <v>796</v>
      </c>
      <c r="Q2874" s="8" t="s">
        <v>3196</v>
      </c>
      <c r="R2874" s="69">
        <f>6+16+4</f>
        <v>26</v>
      </c>
      <c r="S2874" s="69">
        <v>3500</v>
      </c>
      <c r="T2874" s="10">
        <v>0</v>
      </c>
      <c r="U2874" s="10">
        <f t="shared" si="1646"/>
        <v>0</v>
      </c>
      <c r="V2874" s="7"/>
      <c r="W2874" s="1">
        <v>2015</v>
      </c>
      <c r="X2874" s="62" t="s">
        <v>7518</v>
      </c>
    </row>
    <row r="2875" spans="1:24" s="13" customFormat="1" ht="76.5" customHeight="1" outlineLevel="1" x14ac:dyDescent="0.2">
      <c r="A2875" s="1" t="s">
        <v>7969</v>
      </c>
      <c r="B2875" s="2" t="s">
        <v>5277</v>
      </c>
      <c r="C2875" s="2" t="s">
        <v>3841</v>
      </c>
      <c r="D2875" s="2" t="s">
        <v>5953</v>
      </c>
      <c r="E2875" s="6" t="s">
        <v>5498</v>
      </c>
      <c r="F2875" s="52" t="s">
        <v>3840</v>
      </c>
      <c r="G2875" s="3" t="s">
        <v>3190</v>
      </c>
      <c r="H2875" s="5">
        <v>0</v>
      </c>
      <c r="I2875" s="6">
        <v>710000000</v>
      </c>
      <c r="J2875" s="4" t="s">
        <v>1931</v>
      </c>
      <c r="K2875" s="4" t="s">
        <v>756</v>
      </c>
      <c r="L2875" s="7" t="s">
        <v>1940</v>
      </c>
      <c r="M2875" s="8" t="s">
        <v>3195</v>
      </c>
      <c r="N2875" s="3" t="s">
        <v>1890</v>
      </c>
      <c r="O2875" s="8" t="s">
        <v>1935</v>
      </c>
      <c r="P2875" s="8">
        <v>796</v>
      </c>
      <c r="Q2875" s="8" t="s">
        <v>3196</v>
      </c>
      <c r="R2875" s="69">
        <f>5+10</f>
        <v>15</v>
      </c>
      <c r="S2875" s="69">
        <v>3500</v>
      </c>
      <c r="T2875" s="10">
        <f t="shared" ref="T2875" si="1757">S2875*R2875</f>
        <v>52500</v>
      </c>
      <c r="U2875" s="10">
        <f t="shared" ref="U2875" si="1758">T2875*1.12</f>
        <v>58800.000000000007</v>
      </c>
      <c r="V2875" s="7"/>
      <c r="W2875" s="1">
        <v>2015</v>
      </c>
      <c r="X2875" s="62"/>
    </row>
    <row r="2876" spans="1:24" s="13" customFormat="1" ht="76.5" customHeight="1" outlineLevel="1" x14ac:dyDescent="0.2">
      <c r="A2876" s="1" t="s">
        <v>2836</v>
      </c>
      <c r="B2876" s="38" t="s">
        <v>5277</v>
      </c>
      <c r="C2876" s="2" t="s">
        <v>3839</v>
      </c>
      <c r="D2876" s="2" t="s">
        <v>5953</v>
      </c>
      <c r="E2876" s="6" t="s">
        <v>5499</v>
      </c>
      <c r="F2876" s="52" t="s">
        <v>3838</v>
      </c>
      <c r="G2876" s="50" t="s">
        <v>3190</v>
      </c>
      <c r="H2876" s="5">
        <v>0</v>
      </c>
      <c r="I2876" s="6">
        <v>710000000</v>
      </c>
      <c r="J2876" s="4" t="s">
        <v>1931</v>
      </c>
      <c r="K2876" s="4" t="s">
        <v>5297</v>
      </c>
      <c r="L2876" s="7" t="s">
        <v>1940</v>
      </c>
      <c r="M2876" s="8" t="s">
        <v>3195</v>
      </c>
      <c r="N2876" s="3" t="s">
        <v>1890</v>
      </c>
      <c r="O2876" s="8" t="s">
        <v>1935</v>
      </c>
      <c r="P2876" s="8">
        <v>796</v>
      </c>
      <c r="Q2876" s="8" t="s">
        <v>3196</v>
      </c>
      <c r="R2876" s="9">
        <f>8+6</f>
        <v>14</v>
      </c>
      <c r="S2876" s="9">
        <v>5461.61</v>
      </c>
      <c r="T2876" s="10">
        <v>0</v>
      </c>
      <c r="U2876" s="10">
        <f t="shared" si="1646"/>
        <v>0</v>
      </c>
      <c r="V2876" s="7"/>
      <c r="W2876" s="11">
        <v>2015</v>
      </c>
      <c r="X2876" s="12" t="s">
        <v>6562</v>
      </c>
    </row>
    <row r="2877" spans="1:24" s="13" customFormat="1" ht="76.5" customHeight="1" outlineLevel="1" x14ac:dyDescent="0.2">
      <c r="A2877" s="1" t="s">
        <v>6772</v>
      </c>
      <c r="B2877" s="2" t="s">
        <v>5277</v>
      </c>
      <c r="C2877" s="2" t="s">
        <v>3839</v>
      </c>
      <c r="D2877" s="2" t="s">
        <v>5953</v>
      </c>
      <c r="E2877" s="6" t="s">
        <v>5499</v>
      </c>
      <c r="F2877" s="52" t="s">
        <v>3838</v>
      </c>
      <c r="G2877" s="3" t="s">
        <v>3190</v>
      </c>
      <c r="H2877" s="5">
        <v>0</v>
      </c>
      <c r="I2877" s="6">
        <v>710000000</v>
      </c>
      <c r="J2877" s="4" t="s">
        <v>1931</v>
      </c>
      <c r="K2877" s="4" t="s">
        <v>5297</v>
      </c>
      <c r="L2877" s="7" t="s">
        <v>1940</v>
      </c>
      <c r="M2877" s="8" t="s">
        <v>3195</v>
      </c>
      <c r="N2877" s="3" t="s">
        <v>1890</v>
      </c>
      <c r="O2877" s="8" t="s">
        <v>1935</v>
      </c>
      <c r="P2877" s="8">
        <v>796</v>
      </c>
      <c r="Q2877" s="8" t="s">
        <v>3196</v>
      </c>
      <c r="R2877" s="69">
        <f>7+4</f>
        <v>11</v>
      </c>
      <c r="S2877" s="69">
        <v>5461.61</v>
      </c>
      <c r="T2877" s="10">
        <v>0</v>
      </c>
      <c r="U2877" s="10">
        <f t="shared" si="1646"/>
        <v>0</v>
      </c>
      <c r="V2877" s="7"/>
      <c r="W2877" s="1">
        <v>2015</v>
      </c>
      <c r="X2877" s="62" t="s">
        <v>7518</v>
      </c>
    </row>
    <row r="2878" spans="1:24" s="13" customFormat="1" ht="76.5" customHeight="1" outlineLevel="1" x14ac:dyDescent="0.2">
      <c r="A2878" s="1" t="s">
        <v>7970</v>
      </c>
      <c r="B2878" s="2" t="s">
        <v>5277</v>
      </c>
      <c r="C2878" s="2" t="s">
        <v>3839</v>
      </c>
      <c r="D2878" s="2" t="s">
        <v>5953</v>
      </c>
      <c r="E2878" s="6" t="s">
        <v>5499</v>
      </c>
      <c r="F2878" s="52" t="s">
        <v>3838</v>
      </c>
      <c r="G2878" s="3" t="s">
        <v>3190</v>
      </c>
      <c r="H2878" s="5">
        <v>0</v>
      </c>
      <c r="I2878" s="6">
        <v>710000000</v>
      </c>
      <c r="J2878" s="4" t="s">
        <v>1931</v>
      </c>
      <c r="K2878" s="4" t="s">
        <v>756</v>
      </c>
      <c r="L2878" s="7" t="s">
        <v>1940</v>
      </c>
      <c r="M2878" s="8" t="s">
        <v>3195</v>
      </c>
      <c r="N2878" s="3" t="s">
        <v>1890</v>
      </c>
      <c r="O2878" s="8" t="s">
        <v>1935</v>
      </c>
      <c r="P2878" s="8">
        <v>796</v>
      </c>
      <c r="Q2878" s="8" t="s">
        <v>3196</v>
      </c>
      <c r="R2878" s="69">
        <v>5</v>
      </c>
      <c r="S2878" s="69">
        <v>5461.61</v>
      </c>
      <c r="T2878" s="10">
        <f t="shared" ref="T2878" si="1759">S2878*R2878</f>
        <v>27308.05</v>
      </c>
      <c r="U2878" s="10">
        <f t="shared" ref="U2878" si="1760">T2878*1.12</f>
        <v>30585.016000000003</v>
      </c>
      <c r="V2878" s="7"/>
      <c r="W2878" s="1">
        <v>2015</v>
      </c>
      <c r="X2878" s="62"/>
    </row>
    <row r="2879" spans="1:24" s="13" customFormat="1" ht="76.5" customHeight="1" outlineLevel="1" x14ac:dyDescent="0.2">
      <c r="A2879" s="1" t="s">
        <v>2837</v>
      </c>
      <c r="B2879" s="2" t="s">
        <v>5277</v>
      </c>
      <c r="C2879" s="6" t="s">
        <v>74</v>
      </c>
      <c r="D2879" s="6" t="s">
        <v>73</v>
      </c>
      <c r="E2879" s="6" t="s">
        <v>72</v>
      </c>
      <c r="F2879" s="52" t="s">
        <v>71</v>
      </c>
      <c r="G2879" s="3" t="s">
        <v>3190</v>
      </c>
      <c r="H2879" s="5">
        <v>0</v>
      </c>
      <c r="I2879" s="6">
        <v>710000000</v>
      </c>
      <c r="J2879" s="4" t="s">
        <v>1931</v>
      </c>
      <c r="K2879" s="4" t="s">
        <v>5297</v>
      </c>
      <c r="L2879" s="7" t="s">
        <v>1940</v>
      </c>
      <c r="M2879" s="8" t="s">
        <v>3195</v>
      </c>
      <c r="N2879" s="3" t="s">
        <v>1890</v>
      </c>
      <c r="O2879" s="8" t="s">
        <v>1935</v>
      </c>
      <c r="P2879" s="8">
        <v>796</v>
      </c>
      <c r="Q2879" s="8" t="s">
        <v>3196</v>
      </c>
      <c r="R2879" s="69">
        <v>1</v>
      </c>
      <c r="S2879" s="69">
        <v>12187</v>
      </c>
      <c r="T2879" s="10">
        <v>0</v>
      </c>
      <c r="U2879" s="10">
        <f t="shared" si="1646"/>
        <v>0</v>
      </c>
      <c r="V2879" s="7"/>
      <c r="W2879" s="1">
        <v>2015</v>
      </c>
      <c r="X2879" s="62" t="s">
        <v>7518</v>
      </c>
    </row>
    <row r="2880" spans="1:24" s="13" customFormat="1" ht="76.5" customHeight="1" outlineLevel="1" x14ac:dyDescent="0.2">
      <c r="A2880" s="1" t="s">
        <v>7971</v>
      </c>
      <c r="B2880" s="2" t="s">
        <v>5277</v>
      </c>
      <c r="C2880" s="6" t="s">
        <v>74</v>
      </c>
      <c r="D2880" s="6" t="s">
        <v>73</v>
      </c>
      <c r="E2880" s="6" t="s">
        <v>72</v>
      </c>
      <c r="F2880" s="52" t="s">
        <v>71</v>
      </c>
      <c r="G2880" s="3" t="s">
        <v>3190</v>
      </c>
      <c r="H2880" s="5">
        <v>0</v>
      </c>
      <c r="I2880" s="6">
        <v>710000000</v>
      </c>
      <c r="J2880" s="4" t="s">
        <v>1931</v>
      </c>
      <c r="K2880" s="4" t="s">
        <v>756</v>
      </c>
      <c r="L2880" s="7" t="s">
        <v>1940</v>
      </c>
      <c r="M2880" s="8" t="s">
        <v>3195</v>
      </c>
      <c r="N2880" s="3" t="s">
        <v>1890</v>
      </c>
      <c r="O2880" s="8" t="s">
        <v>1935</v>
      </c>
      <c r="P2880" s="8">
        <v>796</v>
      </c>
      <c r="Q2880" s="8" t="s">
        <v>3196</v>
      </c>
      <c r="R2880" s="69">
        <v>1</v>
      </c>
      <c r="S2880" s="69">
        <v>12187</v>
      </c>
      <c r="T2880" s="10">
        <f t="shared" ref="T2880" si="1761">S2880*R2880</f>
        <v>12187</v>
      </c>
      <c r="U2880" s="10">
        <f t="shared" ref="U2880" si="1762">T2880*1.12</f>
        <v>13649.44</v>
      </c>
      <c r="V2880" s="7"/>
      <c r="W2880" s="1">
        <v>2015</v>
      </c>
      <c r="X2880" s="62"/>
    </row>
    <row r="2881" spans="1:24" s="13" customFormat="1" ht="76.5" customHeight="1" outlineLevel="1" x14ac:dyDescent="0.2">
      <c r="A2881" s="1" t="s">
        <v>2838</v>
      </c>
      <c r="B2881" s="38" t="s">
        <v>5277</v>
      </c>
      <c r="C2881" s="2" t="s">
        <v>3851</v>
      </c>
      <c r="D2881" s="2" t="s">
        <v>5947</v>
      </c>
      <c r="E2881" s="6" t="s">
        <v>5948</v>
      </c>
      <c r="F2881" s="52" t="s">
        <v>70</v>
      </c>
      <c r="G2881" s="50" t="s">
        <v>3190</v>
      </c>
      <c r="H2881" s="5">
        <v>0</v>
      </c>
      <c r="I2881" s="6">
        <v>710000000</v>
      </c>
      <c r="J2881" s="4" t="s">
        <v>1931</v>
      </c>
      <c r="K2881" s="4" t="s">
        <v>5297</v>
      </c>
      <c r="L2881" s="3" t="s">
        <v>1165</v>
      </c>
      <c r="M2881" s="8" t="s">
        <v>3195</v>
      </c>
      <c r="N2881" s="3" t="s">
        <v>1890</v>
      </c>
      <c r="O2881" s="8" t="s">
        <v>1935</v>
      </c>
      <c r="P2881" s="8">
        <v>796</v>
      </c>
      <c r="Q2881" s="8" t="s">
        <v>3196</v>
      </c>
      <c r="R2881" s="9">
        <v>4</v>
      </c>
      <c r="S2881" s="9">
        <v>12755.36</v>
      </c>
      <c r="T2881" s="10">
        <v>0</v>
      </c>
      <c r="U2881" s="10">
        <f t="shared" ref="U2881:U3040" si="1763">T2881*1.12</f>
        <v>0</v>
      </c>
      <c r="V2881" s="7"/>
      <c r="W2881" s="11">
        <v>2015</v>
      </c>
      <c r="X2881" s="12" t="s">
        <v>6562</v>
      </c>
    </row>
    <row r="2882" spans="1:24" s="13" customFormat="1" ht="76.5" customHeight="1" outlineLevel="1" x14ac:dyDescent="0.2">
      <c r="A2882" s="1" t="s">
        <v>6773</v>
      </c>
      <c r="B2882" s="2" t="s">
        <v>5277</v>
      </c>
      <c r="C2882" s="2" t="s">
        <v>3851</v>
      </c>
      <c r="D2882" s="2" t="s">
        <v>5947</v>
      </c>
      <c r="E2882" s="6" t="s">
        <v>5948</v>
      </c>
      <c r="F2882" s="52" t="s">
        <v>70</v>
      </c>
      <c r="G2882" s="3" t="s">
        <v>3190</v>
      </c>
      <c r="H2882" s="5">
        <v>0</v>
      </c>
      <c r="I2882" s="6">
        <v>710000000</v>
      </c>
      <c r="J2882" s="4" t="s">
        <v>1931</v>
      </c>
      <c r="K2882" s="4" t="s">
        <v>5297</v>
      </c>
      <c r="L2882" s="3" t="s">
        <v>1165</v>
      </c>
      <c r="M2882" s="8" t="s">
        <v>3195</v>
      </c>
      <c r="N2882" s="3" t="s">
        <v>1890</v>
      </c>
      <c r="O2882" s="8" t="s">
        <v>1935</v>
      </c>
      <c r="P2882" s="8">
        <v>796</v>
      </c>
      <c r="Q2882" s="8" t="s">
        <v>3196</v>
      </c>
      <c r="R2882" s="69">
        <v>2</v>
      </c>
      <c r="S2882" s="69">
        <v>12755.36</v>
      </c>
      <c r="T2882" s="10">
        <v>0</v>
      </c>
      <c r="U2882" s="10">
        <f t="shared" si="1763"/>
        <v>0</v>
      </c>
      <c r="V2882" s="7"/>
      <c r="W2882" s="1">
        <v>2015</v>
      </c>
      <c r="X2882" s="62" t="s">
        <v>7518</v>
      </c>
    </row>
    <row r="2883" spans="1:24" s="13" customFormat="1" ht="76.5" customHeight="1" outlineLevel="1" x14ac:dyDescent="0.2">
      <c r="A2883" s="1" t="s">
        <v>7972</v>
      </c>
      <c r="B2883" s="2" t="s">
        <v>5277</v>
      </c>
      <c r="C2883" s="2" t="s">
        <v>3851</v>
      </c>
      <c r="D2883" s="2" t="s">
        <v>5947</v>
      </c>
      <c r="E2883" s="6" t="s">
        <v>5948</v>
      </c>
      <c r="F2883" s="52" t="s">
        <v>70</v>
      </c>
      <c r="G2883" s="3" t="s">
        <v>3190</v>
      </c>
      <c r="H2883" s="5">
        <v>0</v>
      </c>
      <c r="I2883" s="6">
        <v>710000000</v>
      </c>
      <c r="J2883" s="4" t="s">
        <v>1931</v>
      </c>
      <c r="K2883" s="4" t="s">
        <v>756</v>
      </c>
      <c r="L2883" s="3" t="s">
        <v>1165</v>
      </c>
      <c r="M2883" s="8" t="s">
        <v>3195</v>
      </c>
      <c r="N2883" s="3" t="s">
        <v>1890</v>
      </c>
      <c r="O2883" s="8" t="s">
        <v>1935</v>
      </c>
      <c r="P2883" s="8">
        <v>796</v>
      </c>
      <c r="Q2883" s="8" t="s">
        <v>3196</v>
      </c>
      <c r="R2883" s="69">
        <v>0</v>
      </c>
      <c r="S2883" s="69">
        <v>12755.36</v>
      </c>
      <c r="T2883" s="10">
        <f t="shared" ref="T2883" si="1764">S2883*R2883</f>
        <v>0</v>
      </c>
      <c r="U2883" s="10">
        <f t="shared" ref="U2883" si="1765">T2883*1.12</f>
        <v>0</v>
      </c>
      <c r="V2883" s="7"/>
      <c r="W2883" s="1">
        <v>2015</v>
      </c>
      <c r="X2883" s="62"/>
    </row>
    <row r="2884" spans="1:24" s="13" customFormat="1" ht="76.5" customHeight="1" outlineLevel="1" x14ac:dyDescent="0.2">
      <c r="A2884" s="1" t="s">
        <v>2839</v>
      </c>
      <c r="B2884" s="38" t="s">
        <v>5277</v>
      </c>
      <c r="C2884" s="2" t="s">
        <v>3852</v>
      </c>
      <c r="D2884" s="2" t="s">
        <v>5945</v>
      </c>
      <c r="E2884" s="6" t="s">
        <v>5946</v>
      </c>
      <c r="F2884" s="39" t="s">
        <v>58</v>
      </c>
      <c r="G2884" s="50" t="s">
        <v>3190</v>
      </c>
      <c r="H2884" s="5">
        <v>0</v>
      </c>
      <c r="I2884" s="6">
        <v>710000000</v>
      </c>
      <c r="J2884" s="4" t="s">
        <v>1931</v>
      </c>
      <c r="K2884" s="4" t="s">
        <v>5297</v>
      </c>
      <c r="L2884" s="3" t="s">
        <v>1165</v>
      </c>
      <c r="M2884" s="8" t="s">
        <v>3195</v>
      </c>
      <c r="N2884" s="3" t="s">
        <v>1890</v>
      </c>
      <c r="O2884" s="8" t="s">
        <v>1935</v>
      </c>
      <c r="P2884" s="8">
        <v>796</v>
      </c>
      <c r="Q2884" s="8" t="s">
        <v>3196</v>
      </c>
      <c r="R2884" s="9">
        <f>3+1</f>
        <v>4</v>
      </c>
      <c r="S2884" s="9">
        <v>12755.36</v>
      </c>
      <c r="T2884" s="10">
        <v>0</v>
      </c>
      <c r="U2884" s="10">
        <f t="shared" si="1763"/>
        <v>0</v>
      </c>
      <c r="V2884" s="7"/>
      <c r="W2884" s="11">
        <v>2015</v>
      </c>
      <c r="X2884" s="12" t="s">
        <v>6562</v>
      </c>
    </row>
    <row r="2885" spans="1:24" s="13" customFormat="1" ht="76.5" customHeight="1" outlineLevel="1" x14ac:dyDescent="0.2">
      <c r="A2885" s="1" t="s">
        <v>6774</v>
      </c>
      <c r="B2885" s="2" t="s">
        <v>5277</v>
      </c>
      <c r="C2885" s="2" t="s">
        <v>3852</v>
      </c>
      <c r="D2885" s="2" t="s">
        <v>5945</v>
      </c>
      <c r="E2885" s="6" t="s">
        <v>5946</v>
      </c>
      <c r="F2885" s="2" t="s">
        <v>58</v>
      </c>
      <c r="G2885" s="3" t="s">
        <v>3190</v>
      </c>
      <c r="H2885" s="5">
        <v>0</v>
      </c>
      <c r="I2885" s="6">
        <v>710000000</v>
      </c>
      <c r="J2885" s="4" t="s">
        <v>1931</v>
      </c>
      <c r="K2885" s="4" t="s">
        <v>5297</v>
      </c>
      <c r="L2885" s="3" t="s">
        <v>1165</v>
      </c>
      <c r="M2885" s="8" t="s">
        <v>3195</v>
      </c>
      <c r="N2885" s="3" t="s">
        <v>1890</v>
      </c>
      <c r="O2885" s="8" t="s">
        <v>1935</v>
      </c>
      <c r="P2885" s="8">
        <v>796</v>
      </c>
      <c r="Q2885" s="8" t="s">
        <v>3196</v>
      </c>
      <c r="R2885" s="69">
        <f>2+1</f>
        <v>3</v>
      </c>
      <c r="S2885" s="69">
        <v>12755.36</v>
      </c>
      <c r="T2885" s="10">
        <v>0</v>
      </c>
      <c r="U2885" s="10">
        <f t="shared" si="1763"/>
        <v>0</v>
      </c>
      <c r="V2885" s="7"/>
      <c r="W2885" s="1">
        <v>2015</v>
      </c>
      <c r="X2885" s="62" t="s">
        <v>7518</v>
      </c>
    </row>
    <row r="2886" spans="1:24" s="13" customFormat="1" ht="76.5" customHeight="1" outlineLevel="1" x14ac:dyDescent="0.2">
      <c r="A2886" s="1" t="s">
        <v>7973</v>
      </c>
      <c r="B2886" s="2" t="s">
        <v>5277</v>
      </c>
      <c r="C2886" s="2" t="s">
        <v>3852</v>
      </c>
      <c r="D2886" s="2" t="s">
        <v>5945</v>
      </c>
      <c r="E2886" s="6" t="s">
        <v>5946</v>
      </c>
      <c r="F2886" s="2" t="s">
        <v>58</v>
      </c>
      <c r="G2886" s="3" t="s">
        <v>3190</v>
      </c>
      <c r="H2886" s="5">
        <v>0</v>
      </c>
      <c r="I2886" s="6">
        <v>710000000</v>
      </c>
      <c r="J2886" s="4" t="s">
        <v>1931</v>
      </c>
      <c r="K2886" s="4" t="s">
        <v>756</v>
      </c>
      <c r="L2886" s="3" t="s">
        <v>1165</v>
      </c>
      <c r="M2886" s="8" t="s">
        <v>3195</v>
      </c>
      <c r="N2886" s="3" t="s">
        <v>1890</v>
      </c>
      <c r="O2886" s="8" t="s">
        <v>1935</v>
      </c>
      <c r="P2886" s="8">
        <v>796</v>
      </c>
      <c r="Q2886" s="8" t="s">
        <v>3196</v>
      </c>
      <c r="R2886" s="69">
        <v>0</v>
      </c>
      <c r="S2886" s="69">
        <v>12755.36</v>
      </c>
      <c r="T2886" s="10">
        <f t="shared" ref="T2886" si="1766">S2886*R2886</f>
        <v>0</v>
      </c>
      <c r="U2886" s="10">
        <f t="shared" ref="U2886" si="1767">T2886*1.12</f>
        <v>0</v>
      </c>
      <c r="V2886" s="7"/>
      <c r="W2886" s="1">
        <v>2015</v>
      </c>
      <c r="X2886" s="62"/>
    </row>
    <row r="2887" spans="1:24" s="13" customFormat="1" ht="76.5" customHeight="1" outlineLevel="1" x14ac:dyDescent="0.2">
      <c r="A2887" s="1" t="s">
        <v>2840</v>
      </c>
      <c r="B2887" s="38" t="s">
        <v>5277</v>
      </c>
      <c r="C2887" s="2" t="s">
        <v>69</v>
      </c>
      <c r="D2887" s="2" t="s">
        <v>5949</v>
      </c>
      <c r="E2887" s="2" t="s">
        <v>68</v>
      </c>
      <c r="F2887" s="2"/>
      <c r="G2887" s="50" t="s">
        <v>3190</v>
      </c>
      <c r="H2887" s="5">
        <v>0</v>
      </c>
      <c r="I2887" s="6">
        <v>710000000</v>
      </c>
      <c r="J2887" s="4" t="s">
        <v>1931</v>
      </c>
      <c r="K2887" s="4" t="s">
        <v>5297</v>
      </c>
      <c r="L2887" s="3" t="s">
        <v>1165</v>
      </c>
      <c r="M2887" s="8" t="s">
        <v>3195</v>
      </c>
      <c r="N2887" s="3" t="s">
        <v>1890</v>
      </c>
      <c r="O2887" s="8" t="s">
        <v>1935</v>
      </c>
      <c r="P2887" s="62">
        <v>5108</v>
      </c>
      <c r="Q2887" s="3" t="s">
        <v>6034</v>
      </c>
      <c r="R2887" s="9">
        <f>36+128</f>
        <v>164</v>
      </c>
      <c r="S2887" s="9">
        <v>234.82</v>
      </c>
      <c r="T2887" s="10">
        <v>0</v>
      </c>
      <c r="U2887" s="10">
        <f t="shared" si="1763"/>
        <v>0</v>
      </c>
      <c r="V2887" s="7"/>
      <c r="W2887" s="11">
        <v>2015</v>
      </c>
      <c r="X2887" s="12" t="s">
        <v>6562</v>
      </c>
    </row>
    <row r="2888" spans="1:24" s="13" customFormat="1" ht="76.5" customHeight="1" outlineLevel="1" x14ac:dyDescent="0.2">
      <c r="A2888" s="1" t="s">
        <v>6775</v>
      </c>
      <c r="B2888" s="2" t="s">
        <v>5277</v>
      </c>
      <c r="C2888" s="2" t="s">
        <v>69</v>
      </c>
      <c r="D2888" s="2" t="s">
        <v>5949</v>
      </c>
      <c r="E2888" s="2" t="s">
        <v>68</v>
      </c>
      <c r="F2888" s="2"/>
      <c r="G2888" s="3" t="s">
        <v>3190</v>
      </c>
      <c r="H2888" s="5">
        <v>0</v>
      </c>
      <c r="I2888" s="6">
        <v>710000000</v>
      </c>
      <c r="J2888" s="4" t="s">
        <v>1931</v>
      </c>
      <c r="K2888" s="4" t="s">
        <v>5297</v>
      </c>
      <c r="L2888" s="3" t="s">
        <v>1165</v>
      </c>
      <c r="M2888" s="8" t="s">
        <v>3195</v>
      </c>
      <c r="N2888" s="3" t="s">
        <v>1890</v>
      </c>
      <c r="O2888" s="8" t="s">
        <v>1935</v>
      </c>
      <c r="P2888" s="62">
        <v>5108</v>
      </c>
      <c r="Q2888" s="3" t="s">
        <v>6034</v>
      </c>
      <c r="R2888" s="69">
        <f>116+24</f>
        <v>140</v>
      </c>
      <c r="S2888" s="69">
        <v>234.82</v>
      </c>
      <c r="T2888" s="10">
        <v>0</v>
      </c>
      <c r="U2888" s="10">
        <f t="shared" si="1763"/>
        <v>0</v>
      </c>
      <c r="V2888" s="7"/>
      <c r="W2888" s="1">
        <v>2015</v>
      </c>
      <c r="X2888" s="62" t="s">
        <v>7518</v>
      </c>
    </row>
    <row r="2889" spans="1:24" s="13" customFormat="1" ht="76.5" customHeight="1" outlineLevel="1" x14ac:dyDescent="0.2">
      <c r="A2889" s="1" t="s">
        <v>7974</v>
      </c>
      <c r="B2889" s="2" t="s">
        <v>5277</v>
      </c>
      <c r="C2889" s="2" t="s">
        <v>69</v>
      </c>
      <c r="D2889" s="2" t="s">
        <v>5949</v>
      </c>
      <c r="E2889" s="2" t="s">
        <v>68</v>
      </c>
      <c r="F2889" s="2"/>
      <c r="G2889" s="3" t="s">
        <v>3190</v>
      </c>
      <c r="H2889" s="5">
        <v>0</v>
      </c>
      <c r="I2889" s="6">
        <v>710000000</v>
      </c>
      <c r="J2889" s="4" t="s">
        <v>1931</v>
      </c>
      <c r="K2889" s="4" t="s">
        <v>756</v>
      </c>
      <c r="L2889" s="3" t="s">
        <v>1165</v>
      </c>
      <c r="M2889" s="8" t="s">
        <v>3195</v>
      </c>
      <c r="N2889" s="3" t="s">
        <v>1890</v>
      </c>
      <c r="O2889" s="8" t="s">
        <v>1935</v>
      </c>
      <c r="P2889" s="62">
        <v>5108</v>
      </c>
      <c r="Q2889" s="3" t="s">
        <v>6034</v>
      </c>
      <c r="R2889" s="69">
        <f>10+20</f>
        <v>30</v>
      </c>
      <c r="S2889" s="69">
        <v>234.82</v>
      </c>
      <c r="T2889" s="10">
        <f t="shared" ref="T2889" si="1768">S2889*R2889</f>
        <v>7044.5999999999995</v>
      </c>
      <c r="U2889" s="10">
        <f t="shared" ref="U2889" si="1769">T2889*1.12</f>
        <v>7889.9520000000002</v>
      </c>
      <c r="V2889" s="7"/>
      <c r="W2889" s="1">
        <v>2015</v>
      </c>
      <c r="X2889" s="62"/>
    </row>
    <row r="2890" spans="1:24" s="13" customFormat="1" ht="76.5" customHeight="1" outlineLevel="1" x14ac:dyDescent="0.2">
      <c r="A2890" s="1" t="s">
        <v>2841</v>
      </c>
      <c r="B2890" s="38" t="s">
        <v>5277</v>
      </c>
      <c r="C2890" s="2" t="s">
        <v>67</v>
      </c>
      <c r="D2890" s="2" t="s">
        <v>5510</v>
      </c>
      <c r="E2890" s="2" t="s">
        <v>7620</v>
      </c>
      <c r="F2890" s="75"/>
      <c r="G2890" s="50" t="s">
        <v>3190</v>
      </c>
      <c r="H2890" s="5">
        <v>0</v>
      </c>
      <c r="I2890" s="6">
        <v>710000000</v>
      </c>
      <c r="J2890" s="4" t="s">
        <v>1931</v>
      </c>
      <c r="K2890" s="4" t="s">
        <v>5297</v>
      </c>
      <c r="L2890" s="3" t="s">
        <v>1165</v>
      </c>
      <c r="M2890" s="8" t="s">
        <v>3195</v>
      </c>
      <c r="N2890" s="3" t="s">
        <v>1890</v>
      </c>
      <c r="O2890" s="8" t="s">
        <v>1935</v>
      </c>
      <c r="P2890" s="62">
        <v>5108</v>
      </c>
      <c r="Q2890" s="3" t="s">
        <v>6034</v>
      </c>
      <c r="R2890" s="9">
        <f>60+40</f>
        <v>100</v>
      </c>
      <c r="S2890" s="9">
        <v>141.07</v>
      </c>
      <c r="T2890" s="10">
        <v>0</v>
      </c>
      <c r="U2890" s="10">
        <f t="shared" si="1763"/>
        <v>0</v>
      </c>
      <c r="V2890" s="7"/>
      <c r="W2890" s="11">
        <v>2015</v>
      </c>
      <c r="X2890" s="12" t="s">
        <v>6562</v>
      </c>
    </row>
    <row r="2891" spans="1:24" s="13" customFormat="1" ht="76.5" customHeight="1" outlineLevel="1" x14ac:dyDescent="0.2">
      <c r="A2891" s="1" t="s">
        <v>6776</v>
      </c>
      <c r="B2891" s="2" t="s">
        <v>5277</v>
      </c>
      <c r="C2891" s="2" t="s">
        <v>67</v>
      </c>
      <c r="D2891" s="2" t="s">
        <v>5510</v>
      </c>
      <c r="E2891" s="2" t="s">
        <v>7620</v>
      </c>
      <c r="F2891" s="75"/>
      <c r="G2891" s="3" t="s">
        <v>3190</v>
      </c>
      <c r="H2891" s="5">
        <v>0</v>
      </c>
      <c r="I2891" s="6">
        <v>710000000</v>
      </c>
      <c r="J2891" s="4" t="s">
        <v>1931</v>
      </c>
      <c r="K2891" s="4" t="s">
        <v>5297</v>
      </c>
      <c r="L2891" s="3" t="s">
        <v>1165</v>
      </c>
      <c r="M2891" s="8" t="s">
        <v>3195</v>
      </c>
      <c r="N2891" s="3" t="s">
        <v>1890</v>
      </c>
      <c r="O2891" s="8" t="s">
        <v>1935</v>
      </c>
      <c r="P2891" s="62">
        <v>5108</v>
      </c>
      <c r="Q2891" s="3" t="s">
        <v>6034</v>
      </c>
      <c r="R2891" s="69">
        <f>80+40</f>
        <v>120</v>
      </c>
      <c r="S2891" s="69">
        <v>141.07</v>
      </c>
      <c r="T2891" s="10">
        <v>0</v>
      </c>
      <c r="U2891" s="10">
        <f t="shared" si="1763"/>
        <v>0</v>
      </c>
      <c r="V2891" s="7"/>
      <c r="W2891" s="1">
        <v>2015</v>
      </c>
      <c r="X2891" s="62" t="s">
        <v>7518</v>
      </c>
    </row>
    <row r="2892" spans="1:24" s="13" customFormat="1" ht="76.5" customHeight="1" outlineLevel="1" x14ac:dyDescent="0.2">
      <c r="A2892" s="1" t="s">
        <v>7975</v>
      </c>
      <c r="B2892" s="2" t="s">
        <v>5277</v>
      </c>
      <c r="C2892" s="2" t="s">
        <v>67</v>
      </c>
      <c r="D2892" s="2" t="s">
        <v>5510</v>
      </c>
      <c r="E2892" s="2" t="s">
        <v>7620</v>
      </c>
      <c r="F2892" s="75"/>
      <c r="G2892" s="3" t="s">
        <v>3190</v>
      </c>
      <c r="H2892" s="5">
        <v>0</v>
      </c>
      <c r="I2892" s="6">
        <v>710000000</v>
      </c>
      <c r="J2892" s="4" t="s">
        <v>1931</v>
      </c>
      <c r="K2892" s="4" t="s">
        <v>756</v>
      </c>
      <c r="L2892" s="3" t="s">
        <v>1165</v>
      </c>
      <c r="M2892" s="8" t="s">
        <v>3195</v>
      </c>
      <c r="N2892" s="3" t="s">
        <v>1890</v>
      </c>
      <c r="O2892" s="8" t="s">
        <v>1935</v>
      </c>
      <c r="P2892" s="62">
        <v>5108</v>
      </c>
      <c r="Q2892" s="3" t="s">
        <v>6034</v>
      </c>
      <c r="R2892" s="69">
        <f>70+30</f>
        <v>100</v>
      </c>
      <c r="S2892" s="69">
        <v>141.07</v>
      </c>
      <c r="T2892" s="10">
        <f t="shared" ref="T2892" si="1770">S2892*R2892</f>
        <v>14107</v>
      </c>
      <c r="U2892" s="10">
        <f t="shared" ref="U2892" si="1771">T2892*1.12</f>
        <v>15799.840000000002</v>
      </c>
      <c r="V2892" s="7"/>
      <c r="W2892" s="1">
        <v>2015</v>
      </c>
      <c r="X2892" s="62"/>
    </row>
    <row r="2893" spans="1:24" s="13" customFormat="1" ht="76.5" customHeight="1" outlineLevel="1" x14ac:dyDescent="0.2">
      <c r="A2893" s="1" t="s">
        <v>2842</v>
      </c>
      <c r="B2893" s="38" t="s">
        <v>5277</v>
      </c>
      <c r="C2893" s="2" t="s">
        <v>3437</v>
      </c>
      <c r="D2893" s="2" t="s">
        <v>6032</v>
      </c>
      <c r="E2893" s="6" t="s">
        <v>6033</v>
      </c>
      <c r="F2893" s="75"/>
      <c r="G2893" s="50" t="s">
        <v>3190</v>
      </c>
      <c r="H2893" s="5">
        <v>0</v>
      </c>
      <c r="I2893" s="6">
        <v>710000000</v>
      </c>
      <c r="J2893" s="4" t="s">
        <v>1931</v>
      </c>
      <c r="K2893" s="4" t="s">
        <v>5297</v>
      </c>
      <c r="L2893" s="3" t="s">
        <v>1165</v>
      </c>
      <c r="M2893" s="8" t="s">
        <v>3195</v>
      </c>
      <c r="N2893" s="3" t="s">
        <v>1890</v>
      </c>
      <c r="O2893" s="8" t="s">
        <v>1935</v>
      </c>
      <c r="P2893" s="62">
        <v>5108</v>
      </c>
      <c r="Q2893" s="3" t="s">
        <v>6034</v>
      </c>
      <c r="R2893" s="9">
        <f>4+2</f>
        <v>6</v>
      </c>
      <c r="S2893" s="9">
        <v>8785</v>
      </c>
      <c r="T2893" s="10">
        <v>0</v>
      </c>
      <c r="U2893" s="10">
        <f t="shared" si="1763"/>
        <v>0</v>
      </c>
      <c r="V2893" s="7"/>
      <c r="W2893" s="11">
        <v>2015</v>
      </c>
      <c r="X2893" s="12" t="s">
        <v>6562</v>
      </c>
    </row>
    <row r="2894" spans="1:24" s="13" customFormat="1" ht="76.5" customHeight="1" outlineLevel="1" x14ac:dyDescent="0.2">
      <c r="A2894" s="1" t="s">
        <v>6777</v>
      </c>
      <c r="B2894" s="2" t="s">
        <v>5277</v>
      </c>
      <c r="C2894" s="2" t="s">
        <v>3437</v>
      </c>
      <c r="D2894" s="2" t="s">
        <v>6032</v>
      </c>
      <c r="E2894" s="6" t="s">
        <v>6033</v>
      </c>
      <c r="F2894" s="75"/>
      <c r="G2894" s="3" t="s">
        <v>3190</v>
      </c>
      <c r="H2894" s="5">
        <v>0</v>
      </c>
      <c r="I2894" s="6">
        <v>710000000</v>
      </c>
      <c r="J2894" s="4" t="s">
        <v>1931</v>
      </c>
      <c r="K2894" s="4" t="s">
        <v>5297</v>
      </c>
      <c r="L2894" s="3" t="s">
        <v>1165</v>
      </c>
      <c r="M2894" s="8" t="s">
        <v>3195</v>
      </c>
      <c r="N2894" s="3" t="s">
        <v>1890</v>
      </c>
      <c r="O2894" s="8" t="s">
        <v>1935</v>
      </c>
      <c r="P2894" s="62">
        <v>5108</v>
      </c>
      <c r="Q2894" s="3" t="s">
        <v>6034</v>
      </c>
      <c r="R2894" s="69">
        <f>4+1</f>
        <v>5</v>
      </c>
      <c r="S2894" s="69">
        <v>8785</v>
      </c>
      <c r="T2894" s="10">
        <v>0</v>
      </c>
      <c r="U2894" s="10">
        <f t="shared" si="1763"/>
        <v>0</v>
      </c>
      <c r="V2894" s="7"/>
      <c r="W2894" s="1">
        <v>2015</v>
      </c>
      <c r="X2894" s="62" t="s">
        <v>7518</v>
      </c>
    </row>
    <row r="2895" spans="1:24" s="13" customFormat="1" ht="76.5" customHeight="1" outlineLevel="1" x14ac:dyDescent="0.2">
      <c r="A2895" s="1" t="s">
        <v>7976</v>
      </c>
      <c r="B2895" s="2" t="s">
        <v>5277</v>
      </c>
      <c r="C2895" s="2" t="s">
        <v>3437</v>
      </c>
      <c r="D2895" s="2" t="s">
        <v>6032</v>
      </c>
      <c r="E2895" s="6" t="s">
        <v>6033</v>
      </c>
      <c r="F2895" s="75"/>
      <c r="G2895" s="3" t="s">
        <v>3190</v>
      </c>
      <c r="H2895" s="5">
        <v>0</v>
      </c>
      <c r="I2895" s="6">
        <v>710000000</v>
      </c>
      <c r="J2895" s="4" t="s">
        <v>1931</v>
      </c>
      <c r="K2895" s="4" t="s">
        <v>756</v>
      </c>
      <c r="L2895" s="3" t="s">
        <v>1165</v>
      </c>
      <c r="M2895" s="8" t="s">
        <v>3195</v>
      </c>
      <c r="N2895" s="3" t="s">
        <v>1890</v>
      </c>
      <c r="O2895" s="8" t="s">
        <v>1935</v>
      </c>
      <c r="P2895" s="62">
        <v>5108</v>
      </c>
      <c r="Q2895" s="3" t="s">
        <v>6034</v>
      </c>
      <c r="R2895" s="69">
        <v>4</v>
      </c>
      <c r="S2895" s="69">
        <v>8785</v>
      </c>
      <c r="T2895" s="10">
        <f t="shared" ref="T2895" si="1772">S2895*R2895</f>
        <v>35140</v>
      </c>
      <c r="U2895" s="10">
        <f t="shared" ref="U2895" si="1773">T2895*1.12</f>
        <v>39356.800000000003</v>
      </c>
      <c r="V2895" s="7"/>
      <c r="W2895" s="1">
        <v>2015</v>
      </c>
      <c r="X2895" s="62"/>
    </row>
    <row r="2896" spans="1:24" s="13" customFormat="1" ht="76.5" customHeight="1" outlineLevel="1" x14ac:dyDescent="0.2">
      <c r="A2896" s="1" t="s">
        <v>2843</v>
      </c>
      <c r="B2896" s="2" t="s">
        <v>5277</v>
      </c>
      <c r="C2896" s="2" t="s">
        <v>1277</v>
      </c>
      <c r="D2896" s="2" t="s">
        <v>1276</v>
      </c>
      <c r="E2896" s="2" t="s">
        <v>1275</v>
      </c>
      <c r="F2896" s="2" t="s">
        <v>66</v>
      </c>
      <c r="G2896" s="3" t="s">
        <v>3190</v>
      </c>
      <c r="H2896" s="5">
        <v>0</v>
      </c>
      <c r="I2896" s="6">
        <v>710000000</v>
      </c>
      <c r="J2896" s="4" t="s">
        <v>1931</v>
      </c>
      <c r="K2896" s="4" t="s">
        <v>5297</v>
      </c>
      <c r="L2896" s="3" t="s">
        <v>1165</v>
      </c>
      <c r="M2896" s="8" t="s">
        <v>3195</v>
      </c>
      <c r="N2896" s="3" t="s">
        <v>1890</v>
      </c>
      <c r="O2896" s="8" t="s">
        <v>1935</v>
      </c>
      <c r="P2896" s="8">
        <v>796</v>
      </c>
      <c r="Q2896" s="8" t="s">
        <v>3196</v>
      </c>
      <c r="R2896" s="69">
        <f>32+13</f>
        <v>45</v>
      </c>
      <c r="S2896" s="69">
        <v>328</v>
      </c>
      <c r="T2896" s="10">
        <v>0</v>
      </c>
      <c r="U2896" s="10">
        <f t="shared" si="1763"/>
        <v>0</v>
      </c>
      <c r="V2896" s="7"/>
      <c r="W2896" s="1">
        <v>2015</v>
      </c>
      <c r="X2896" s="62" t="s">
        <v>7518</v>
      </c>
    </row>
    <row r="2897" spans="1:24" s="13" customFormat="1" ht="76.5" customHeight="1" outlineLevel="1" x14ac:dyDescent="0.2">
      <c r="A2897" s="1" t="s">
        <v>7978</v>
      </c>
      <c r="B2897" s="2" t="s">
        <v>5277</v>
      </c>
      <c r="C2897" s="2" t="s">
        <v>1277</v>
      </c>
      <c r="D2897" s="2" t="s">
        <v>1276</v>
      </c>
      <c r="E2897" s="2" t="s">
        <v>1275</v>
      </c>
      <c r="F2897" s="2" t="s">
        <v>66</v>
      </c>
      <c r="G2897" s="3" t="s">
        <v>3190</v>
      </c>
      <c r="H2897" s="5">
        <v>0</v>
      </c>
      <c r="I2897" s="6">
        <v>710000000</v>
      </c>
      <c r="J2897" s="4" t="s">
        <v>1931</v>
      </c>
      <c r="K2897" s="4" t="s">
        <v>756</v>
      </c>
      <c r="L2897" s="3" t="s">
        <v>1165</v>
      </c>
      <c r="M2897" s="8" t="s">
        <v>3195</v>
      </c>
      <c r="N2897" s="3" t="s">
        <v>1890</v>
      </c>
      <c r="O2897" s="8" t="s">
        <v>1935</v>
      </c>
      <c r="P2897" s="8">
        <v>796</v>
      </c>
      <c r="Q2897" s="8" t="s">
        <v>3196</v>
      </c>
      <c r="R2897" s="69">
        <f>30+10</f>
        <v>40</v>
      </c>
      <c r="S2897" s="69">
        <v>328</v>
      </c>
      <c r="T2897" s="10">
        <f t="shared" ref="T2897" si="1774">S2897*R2897</f>
        <v>13120</v>
      </c>
      <c r="U2897" s="10">
        <f t="shared" ref="U2897" si="1775">T2897*1.12</f>
        <v>14694.400000000001</v>
      </c>
      <c r="V2897" s="7"/>
      <c r="W2897" s="1">
        <v>2015</v>
      </c>
      <c r="X2897" s="62"/>
    </row>
    <row r="2898" spans="1:24" s="13" customFormat="1" ht="76.5" customHeight="1" outlineLevel="1" x14ac:dyDescent="0.2">
      <c r="A2898" s="1" t="s">
        <v>2844</v>
      </c>
      <c r="B2898" s="38" t="s">
        <v>5277</v>
      </c>
      <c r="C2898" s="2" t="s">
        <v>65</v>
      </c>
      <c r="D2898" s="2" t="s">
        <v>64</v>
      </c>
      <c r="E2898" s="2" t="s">
        <v>63</v>
      </c>
      <c r="F2898" s="39" t="s">
        <v>3156</v>
      </c>
      <c r="G2898" s="50" t="s">
        <v>3190</v>
      </c>
      <c r="H2898" s="5">
        <v>0</v>
      </c>
      <c r="I2898" s="6">
        <v>710000000</v>
      </c>
      <c r="J2898" s="4" t="s">
        <v>1931</v>
      </c>
      <c r="K2898" s="4" t="s">
        <v>5297</v>
      </c>
      <c r="L2898" s="3" t="s">
        <v>1165</v>
      </c>
      <c r="M2898" s="8" t="s">
        <v>3195</v>
      </c>
      <c r="N2898" s="3" t="s">
        <v>1890</v>
      </c>
      <c r="O2898" s="8" t="s">
        <v>1935</v>
      </c>
      <c r="P2898" s="8">
        <v>796</v>
      </c>
      <c r="Q2898" s="8" t="s">
        <v>3196</v>
      </c>
      <c r="R2898" s="9">
        <f>40+40</f>
        <v>80</v>
      </c>
      <c r="S2898" s="9">
        <v>328</v>
      </c>
      <c r="T2898" s="10">
        <v>0</v>
      </c>
      <c r="U2898" s="10">
        <f t="shared" si="1763"/>
        <v>0</v>
      </c>
      <c r="V2898" s="7"/>
      <c r="W2898" s="11">
        <v>2015</v>
      </c>
      <c r="X2898" s="12" t="s">
        <v>6562</v>
      </c>
    </row>
    <row r="2899" spans="1:24" s="13" customFormat="1" ht="76.5" customHeight="1" outlineLevel="1" x14ac:dyDescent="0.2">
      <c r="A2899" s="1" t="s">
        <v>6780</v>
      </c>
      <c r="B2899" s="2" t="s">
        <v>5277</v>
      </c>
      <c r="C2899" s="2" t="s">
        <v>65</v>
      </c>
      <c r="D2899" s="2" t="s">
        <v>64</v>
      </c>
      <c r="E2899" s="2" t="s">
        <v>63</v>
      </c>
      <c r="F2899" s="2" t="s">
        <v>3156</v>
      </c>
      <c r="G2899" s="3" t="s">
        <v>3190</v>
      </c>
      <c r="H2899" s="5">
        <v>0</v>
      </c>
      <c r="I2899" s="6">
        <v>710000000</v>
      </c>
      <c r="J2899" s="4" t="s">
        <v>1931</v>
      </c>
      <c r="K2899" s="4" t="s">
        <v>5297</v>
      </c>
      <c r="L2899" s="3" t="s">
        <v>1165</v>
      </c>
      <c r="M2899" s="8" t="s">
        <v>3195</v>
      </c>
      <c r="N2899" s="3" t="s">
        <v>1890</v>
      </c>
      <c r="O2899" s="8" t="s">
        <v>1935</v>
      </c>
      <c r="P2899" s="8">
        <v>796</v>
      </c>
      <c r="Q2899" s="8" t="s">
        <v>3196</v>
      </c>
      <c r="R2899" s="69">
        <f>30+35</f>
        <v>65</v>
      </c>
      <c r="S2899" s="69">
        <v>328</v>
      </c>
      <c r="T2899" s="10">
        <v>0</v>
      </c>
      <c r="U2899" s="10">
        <f t="shared" si="1763"/>
        <v>0</v>
      </c>
      <c r="V2899" s="7"/>
      <c r="W2899" s="1">
        <v>2015</v>
      </c>
      <c r="X2899" s="62" t="s">
        <v>7518</v>
      </c>
    </row>
    <row r="2900" spans="1:24" s="13" customFormat="1" ht="76.5" customHeight="1" outlineLevel="1" x14ac:dyDescent="0.2">
      <c r="A2900" s="1" t="s">
        <v>7977</v>
      </c>
      <c r="B2900" s="2" t="s">
        <v>5277</v>
      </c>
      <c r="C2900" s="2" t="s">
        <v>65</v>
      </c>
      <c r="D2900" s="2" t="s">
        <v>64</v>
      </c>
      <c r="E2900" s="2" t="s">
        <v>63</v>
      </c>
      <c r="F2900" s="2" t="s">
        <v>3156</v>
      </c>
      <c r="G2900" s="3" t="s">
        <v>3190</v>
      </c>
      <c r="H2900" s="5">
        <v>0</v>
      </c>
      <c r="I2900" s="6">
        <v>710000000</v>
      </c>
      <c r="J2900" s="4" t="s">
        <v>1931</v>
      </c>
      <c r="K2900" s="4" t="s">
        <v>756</v>
      </c>
      <c r="L2900" s="3" t="s">
        <v>1165</v>
      </c>
      <c r="M2900" s="8" t="s">
        <v>3195</v>
      </c>
      <c r="N2900" s="3" t="s">
        <v>1890</v>
      </c>
      <c r="O2900" s="8" t="s">
        <v>1935</v>
      </c>
      <c r="P2900" s="8">
        <v>796</v>
      </c>
      <c r="Q2900" s="8" t="s">
        <v>3196</v>
      </c>
      <c r="R2900" s="69">
        <f>20+20</f>
        <v>40</v>
      </c>
      <c r="S2900" s="69">
        <v>328</v>
      </c>
      <c r="T2900" s="10">
        <f t="shared" ref="T2900" si="1776">S2900*R2900</f>
        <v>13120</v>
      </c>
      <c r="U2900" s="10">
        <f t="shared" ref="U2900" si="1777">T2900*1.12</f>
        <v>14694.400000000001</v>
      </c>
      <c r="V2900" s="7"/>
      <c r="W2900" s="1">
        <v>2015</v>
      </c>
      <c r="X2900" s="62"/>
    </row>
    <row r="2901" spans="1:24" s="13" customFormat="1" ht="76.5" customHeight="1" outlineLevel="1" x14ac:dyDescent="0.2">
      <c r="A2901" s="1" t="s">
        <v>2845</v>
      </c>
      <c r="B2901" s="38" t="s">
        <v>5277</v>
      </c>
      <c r="C2901" s="2" t="s">
        <v>62</v>
      </c>
      <c r="D2901" s="2" t="s">
        <v>6020</v>
      </c>
      <c r="E2901" s="2" t="s">
        <v>61</v>
      </c>
      <c r="F2901" s="39"/>
      <c r="G2901" s="50" t="s">
        <v>3190</v>
      </c>
      <c r="H2901" s="5">
        <v>0</v>
      </c>
      <c r="I2901" s="6">
        <v>710000000</v>
      </c>
      <c r="J2901" s="4" t="s">
        <v>1931</v>
      </c>
      <c r="K2901" s="4" t="s">
        <v>5297</v>
      </c>
      <c r="L2901" s="3" t="s">
        <v>1165</v>
      </c>
      <c r="M2901" s="8" t="s">
        <v>3195</v>
      </c>
      <c r="N2901" s="3" t="s">
        <v>1890</v>
      </c>
      <c r="O2901" s="8" t="s">
        <v>1935</v>
      </c>
      <c r="P2901" s="8">
        <v>796</v>
      </c>
      <c r="Q2901" s="8" t="s">
        <v>3196</v>
      </c>
      <c r="R2901" s="9">
        <v>87</v>
      </c>
      <c r="S2901" s="9">
        <v>69.64</v>
      </c>
      <c r="T2901" s="10">
        <v>0</v>
      </c>
      <c r="U2901" s="10">
        <f t="shared" si="1763"/>
        <v>0</v>
      </c>
      <c r="V2901" s="7"/>
      <c r="W2901" s="11">
        <v>2015</v>
      </c>
      <c r="X2901" s="12" t="s">
        <v>6562</v>
      </c>
    </row>
    <row r="2902" spans="1:24" s="13" customFormat="1" ht="76.5" customHeight="1" outlineLevel="1" x14ac:dyDescent="0.2">
      <c r="A2902" s="1" t="s">
        <v>6778</v>
      </c>
      <c r="B2902" s="2" t="s">
        <v>5277</v>
      </c>
      <c r="C2902" s="2" t="s">
        <v>62</v>
      </c>
      <c r="D2902" s="2" t="s">
        <v>6020</v>
      </c>
      <c r="E2902" s="2" t="s">
        <v>61</v>
      </c>
      <c r="F2902" s="2"/>
      <c r="G2902" s="3" t="s">
        <v>3190</v>
      </c>
      <c r="H2902" s="5">
        <v>0</v>
      </c>
      <c r="I2902" s="6">
        <v>710000000</v>
      </c>
      <c r="J2902" s="4" t="s">
        <v>1931</v>
      </c>
      <c r="K2902" s="4" t="s">
        <v>5297</v>
      </c>
      <c r="L2902" s="3" t="s">
        <v>1165</v>
      </c>
      <c r="M2902" s="8" t="s">
        <v>3195</v>
      </c>
      <c r="N2902" s="3" t="s">
        <v>1890</v>
      </c>
      <c r="O2902" s="8" t="s">
        <v>1935</v>
      </c>
      <c r="P2902" s="8">
        <v>796</v>
      </c>
      <c r="Q2902" s="8" t="s">
        <v>3196</v>
      </c>
      <c r="R2902" s="69">
        <v>72</v>
      </c>
      <c r="S2902" s="69">
        <v>69.64</v>
      </c>
      <c r="T2902" s="10">
        <v>0</v>
      </c>
      <c r="U2902" s="10">
        <f t="shared" si="1763"/>
        <v>0</v>
      </c>
      <c r="V2902" s="7"/>
      <c r="W2902" s="1">
        <v>2015</v>
      </c>
      <c r="X2902" s="62" t="s">
        <v>7518</v>
      </c>
    </row>
    <row r="2903" spans="1:24" s="13" customFormat="1" ht="76.5" customHeight="1" outlineLevel="1" x14ac:dyDescent="0.2">
      <c r="A2903" s="1" t="s">
        <v>7979</v>
      </c>
      <c r="B2903" s="2" t="s">
        <v>5277</v>
      </c>
      <c r="C2903" s="2" t="s">
        <v>62</v>
      </c>
      <c r="D2903" s="2" t="s">
        <v>6020</v>
      </c>
      <c r="E2903" s="2" t="s">
        <v>61</v>
      </c>
      <c r="F2903" s="2"/>
      <c r="G2903" s="3" t="s">
        <v>3190</v>
      </c>
      <c r="H2903" s="5">
        <v>0</v>
      </c>
      <c r="I2903" s="6">
        <v>710000000</v>
      </c>
      <c r="J2903" s="4" t="s">
        <v>1931</v>
      </c>
      <c r="K2903" s="4" t="s">
        <v>756</v>
      </c>
      <c r="L2903" s="3" t="s">
        <v>1165</v>
      </c>
      <c r="M2903" s="8" t="s">
        <v>3195</v>
      </c>
      <c r="N2903" s="3" t="s">
        <v>1890</v>
      </c>
      <c r="O2903" s="8" t="s">
        <v>1935</v>
      </c>
      <c r="P2903" s="8">
        <v>796</v>
      </c>
      <c r="Q2903" s="8" t="s">
        <v>3196</v>
      </c>
      <c r="R2903" s="69">
        <v>50</v>
      </c>
      <c r="S2903" s="69">
        <v>69.64</v>
      </c>
      <c r="T2903" s="10">
        <f t="shared" ref="T2903" si="1778">S2903*R2903</f>
        <v>3482</v>
      </c>
      <c r="U2903" s="10">
        <f t="shared" ref="U2903" si="1779">T2903*1.12</f>
        <v>3899.84</v>
      </c>
      <c r="V2903" s="7"/>
      <c r="W2903" s="1">
        <v>2015</v>
      </c>
      <c r="X2903" s="62"/>
    </row>
    <row r="2904" spans="1:24" s="13" customFormat="1" ht="76.5" customHeight="1" outlineLevel="1" x14ac:dyDescent="0.2">
      <c r="A2904" s="1" t="s">
        <v>2846</v>
      </c>
      <c r="B2904" s="38" t="s">
        <v>5277</v>
      </c>
      <c r="C2904" s="2" t="s">
        <v>60</v>
      </c>
      <c r="D2904" s="2" t="s">
        <v>3823</v>
      </c>
      <c r="E2904" s="2" t="s">
        <v>59</v>
      </c>
      <c r="F2904" s="39" t="s">
        <v>58</v>
      </c>
      <c r="G2904" s="50" t="s">
        <v>3190</v>
      </c>
      <c r="H2904" s="5">
        <v>0</v>
      </c>
      <c r="I2904" s="6">
        <v>710000000</v>
      </c>
      <c r="J2904" s="4" t="s">
        <v>1931</v>
      </c>
      <c r="K2904" s="4" t="s">
        <v>5297</v>
      </c>
      <c r="L2904" s="3" t="s">
        <v>1165</v>
      </c>
      <c r="M2904" s="8" t="s">
        <v>3195</v>
      </c>
      <c r="N2904" s="3" t="s">
        <v>1890</v>
      </c>
      <c r="O2904" s="8" t="s">
        <v>1935</v>
      </c>
      <c r="P2904" s="8">
        <v>796</v>
      </c>
      <c r="Q2904" s="8" t="s">
        <v>3196</v>
      </c>
      <c r="R2904" s="9">
        <f>13+10</f>
        <v>23</v>
      </c>
      <c r="S2904" s="9">
        <v>2144.64</v>
      </c>
      <c r="T2904" s="10">
        <v>0</v>
      </c>
      <c r="U2904" s="10">
        <f t="shared" si="1763"/>
        <v>0</v>
      </c>
      <c r="V2904" s="7"/>
      <c r="W2904" s="11">
        <v>2015</v>
      </c>
      <c r="X2904" s="12" t="s">
        <v>6562</v>
      </c>
    </row>
    <row r="2905" spans="1:24" s="13" customFormat="1" ht="76.5" customHeight="1" outlineLevel="1" x14ac:dyDescent="0.2">
      <c r="A2905" s="1" t="s">
        <v>6779</v>
      </c>
      <c r="B2905" s="2" t="s">
        <v>5277</v>
      </c>
      <c r="C2905" s="2" t="s">
        <v>60</v>
      </c>
      <c r="D2905" s="2" t="s">
        <v>3823</v>
      </c>
      <c r="E2905" s="2" t="s">
        <v>59</v>
      </c>
      <c r="F2905" s="2" t="s">
        <v>58</v>
      </c>
      <c r="G2905" s="3" t="s">
        <v>3190</v>
      </c>
      <c r="H2905" s="5">
        <v>0</v>
      </c>
      <c r="I2905" s="6">
        <v>710000000</v>
      </c>
      <c r="J2905" s="4" t="s">
        <v>1931</v>
      </c>
      <c r="K2905" s="4" t="s">
        <v>5297</v>
      </c>
      <c r="L2905" s="3" t="s">
        <v>1165</v>
      </c>
      <c r="M2905" s="8" t="s">
        <v>3195</v>
      </c>
      <c r="N2905" s="3" t="s">
        <v>1890</v>
      </c>
      <c r="O2905" s="8" t="s">
        <v>1935</v>
      </c>
      <c r="P2905" s="8">
        <v>796</v>
      </c>
      <c r="Q2905" s="8" t="s">
        <v>3196</v>
      </c>
      <c r="R2905" s="69">
        <f>12+8</f>
        <v>20</v>
      </c>
      <c r="S2905" s="69">
        <v>2144.64</v>
      </c>
      <c r="T2905" s="10">
        <v>0</v>
      </c>
      <c r="U2905" s="10">
        <f t="shared" si="1763"/>
        <v>0</v>
      </c>
      <c r="V2905" s="7"/>
      <c r="W2905" s="1">
        <v>2015</v>
      </c>
      <c r="X2905" s="62" t="s">
        <v>7518</v>
      </c>
    </row>
    <row r="2906" spans="1:24" s="13" customFormat="1" ht="76.5" customHeight="1" outlineLevel="1" x14ac:dyDescent="0.2">
      <c r="A2906" s="1" t="s">
        <v>7980</v>
      </c>
      <c r="B2906" s="2" t="s">
        <v>5277</v>
      </c>
      <c r="C2906" s="2" t="s">
        <v>60</v>
      </c>
      <c r="D2906" s="2" t="s">
        <v>3823</v>
      </c>
      <c r="E2906" s="2" t="s">
        <v>59</v>
      </c>
      <c r="F2906" s="2" t="s">
        <v>58</v>
      </c>
      <c r="G2906" s="3" t="s">
        <v>3190</v>
      </c>
      <c r="H2906" s="5">
        <v>0</v>
      </c>
      <c r="I2906" s="6">
        <v>710000000</v>
      </c>
      <c r="J2906" s="4" t="s">
        <v>1931</v>
      </c>
      <c r="K2906" s="4" t="s">
        <v>756</v>
      </c>
      <c r="L2906" s="3" t="s">
        <v>1165</v>
      </c>
      <c r="M2906" s="8" t="s">
        <v>3195</v>
      </c>
      <c r="N2906" s="3" t="s">
        <v>1890</v>
      </c>
      <c r="O2906" s="8" t="s">
        <v>1935</v>
      </c>
      <c r="P2906" s="8">
        <v>796</v>
      </c>
      <c r="Q2906" s="8" t="s">
        <v>3196</v>
      </c>
      <c r="R2906" s="69">
        <f>10+5</f>
        <v>15</v>
      </c>
      <c r="S2906" s="69">
        <v>2144.64</v>
      </c>
      <c r="T2906" s="10">
        <f t="shared" ref="T2906" si="1780">S2906*R2906</f>
        <v>32169.599999999999</v>
      </c>
      <c r="U2906" s="10">
        <f t="shared" ref="U2906" si="1781">T2906*1.12</f>
        <v>36029.952000000005</v>
      </c>
      <c r="V2906" s="7"/>
      <c r="W2906" s="1">
        <v>2015</v>
      </c>
      <c r="X2906" s="62"/>
    </row>
    <row r="2907" spans="1:24" s="13" customFormat="1" ht="76.5" customHeight="1" outlineLevel="1" x14ac:dyDescent="0.2">
      <c r="A2907" s="1" t="s">
        <v>2847</v>
      </c>
      <c r="B2907" s="2" t="s">
        <v>5277</v>
      </c>
      <c r="C2907" s="2" t="s">
        <v>3450</v>
      </c>
      <c r="D2907" s="2" t="s">
        <v>6020</v>
      </c>
      <c r="E2907" s="6" t="s">
        <v>6021</v>
      </c>
      <c r="F2907" s="2" t="s">
        <v>58</v>
      </c>
      <c r="G2907" s="3" t="s">
        <v>3190</v>
      </c>
      <c r="H2907" s="5">
        <v>0</v>
      </c>
      <c r="I2907" s="6">
        <v>710000000</v>
      </c>
      <c r="J2907" s="4" t="s">
        <v>1931</v>
      </c>
      <c r="K2907" s="4" t="s">
        <v>5297</v>
      </c>
      <c r="L2907" s="3" t="s">
        <v>1165</v>
      </c>
      <c r="M2907" s="8" t="s">
        <v>3195</v>
      </c>
      <c r="N2907" s="3" t="s">
        <v>1890</v>
      </c>
      <c r="O2907" s="8" t="s">
        <v>1935</v>
      </c>
      <c r="P2907" s="8">
        <v>796</v>
      </c>
      <c r="Q2907" s="8" t="s">
        <v>3196</v>
      </c>
      <c r="R2907" s="69">
        <v>27</v>
      </c>
      <c r="S2907" s="69">
        <v>546</v>
      </c>
      <c r="T2907" s="10">
        <v>0</v>
      </c>
      <c r="U2907" s="10">
        <f t="shared" si="1763"/>
        <v>0</v>
      </c>
      <c r="V2907" s="7"/>
      <c r="W2907" s="1">
        <v>2015</v>
      </c>
      <c r="X2907" s="62" t="s">
        <v>7518</v>
      </c>
    </row>
    <row r="2908" spans="1:24" s="13" customFormat="1" ht="76.5" customHeight="1" outlineLevel="1" x14ac:dyDescent="0.2">
      <c r="A2908" s="1" t="s">
        <v>7981</v>
      </c>
      <c r="B2908" s="2" t="s">
        <v>5277</v>
      </c>
      <c r="C2908" s="2" t="s">
        <v>3450</v>
      </c>
      <c r="D2908" s="2" t="s">
        <v>6020</v>
      </c>
      <c r="E2908" s="6" t="s">
        <v>6021</v>
      </c>
      <c r="F2908" s="2" t="s">
        <v>58</v>
      </c>
      <c r="G2908" s="3" t="s">
        <v>3190</v>
      </c>
      <c r="H2908" s="5">
        <v>0</v>
      </c>
      <c r="I2908" s="6">
        <v>710000000</v>
      </c>
      <c r="J2908" s="4" t="s">
        <v>1931</v>
      </c>
      <c r="K2908" s="4" t="s">
        <v>756</v>
      </c>
      <c r="L2908" s="3" t="s">
        <v>1165</v>
      </c>
      <c r="M2908" s="8" t="s">
        <v>3195</v>
      </c>
      <c r="N2908" s="3" t="s">
        <v>1890</v>
      </c>
      <c r="O2908" s="8" t="s">
        <v>1935</v>
      </c>
      <c r="P2908" s="8">
        <v>796</v>
      </c>
      <c r="Q2908" s="8" t="s">
        <v>3196</v>
      </c>
      <c r="R2908" s="69">
        <v>25</v>
      </c>
      <c r="S2908" s="69">
        <v>546</v>
      </c>
      <c r="T2908" s="10">
        <f t="shared" ref="T2908" si="1782">S2908*R2908</f>
        <v>13650</v>
      </c>
      <c r="U2908" s="10">
        <f t="shared" ref="U2908" si="1783">T2908*1.12</f>
        <v>15288.000000000002</v>
      </c>
      <c r="V2908" s="7"/>
      <c r="W2908" s="1">
        <v>2015</v>
      </c>
      <c r="X2908" s="62"/>
    </row>
    <row r="2909" spans="1:24" s="13" customFormat="1" ht="76.5" customHeight="1" outlineLevel="1" x14ac:dyDescent="0.2">
      <c r="A2909" s="1" t="s">
        <v>2848</v>
      </c>
      <c r="B2909" s="38" t="s">
        <v>5277</v>
      </c>
      <c r="C2909" s="2" t="s">
        <v>3835</v>
      </c>
      <c r="D2909" s="2" t="s">
        <v>3834</v>
      </c>
      <c r="E2909" s="6" t="s">
        <v>5506</v>
      </c>
      <c r="F2909" s="39" t="s">
        <v>57</v>
      </c>
      <c r="G2909" s="50" t="s">
        <v>3190</v>
      </c>
      <c r="H2909" s="5">
        <v>0</v>
      </c>
      <c r="I2909" s="6">
        <v>710000000</v>
      </c>
      <c r="J2909" s="4" t="s">
        <v>1931</v>
      </c>
      <c r="K2909" s="4" t="s">
        <v>5297</v>
      </c>
      <c r="L2909" s="3" t="s">
        <v>1165</v>
      </c>
      <c r="M2909" s="8" t="s">
        <v>3195</v>
      </c>
      <c r="N2909" s="3" t="s">
        <v>1890</v>
      </c>
      <c r="O2909" s="8" t="s">
        <v>1935</v>
      </c>
      <c r="P2909" s="8">
        <v>796</v>
      </c>
      <c r="Q2909" s="8" t="s">
        <v>3196</v>
      </c>
      <c r="R2909" s="9">
        <f>111+58</f>
        <v>169</v>
      </c>
      <c r="S2909" s="9">
        <v>287.5</v>
      </c>
      <c r="T2909" s="10">
        <v>0</v>
      </c>
      <c r="U2909" s="10">
        <f t="shared" si="1763"/>
        <v>0</v>
      </c>
      <c r="V2909" s="7"/>
      <c r="W2909" s="11">
        <v>2015</v>
      </c>
      <c r="X2909" s="12" t="s">
        <v>6562</v>
      </c>
    </row>
    <row r="2910" spans="1:24" s="13" customFormat="1" ht="76.5" customHeight="1" outlineLevel="1" x14ac:dyDescent="0.2">
      <c r="A2910" s="1" t="s">
        <v>6781</v>
      </c>
      <c r="B2910" s="2" t="s">
        <v>5277</v>
      </c>
      <c r="C2910" s="2" t="s">
        <v>3835</v>
      </c>
      <c r="D2910" s="2" t="s">
        <v>3834</v>
      </c>
      <c r="E2910" s="6" t="s">
        <v>5506</v>
      </c>
      <c r="F2910" s="2" t="s">
        <v>57</v>
      </c>
      <c r="G2910" s="3" t="s">
        <v>3190</v>
      </c>
      <c r="H2910" s="5">
        <v>0</v>
      </c>
      <c r="I2910" s="6">
        <v>710000000</v>
      </c>
      <c r="J2910" s="4" t="s">
        <v>1931</v>
      </c>
      <c r="K2910" s="4" t="s">
        <v>5297</v>
      </c>
      <c r="L2910" s="3" t="s">
        <v>1165</v>
      </c>
      <c r="M2910" s="8" t="s">
        <v>3195</v>
      </c>
      <c r="N2910" s="3" t="s">
        <v>1890</v>
      </c>
      <c r="O2910" s="8" t="s">
        <v>1935</v>
      </c>
      <c r="P2910" s="8">
        <v>796</v>
      </c>
      <c r="Q2910" s="8" t="s">
        <v>3196</v>
      </c>
      <c r="R2910" s="69">
        <f>99+58</f>
        <v>157</v>
      </c>
      <c r="S2910" s="69">
        <v>287.5</v>
      </c>
      <c r="T2910" s="10">
        <v>0</v>
      </c>
      <c r="U2910" s="10">
        <f t="shared" si="1763"/>
        <v>0</v>
      </c>
      <c r="V2910" s="7"/>
      <c r="W2910" s="1">
        <v>2015</v>
      </c>
      <c r="X2910" s="62" t="s">
        <v>7518</v>
      </c>
    </row>
    <row r="2911" spans="1:24" s="13" customFormat="1" ht="76.5" customHeight="1" outlineLevel="1" x14ac:dyDescent="0.2">
      <c r="A2911" s="1" t="s">
        <v>7982</v>
      </c>
      <c r="B2911" s="2" t="s">
        <v>5277</v>
      </c>
      <c r="C2911" s="2" t="s">
        <v>3835</v>
      </c>
      <c r="D2911" s="2" t="s">
        <v>3834</v>
      </c>
      <c r="E2911" s="6" t="s">
        <v>5506</v>
      </c>
      <c r="F2911" s="2" t="s">
        <v>57</v>
      </c>
      <c r="G2911" s="3" t="s">
        <v>3190</v>
      </c>
      <c r="H2911" s="5">
        <v>0</v>
      </c>
      <c r="I2911" s="6">
        <v>710000000</v>
      </c>
      <c r="J2911" s="4" t="s">
        <v>1931</v>
      </c>
      <c r="K2911" s="4" t="s">
        <v>756</v>
      </c>
      <c r="L2911" s="3" t="s">
        <v>1165</v>
      </c>
      <c r="M2911" s="8" t="s">
        <v>3195</v>
      </c>
      <c r="N2911" s="3" t="s">
        <v>1890</v>
      </c>
      <c r="O2911" s="8" t="s">
        <v>1935</v>
      </c>
      <c r="P2911" s="8">
        <v>796</v>
      </c>
      <c r="Q2911" s="8" t="s">
        <v>3196</v>
      </c>
      <c r="R2911" s="69">
        <f>70+60</f>
        <v>130</v>
      </c>
      <c r="S2911" s="69">
        <v>287.5</v>
      </c>
      <c r="T2911" s="10">
        <f t="shared" ref="T2911" si="1784">S2911*R2911</f>
        <v>37375</v>
      </c>
      <c r="U2911" s="10">
        <f t="shared" ref="U2911" si="1785">T2911*1.12</f>
        <v>41860.000000000007</v>
      </c>
      <c r="V2911" s="7"/>
      <c r="W2911" s="1">
        <v>2015</v>
      </c>
      <c r="X2911" s="62"/>
    </row>
    <row r="2912" spans="1:24" s="13" customFormat="1" ht="76.5" customHeight="1" outlineLevel="1" x14ac:dyDescent="0.2">
      <c r="A2912" s="1" t="s">
        <v>2849</v>
      </c>
      <c r="B2912" s="38" t="s">
        <v>5277</v>
      </c>
      <c r="C2912" s="2" t="s">
        <v>14</v>
      </c>
      <c r="D2912" s="2" t="s">
        <v>6019</v>
      </c>
      <c r="E2912" s="2" t="s">
        <v>13</v>
      </c>
      <c r="F2912" s="39"/>
      <c r="G2912" s="50" t="s">
        <v>3190</v>
      </c>
      <c r="H2912" s="5">
        <v>0</v>
      </c>
      <c r="I2912" s="6">
        <v>710000000</v>
      </c>
      <c r="J2912" s="4" t="s">
        <v>1931</v>
      </c>
      <c r="K2912" s="4" t="s">
        <v>5297</v>
      </c>
      <c r="L2912" s="3" t="s">
        <v>1165</v>
      </c>
      <c r="M2912" s="8" t="s">
        <v>3195</v>
      </c>
      <c r="N2912" s="3" t="s">
        <v>1890</v>
      </c>
      <c r="O2912" s="8" t="s">
        <v>1935</v>
      </c>
      <c r="P2912" s="8">
        <v>796</v>
      </c>
      <c r="Q2912" s="8" t="s">
        <v>3196</v>
      </c>
      <c r="R2912" s="9">
        <v>20</v>
      </c>
      <c r="S2912" s="9">
        <v>1360.6</v>
      </c>
      <c r="T2912" s="10">
        <v>0</v>
      </c>
      <c r="U2912" s="10">
        <f t="shared" si="1763"/>
        <v>0</v>
      </c>
      <c r="V2912" s="7"/>
      <c r="W2912" s="11">
        <v>2015</v>
      </c>
      <c r="X2912" s="12" t="s">
        <v>6562</v>
      </c>
    </row>
    <row r="2913" spans="1:24" s="13" customFormat="1" ht="76.5" customHeight="1" outlineLevel="1" x14ac:dyDescent="0.2">
      <c r="A2913" s="1" t="s">
        <v>6782</v>
      </c>
      <c r="B2913" s="2" t="s">
        <v>5277</v>
      </c>
      <c r="C2913" s="2" t="s">
        <v>14</v>
      </c>
      <c r="D2913" s="2" t="s">
        <v>6019</v>
      </c>
      <c r="E2913" s="2" t="s">
        <v>13</v>
      </c>
      <c r="F2913" s="2"/>
      <c r="G2913" s="3" t="s">
        <v>3190</v>
      </c>
      <c r="H2913" s="5">
        <v>0</v>
      </c>
      <c r="I2913" s="6">
        <v>710000000</v>
      </c>
      <c r="J2913" s="4" t="s">
        <v>1931</v>
      </c>
      <c r="K2913" s="4" t="s">
        <v>5297</v>
      </c>
      <c r="L2913" s="3" t="s">
        <v>1165</v>
      </c>
      <c r="M2913" s="8" t="s">
        <v>3195</v>
      </c>
      <c r="N2913" s="3" t="s">
        <v>1890</v>
      </c>
      <c r="O2913" s="8" t="s">
        <v>1935</v>
      </c>
      <c r="P2913" s="8">
        <v>796</v>
      </c>
      <c r="Q2913" s="8" t="s">
        <v>3196</v>
      </c>
      <c r="R2913" s="69">
        <v>18</v>
      </c>
      <c r="S2913" s="69">
        <v>1360.6</v>
      </c>
      <c r="T2913" s="10">
        <v>0</v>
      </c>
      <c r="U2913" s="10">
        <f t="shared" si="1763"/>
        <v>0</v>
      </c>
      <c r="V2913" s="7"/>
      <c r="W2913" s="1">
        <v>2015</v>
      </c>
      <c r="X2913" s="62" t="s">
        <v>7518</v>
      </c>
    </row>
    <row r="2914" spans="1:24" s="13" customFormat="1" ht="76.5" customHeight="1" outlineLevel="1" x14ac:dyDescent="0.2">
      <c r="A2914" s="1" t="s">
        <v>7983</v>
      </c>
      <c r="B2914" s="2" t="s">
        <v>5277</v>
      </c>
      <c r="C2914" s="2" t="s">
        <v>14</v>
      </c>
      <c r="D2914" s="2" t="s">
        <v>6019</v>
      </c>
      <c r="E2914" s="2" t="s">
        <v>13</v>
      </c>
      <c r="F2914" s="2"/>
      <c r="G2914" s="3" t="s">
        <v>3190</v>
      </c>
      <c r="H2914" s="5">
        <v>0</v>
      </c>
      <c r="I2914" s="6">
        <v>710000000</v>
      </c>
      <c r="J2914" s="4" t="s">
        <v>1931</v>
      </c>
      <c r="K2914" s="4" t="s">
        <v>756</v>
      </c>
      <c r="L2914" s="3" t="s">
        <v>1165</v>
      </c>
      <c r="M2914" s="8" t="s">
        <v>3195</v>
      </c>
      <c r="N2914" s="3" t="s">
        <v>1890</v>
      </c>
      <c r="O2914" s="8" t="s">
        <v>1935</v>
      </c>
      <c r="P2914" s="8">
        <v>796</v>
      </c>
      <c r="Q2914" s="8" t="s">
        <v>3196</v>
      </c>
      <c r="R2914" s="69">
        <v>10</v>
      </c>
      <c r="S2914" s="69">
        <v>1360.6</v>
      </c>
      <c r="T2914" s="10">
        <f t="shared" ref="T2914" si="1786">S2914*R2914</f>
        <v>13606</v>
      </c>
      <c r="U2914" s="10">
        <f t="shared" ref="U2914" si="1787">T2914*1.12</f>
        <v>15238.720000000001</v>
      </c>
      <c r="V2914" s="7"/>
      <c r="W2914" s="1">
        <v>2015</v>
      </c>
      <c r="X2914" s="62"/>
    </row>
    <row r="2915" spans="1:24" s="13" customFormat="1" ht="76.5" customHeight="1" outlineLevel="1" x14ac:dyDescent="0.2">
      <c r="A2915" s="1" t="s">
        <v>2850</v>
      </c>
      <c r="B2915" s="38" t="s">
        <v>5277</v>
      </c>
      <c r="C2915" s="2" t="s">
        <v>12</v>
      </c>
      <c r="D2915" s="2" t="s">
        <v>6019</v>
      </c>
      <c r="E2915" s="2" t="s">
        <v>11</v>
      </c>
      <c r="F2915" s="39"/>
      <c r="G2915" s="50" t="s">
        <v>3190</v>
      </c>
      <c r="H2915" s="5">
        <v>0</v>
      </c>
      <c r="I2915" s="6">
        <v>710000000</v>
      </c>
      <c r="J2915" s="4" t="s">
        <v>1931</v>
      </c>
      <c r="K2915" s="4" t="s">
        <v>5297</v>
      </c>
      <c r="L2915" s="3" t="s">
        <v>1165</v>
      </c>
      <c r="M2915" s="8" t="s">
        <v>3195</v>
      </c>
      <c r="N2915" s="3" t="s">
        <v>1890</v>
      </c>
      <c r="O2915" s="8" t="s">
        <v>1935</v>
      </c>
      <c r="P2915" s="8">
        <v>796</v>
      </c>
      <c r="Q2915" s="8" t="s">
        <v>3196</v>
      </c>
      <c r="R2915" s="9">
        <v>30</v>
      </c>
      <c r="S2915" s="9">
        <v>286.67</v>
      </c>
      <c r="T2915" s="10">
        <v>0</v>
      </c>
      <c r="U2915" s="10">
        <f t="shared" si="1763"/>
        <v>0</v>
      </c>
      <c r="V2915" s="7"/>
      <c r="W2915" s="11">
        <v>2015</v>
      </c>
      <c r="X2915" s="12" t="s">
        <v>6562</v>
      </c>
    </row>
    <row r="2916" spans="1:24" s="13" customFormat="1" ht="76.5" customHeight="1" outlineLevel="1" x14ac:dyDescent="0.2">
      <c r="A2916" s="1" t="s">
        <v>6783</v>
      </c>
      <c r="B2916" s="2" t="s">
        <v>5277</v>
      </c>
      <c r="C2916" s="2" t="s">
        <v>12</v>
      </c>
      <c r="D2916" s="2" t="s">
        <v>6019</v>
      </c>
      <c r="E2916" s="2" t="s">
        <v>11</v>
      </c>
      <c r="F2916" s="2"/>
      <c r="G2916" s="3" t="s">
        <v>3190</v>
      </c>
      <c r="H2916" s="5">
        <v>0</v>
      </c>
      <c r="I2916" s="6">
        <v>710000000</v>
      </c>
      <c r="J2916" s="4" t="s">
        <v>1931</v>
      </c>
      <c r="K2916" s="4" t="s">
        <v>5297</v>
      </c>
      <c r="L2916" s="3" t="s">
        <v>1165</v>
      </c>
      <c r="M2916" s="8" t="s">
        <v>3195</v>
      </c>
      <c r="N2916" s="3" t="s">
        <v>1890</v>
      </c>
      <c r="O2916" s="8" t="s">
        <v>1935</v>
      </c>
      <c r="P2916" s="8">
        <v>796</v>
      </c>
      <c r="Q2916" s="8" t="s">
        <v>3196</v>
      </c>
      <c r="R2916" s="69">
        <v>27</v>
      </c>
      <c r="S2916" s="69">
        <v>286.67</v>
      </c>
      <c r="T2916" s="10">
        <v>0</v>
      </c>
      <c r="U2916" s="10">
        <f t="shared" si="1763"/>
        <v>0</v>
      </c>
      <c r="V2916" s="7"/>
      <c r="W2916" s="1">
        <v>2015</v>
      </c>
      <c r="X2916" s="62" t="s">
        <v>7518</v>
      </c>
    </row>
    <row r="2917" spans="1:24" s="13" customFormat="1" ht="76.5" customHeight="1" outlineLevel="1" x14ac:dyDescent="0.2">
      <c r="A2917" s="1" t="s">
        <v>7984</v>
      </c>
      <c r="B2917" s="2" t="s">
        <v>5277</v>
      </c>
      <c r="C2917" s="2" t="s">
        <v>12</v>
      </c>
      <c r="D2917" s="2" t="s">
        <v>6019</v>
      </c>
      <c r="E2917" s="2" t="s">
        <v>11</v>
      </c>
      <c r="F2917" s="2"/>
      <c r="G2917" s="3" t="s">
        <v>3190</v>
      </c>
      <c r="H2917" s="5">
        <v>0</v>
      </c>
      <c r="I2917" s="6">
        <v>710000000</v>
      </c>
      <c r="J2917" s="4" t="s">
        <v>1931</v>
      </c>
      <c r="K2917" s="4" t="s">
        <v>756</v>
      </c>
      <c r="L2917" s="3" t="s">
        <v>1165</v>
      </c>
      <c r="M2917" s="8" t="s">
        <v>3195</v>
      </c>
      <c r="N2917" s="3" t="s">
        <v>1890</v>
      </c>
      <c r="O2917" s="8" t="s">
        <v>1935</v>
      </c>
      <c r="P2917" s="8">
        <v>796</v>
      </c>
      <c r="Q2917" s="8" t="s">
        <v>3196</v>
      </c>
      <c r="R2917" s="69">
        <v>20</v>
      </c>
      <c r="S2917" s="69">
        <v>286.67</v>
      </c>
      <c r="T2917" s="10">
        <f t="shared" ref="T2917" si="1788">S2917*R2917</f>
        <v>5733.4000000000005</v>
      </c>
      <c r="U2917" s="10">
        <f t="shared" ref="U2917" si="1789">T2917*1.12</f>
        <v>6421.4080000000013</v>
      </c>
      <c r="V2917" s="7"/>
      <c r="W2917" s="1">
        <v>2015</v>
      </c>
      <c r="X2917" s="62"/>
    </row>
    <row r="2918" spans="1:24" s="13" customFormat="1" ht="76.5" customHeight="1" outlineLevel="1" x14ac:dyDescent="0.2">
      <c r="A2918" s="1" t="s">
        <v>2851</v>
      </c>
      <c r="B2918" s="2" t="s">
        <v>5277</v>
      </c>
      <c r="C2918" s="2" t="s">
        <v>10</v>
      </c>
      <c r="D2918" s="2" t="s">
        <v>6019</v>
      </c>
      <c r="E2918" s="2" t="s">
        <v>9</v>
      </c>
      <c r="F2918" s="2"/>
      <c r="G2918" s="3" t="s">
        <v>3190</v>
      </c>
      <c r="H2918" s="5">
        <v>0</v>
      </c>
      <c r="I2918" s="6">
        <v>710000000</v>
      </c>
      <c r="J2918" s="4" t="s">
        <v>1931</v>
      </c>
      <c r="K2918" s="4" t="s">
        <v>5297</v>
      </c>
      <c r="L2918" s="3" t="s">
        <v>1165</v>
      </c>
      <c r="M2918" s="8" t="s">
        <v>3195</v>
      </c>
      <c r="N2918" s="3" t="s">
        <v>1890</v>
      </c>
      <c r="O2918" s="8" t="s">
        <v>1935</v>
      </c>
      <c r="P2918" s="8">
        <v>796</v>
      </c>
      <c r="Q2918" s="8" t="s">
        <v>3196</v>
      </c>
      <c r="R2918" s="69">
        <v>30</v>
      </c>
      <c r="S2918" s="69">
        <v>440</v>
      </c>
      <c r="T2918" s="10">
        <v>0</v>
      </c>
      <c r="U2918" s="10">
        <f t="shared" si="1763"/>
        <v>0</v>
      </c>
      <c r="V2918" s="7"/>
      <c r="W2918" s="1">
        <v>2015</v>
      </c>
      <c r="X2918" s="62" t="s">
        <v>7518</v>
      </c>
    </row>
    <row r="2919" spans="1:24" s="13" customFormat="1" ht="76.5" customHeight="1" outlineLevel="1" x14ac:dyDescent="0.2">
      <c r="A2919" s="1" t="s">
        <v>7985</v>
      </c>
      <c r="B2919" s="2" t="s">
        <v>5277</v>
      </c>
      <c r="C2919" s="2" t="s">
        <v>10</v>
      </c>
      <c r="D2919" s="2" t="s">
        <v>6019</v>
      </c>
      <c r="E2919" s="2" t="s">
        <v>9</v>
      </c>
      <c r="F2919" s="2"/>
      <c r="G2919" s="3" t="s">
        <v>3190</v>
      </c>
      <c r="H2919" s="5">
        <v>0</v>
      </c>
      <c r="I2919" s="6">
        <v>710000000</v>
      </c>
      <c r="J2919" s="4" t="s">
        <v>1931</v>
      </c>
      <c r="K2919" s="4" t="s">
        <v>756</v>
      </c>
      <c r="L2919" s="3" t="s">
        <v>1165</v>
      </c>
      <c r="M2919" s="8" t="s">
        <v>3195</v>
      </c>
      <c r="N2919" s="3" t="s">
        <v>1890</v>
      </c>
      <c r="O2919" s="8" t="s">
        <v>1935</v>
      </c>
      <c r="P2919" s="8">
        <v>796</v>
      </c>
      <c r="Q2919" s="8" t="s">
        <v>3196</v>
      </c>
      <c r="R2919" s="69">
        <v>20</v>
      </c>
      <c r="S2919" s="69">
        <v>440</v>
      </c>
      <c r="T2919" s="10">
        <f t="shared" ref="T2919" si="1790">S2919*R2919</f>
        <v>8800</v>
      </c>
      <c r="U2919" s="10">
        <f t="shared" ref="U2919" si="1791">T2919*1.12</f>
        <v>9856.0000000000018</v>
      </c>
      <c r="V2919" s="7"/>
      <c r="W2919" s="1">
        <v>2015</v>
      </c>
      <c r="X2919" s="62"/>
    </row>
    <row r="2920" spans="1:24" s="13" customFormat="1" ht="76.5" customHeight="1" outlineLevel="1" x14ac:dyDescent="0.2">
      <c r="A2920" s="1" t="s">
        <v>2852</v>
      </c>
      <c r="B2920" s="2" t="s">
        <v>5277</v>
      </c>
      <c r="C2920" s="2" t="s">
        <v>8</v>
      </c>
      <c r="D2920" s="2" t="s">
        <v>6019</v>
      </c>
      <c r="E2920" s="2" t="s">
        <v>7</v>
      </c>
      <c r="F2920" s="2"/>
      <c r="G2920" s="3" t="s">
        <v>3190</v>
      </c>
      <c r="H2920" s="5">
        <v>0</v>
      </c>
      <c r="I2920" s="6">
        <v>710000000</v>
      </c>
      <c r="J2920" s="4" t="s">
        <v>1931</v>
      </c>
      <c r="K2920" s="4" t="s">
        <v>5297</v>
      </c>
      <c r="L2920" s="3" t="s">
        <v>1165</v>
      </c>
      <c r="M2920" s="8" t="s">
        <v>3195</v>
      </c>
      <c r="N2920" s="3" t="s">
        <v>1890</v>
      </c>
      <c r="O2920" s="8" t="s">
        <v>1935</v>
      </c>
      <c r="P2920" s="8">
        <v>796</v>
      </c>
      <c r="Q2920" s="8" t="s">
        <v>3196</v>
      </c>
      <c r="R2920" s="69">
        <v>30</v>
      </c>
      <c r="S2920" s="69">
        <v>108</v>
      </c>
      <c r="T2920" s="10">
        <v>0</v>
      </c>
      <c r="U2920" s="10">
        <f t="shared" si="1763"/>
        <v>0</v>
      </c>
      <c r="V2920" s="7"/>
      <c r="W2920" s="1">
        <v>2015</v>
      </c>
      <c r="X2920" s="62" t="s">
        <v>7518</v>
      </c>
    </row>
    <row r="2921" spans="1:24" s="13" customFormat="1" ht="76.5" customHeight="1" outlineLevel="1" x14ac:dyDescent="0.2">
      <c r="A2921" s="1" t="s">
        <v>7986</v>
      </c>
      <c r="B2921" s="2" t="s">
        <v>5277</v>
      </c>
      <c r="C2921" s="2" t="s">
        <v>8</v>
      </c>
      <c r="D2921" s="2" t="s">
        <v>6019</v>
      </c>
      <c r="E2921" s="2" t="s">
        <v>7</v>
      </c>
      <c r="F2921" s="2"/>
      <c r="G2921" s="3" t="s">
        <v>3190</v>
      </c>
      <c r="H2921" s="5">
        <v>0</v>
      </c>
      <c r="I2921" s="6">
        <v>710000000</v>
      </c>
      <c r="J2921" s="4" t="s">
        <v>1931</v>
      </c>
      <c r="K2921" s="4" t="s">
        <v>756</v>
      </c>
      <c r="L2921" s="3" t="s">
        <v>1165</v>
      </c>
      <c r="M2921" s="8" t="s">
        <v>3195</v>
      </c>
      <c r="N2921" s="3" t="s">
        <v>1890</v>
      </c>
      <c r="O2921" s="8" t="s">
        <v>1935</v>
      </c>
      <c r="P2921" s="8">
        <v>796</v>
      </c>
      <c r="Q2921" s="8" t="s">
        <v>3196</v>
      </c>
      <c r="R2921" s="69">
        <v>20</v>
      </c>
      <c r="S2921" s="69">
        <v>108</v>
      </c>
      <c r="T2921" s="10">
        <f t="shared" ref="T2921" si="1792">S2921*R2921</f>
        <v>2160</v>
      </c>
      <c r="U2921" s="10">
        <f t="shared" ref="U2921" si="1793">T2921*1.12</f>
        <v>2419.2000000000003</v>
      </c>
      <c r="V2921" s="7"/>
      <c r="W2921" s="1">
        <v>2015</v>
      </c>
      <c r="X2921" s="62"/>
    </row>
    <row r="2922" spans="1:24" s="13" customFormat="1" ht="76.5" customHeight="1" outlineLevel="1" x14ac:dyDescent="0.2">
      <c r="A2922" s="1" t="s">
        <v>2853</v>
      </c>
      <c r="B2922" s="2" t="s">
        <v>5277</v>
      </c>
      <c r="C2922" s="2" t="s">
        <v>6</v>
      </c>
      <c r="D2922" s="2" t="s">
        <v>6019</v>
      </c>
      <c r="E2922" s="2" t="s">
        <v>5</v>
      </c>
      <c r="F2922" s="2"/>
      <c r="G2922" s="3" t="s">
        <v>3190</v>
      </c>
      <c r="H2922" s="5">
        <v>0</v>
      </c>
      <c r="I2922" s="6">
        <v>710000000</v>
      </c>
      <c r="J2922" s="4" t="s">
        <v>1931</v>
      </c>
      <c r="K2922" s="4" t="s">
        <v>5297</v>
      </c>
      <c r="L2922" s="3" t="s">
        <v>1165</v>
      </c>
      <c r="M2922" s="8" t="s">
        <v>3195</v>
      </c>
      <c r="N2922" s="3" t="s">
        <v>1890</v>
      </c>
      <c r="O2922" s="8" t="s">
        <v>1935</v>
      </c>
      <c r="P2922" s="8">
        <v>796</v>
      </c>
      <c r="Q2922" s="8" t="s">
        <v>3196</v>
      </c>
      <c r="R2922" s="69">
        <v>30</v>
      </c>
      <c r="S2922" s="69">
        <v>70</v>
      </c>
      <c r="T2922" s="10">
        <v>0</v>
      </c>
      <c r="U2922" s="10">
        <f t="shared" si="1763"/>
        <v>0</v>
      </c>
      <c r="V2922" s="7"/>
      <c r="W2922" s="1">
        <v>2015</v>
      </c>
      <c r="X2922" s="62" t="s">
        <v>7518</v>
      </c>
    </row>
    <row r="2923" spans="1:24" s="13" customFormat="1" ht="76.5" customHeight="1" outlineLevel="1" x14ac:dyDescent="0.2">
      <c r="A2923" s="1" t="s">
        <v>7987</v>
      </c>
      <c r="B2923" s="2" t="s">
        <v>5277</v>
      </c>
      <c r="C2923" s="2" t="s">
        <v>6</v>
      </c>
      <c r="D2923" s="2" t="s">
        <v>6019</v>
      </c>
      <c r="E2923" s="2" t="s">
        <v>5</v>
      </c>
      <c r="F2923" s="2"/>
      <c r="G2923" s="3" t="s">
        <v>3190</v>
      </c>
      <c r="H2923" s="5">
        <v>0</v>
      </c>
      <c r="I2923" s="6">
        <v>710000000</v>
      </c>
      <c r="J2923" s="4" t="s">
        <v>1931</v>
      </c>
      <c r="K2923" s="4" t="s">
        <v>756</v>
      </c>
      <c r="L2923" s="3" t="s">
        <v>1165</v>
      </c>
      <c r="M2923" s="8" t="s">
        <v>3195</v>
      </c>
      <c r="N2923" s="3" t="s">
        <v>1890</v>
      </c>
      <c r="O2923" s="8" t="s">
        <v>1935</v>
      </c>
      <c r="P2923" s="8">
        <v>796</v>
      </c>
      <c r="Q2923" s="8" t="s">
        <v>3196</v>
      </c>
      <c r="R2923" s="69">
        <v>20</v>
      </c>
      <c r="S2923" s="69">
        <v>70</v>
      </c>
      <c r="T2923" s="10">
        <f t="shared" ref="T2923" si="1794">S2923*R2923</f>
        <v>1400</v>
      </c>
      <c r="U2923" s="10">
        <f t="shared" ref="U2923" si="1795">T2923*1.12</f>
        <v>1568.0000000000002</v>
      </c>
      <c r="V2923" s="7"/>
      <c r="W2923" s="1">
        <v>2015</v>
      </c>
      <c r="X2923" s="62"/>
    </row>
    <row r="2924" spans="1:24" s="13" customFormat="1" ht="76.5" customHeight="1" outlineLevel="1" x14ac:dyDescent="0.2">
      <c r="A2924" s="1" t="s">
        <v>2854</v>
      </c>
      <c r="B2924" s="2" t="s">
        <v>5277</v>
      </c>
      <c r="C2924" s="2" t="s">
        <v>3455</v>
      </c>
      <c r="D2924" s="2" t="s">
        <v>5996</v>
      </c>
      <c r="E2924" s="2" t="s">
        <v>5997</v>
      </c>
      <c r="F2924" s="2"/>
      <c r="G2924" s="3" t="s">
        <v>3190</v>
      </c>
      <c r="H2924" s="5">
        <v>0</v>
      </c>
      <c r="I2924" s="6">
        <v>710000000</v>
      </c>
      <c r="J2924" s="4" t="s">
        <v>1931</v>
      </c>
      <c r="K2924" s="4" t="s">
        <v>5297</v>
      </c>
      <c r="L2924" s="3" t="s">
        <v>1165</v>
      </c>
      <c r="M2924" s="8" t="s">
        <v>3195</v>
      </c>
      <c r="N2924" s="3" t="s">
        <v>1890</v>
      </c>
      <c r="O2924" s="8" t="s">
        <v>1935</v>
      </c>
      <c r="P2924" s="60" t="s">
        <v>3010</v>
      </c>
      <c r="Q2924" s="3" t="s">
        <v>3009</v>
      </c>
      <c r="R2924" s="69">
        <f>22+24</f>
        <v>46</v>
      </c>
      <c r="S2924" s="69">
        <v>2888.39</v>
      </c>
      <c r="T2924" s="10">
        <v>0</v>
      </c>
      <c r="U2924" s="10">
        <f t="shared" si="1763"/>
        <v>0</v>
      </c>
      <c r="V2924" s="7"/>
      <c r="W2924" s="1">
        <v>2015</v>
      </c>
      <c r="X2924" s="62">
        <v>11</v>
      </c>
    </row>
    <row r="2925" spans="1:24" s="13" customFormat="1" ht="76.5" customHeight="1" outlineLevel="1" x14ac:dyDescent="0.2">
      <c r="A2925" s="1" t="s">
        <v>7988</v>
      </c>
      <c r="B2925" s="2" t="s">
        <v>5277</v>
      </c>
      <c r="C2925" s="2" t="s">
        <v>3455</v>
      </c>
      <c r="D2925" s="2" t="s">
        <v>5996</v>
      </c>
      <c r="E2925" s="2" t="s">
        <v>5997</v>
      </c>
      <c r="F2925" s="2"/>
      <c r="G2925" s="3" t="s">
        <v>3190</v>
      </c>
      <c r="H2925" s="5">
        <v>0</v>
      </c>
      <c r="I2925" s="6">
        <v>710000000</v>
      </c>
      <c r="J2925" s="4" t="s">
        <v>1931</v>
      </c>
      <c r="K2925" s="4" t="s">
        <v>756</v>
      </c>
      <c r="L2925" s="3" t="s">
        <v>1165</v>
      </c>
      <c r="M2925" s="8" t="s">
        <v>3195</v>
      </c>
      <c r="N2925" s="3" t="s">
        <v>1890</v>
      </c>
      <c r="O2925" s="8" t="s">
        <v>1935</v>
      </c>
      <c r="P2925" s="60" t="s">
        <v>3010</v>
      </c>
      <c r="Q2925" s="3" t="s">
        <v>3009</v>
      </c>
      <c r="R2925" s="69">
        <f>22+24</f>
        <v>46</v>
      </c>
      <c r="S2925" s="69">
        <v>2888.39</v>
      </c>
      <c r="T2925" s="10">
        <f t="shared" ref="T2925" si="1796">S2925*R2925</f>
        <v>132865.94</v>
      </c>
      <c r="U2925" s="10">
        <f t="shared" ref="U2925" si="1797">T2925*1.12</f>
        <v>148809.85280000002</v>
      </c>
      <c r="V2925" s="7"/>
      <c r="W2925" s="1">
        <v>2015</v>
      </c>
      <c r="X2925" s="79"/>
    </row>
    <row r="2926" spans="1:24" s="13" customFormat="1" ht="76.5" customHeight="1" outlineLevel="1" x14ac:dyDescent="0.2">
      <c r="A2926" s="1" t="s">
        <v>2855</v>
      </c>
      <c r="B2926" s="38" t="s">
        <v>5277</v>
      </c>
      <c r="C2926" s="2" t="s">
        <v>3159</v>
      </c>
      <c r="D2926" s="2" t="s">
        <v>6001</v>
      </c>
      <c r="E2926" s="2" t="s">
        <v>6002</v>
      </c>
      <c r="F2926" s="39" t="s">
        <v>3158</v>
      </c>
      <c r="G2926" s="50" t="s">
        <v>3190</v>
      </c>
      <c r="H2926" s="5">
        <v>0</v>
      </c>
      <c r="I2926" s="6">
        <v>710000000</v>
      </c>
      <c r="J2926" s="4" t="s">
        <v>1931</v>
      </c>
      <c r="K2926" s="4" t="s">
        <v>5297</v>
      </c>
      <c r="L2926" s="3" t="s">
        <v>1165</v>
      </c>
      <c r="M2926" s="8" t="s">
        <v>3195</v>
      </c>
      <c r="N2926" s="3" t="s">
        <v>1890</v>
      </c>
      <c r="O2926" s="8" t="s">
        <v>1935</v>
      </c>
      <c r="P2926" s="8">
        <v>796</v>
      </c>
      <c r="Q2926" s="8" t="s">
        <v>3196</v>
      </c>
      <c r="R2926" s="9">
        <f>37+4</f>
        <v>41</v>
      </c>
      <c r="S2926" s="9">
        <v>730.36</v>
      </c>
      <c r="T2926" s="10">
        <v>0</v>
      </c>
      <c r="U2926" s="10">
        <f t="shared" si="1763"/>
        <v>0</v>
      </c>
      <c r="V2926" s="7"/>
      <c r="W2926" s="11">
        <v>2015</v>
      </c>
      <c r="X2926" s="12" t="s">
        <v>6562</v>
      </c>
    </row>
    <row r="2927" spans="1:24" s="13" customFormat="1" ht="76.5" customHeight="1" outlineLevel="1" x14ac:dyDescent="0.2">
      <c r="A2927" s="1" t="s">
        <v>6784</v>
      </c>
      <c r="B2927" s="2" t="s">
        <v>5277</v>
      </c>
      <c r="C2927" s="2" t="s">
        <v>3159</v>
      </c>
      <c r="D2927" s="2" t="s">
        <v>6001</v>
      </c>
      <c r="E2927" s="2" t="s">
        <v>6002</v>
      </c>
      <c r="F2927" s="2" t="s">
        <v>3158</v>
      </c>
      <c r="G2927" s="3" t="s">
        <v>3190</v>
      </c>
      <c r="H2927" s="5">
        <v>0</v>
      </c>
      <c r="I2927" s="6">
        <v>710000000</v>
      </c>
      <c r="J2927" s="4" t="s">
        <v>1931</v>
      </c>
      <c r="K2927" s="4" t="s">
        <v>5297</v>
      </c>
      <c r="L2927" s="3" t="s">
        <v>1165</v>
      </c>
      <c r="M2927" s="8" t="s">
        <v>3195</v>
      </c>
      <c r="N2927" s="3" t="s">
        <v>1890</v>
      </c>
      <c r="O2927" s="8" t="s">
        <v>1935</v>
      </c>
      <c r="P2927" s="8">
        <v>796</v>
      </c>
      <c r="Q2927" s="8" t="s">
        <v>3196</v>
      </c>
      <c r="R2927" s="69">
        <f>36+4</f>
        <v>40</v>
      </c>
      <c r="S2927" s="69">
        <v>730.36</v>
      </c>
      <c r="T2927" s="10">
        <v>0</v>
      </c>
      <c r="U2927" s="10">
        <f t="shared" si="1763"/>
        <v>0</v>
      </c>
      <c r="V2927" s="7"/>
      <c r="W2927" s="1">
        <v>2015</v>
      </c>
      <c r="X2927" s="62" t="s">
        <v>7518</v>
      </c>
    </row>
    <row r="2928" spans="1:24" s="13" customFormat="1" ht="76.5" customHeight="1" outlineLevel="1" x14ac:dyDescent="0.2">
      <c r="A2928" s="1" t="s">
        <v>7989</v>
      </c>
      <c r="B2928" s="2" t="s">
        <v>5277</v>
      </c>
      <c r="C2928" s="2" t="s">
        <v>3159</v>
      </c>
      <c r="D2928" s="2" t="s">
        <v>6001</v>
      </c>
      <c r="E2928" s="2" t="s">
        <v>6002</v>
      </c>
      <c r="F2928" s="2" t="s">
        <v>3158</v>
      </c>
      <c r="G2928" s="3" t="s">
        <v>3190</v>
      </c>
      <c r="H2928" s="5">
        <v>0</v>
      </c>
      <c r="I2928" s="6">
        <v>710000000</v>
      </c>
      <c r="J2928" s="4" t="s">
        <v>1931</v>
      </c>
      <c r="K2928" s="4" t="s">
        <v>756</v>
      </c>
      <c r="L2928" s="3" t="s">
        <v>1165</v>
      </c>
      <c r="M2928" s="8" t="s">
        <v>3195</v>
      </c>
      <c r="N2928" s="3" t="s">
        <v>1890</v>
      </c>
      <c r="O2928" s="8" t="s">
        <v>1935</v>
      </c>
      <c r="P2928" s="8">
        <v>796</v>
      </c>
      <c r="Q2928" s="8" t="s">
        <v>3196</v>
      </c>
      <c r="R2928" s="69">
        <v>35</v>
      </c>
      <c r="S2928" s="69">
        <v>730.36</v>
      </c>
      <c r="T2928" s="10">
        <f t="shared" ref="T2928" si="1798">S2928*R2928</f>
        <v>25562.600000000002</v>
      </c>
      <c r="U2928" s="10">
        <f t="shared" ref="U2928" si="1799">T2928*1.12</f>
        <v>28630.112000000005</v>
      </c>
      <c r="V2928" s="7"/>
      <c r="W2928" s="1">
        <v>2015</v>
      </c>
      <c r="X2928" s="62"/>
    </row>
    <row r="2929" spans="1:24" s="13" customFormat="1" ht="76.5" customHeight="1" outlineLevel="1" x14ac:dyDescent="0.2">
      <c r="A2929" s="1" t="s">
        <v>2856</v>
      </c>
      <c r="B2929" s="2" t="s">
        <v>5277</v>
      </c>
      <c r="C2929" s="2" t="s">
        <v>3157</v>
      </c>
      <c r="D2929" s="2" t="s">
        <v>6001</v>
      </c>
      <c r="E2929" s="2" t="s">
        <v>6003</v>
      </c>
      <c r="F2929" s="2" t="s">
        <v>3156</v>
      </c>
      <c r="G2929" s="3" t="s">
        <v>3190</v>
      </c>
      <c r="H2929" s="5">
        <v>0</v>
      </c>
      <c r="I2929" s="6">
        <v>710000000</v>
      </c>
      <c r="J2929" s="4" t="s">
        <v>1931</v>
      </c>
      <c r="K2929" s="4" t="s">
        <v>5297</v>
      </c>
      <c r="L2929" s="3" t="s">
        <v>1165</v>
      </c>
      <c r="M2929" s="8" t="s">
        <v>3195</v>
      </c>
      <c r="N2929" s="3" t="s">
        <v>1890</v>
      </c>
      <c r="O2929" s="8" t="s">
        <v>1935</v>
      </c>
      <c r="P2929" s="8">
        <v>796</v>
      </c>
      <c r="Q2929" s="8" t="s">
        <v>3196</v>
      </c>
      <c r="R2929" s="69">
        <f>16+16</f>
        <v>32</v>
      </c>
      <c r="S2929" s="69">
        <v>0</v>
      </c>
      <c r="T2929" s="10">
        <f t="shared" ref="T2929" si="1800">S2929*R2929</f>
        <v>0</v>
      </c>
      <c r="U2929" s="10">
        <f t="shared" si="1763"/>
        <v>0</v>
      </c>
      <c r="V2929" s="7"/>
      <c r="W2929" s="1">
        <v>2015</v>
      </c>
      <c r="X2929" s="62" t="s">
        <v>7518</v>
      </c>
    </row>
    <row r="2930" spans="1:24" s="13" customFormat="1" ht="76.5" customHeight="1" outlineLevel="1" x14ac:dyDescent="0.2">
      <c r="A2930" s="1" t="s">
        <v>7990</v>
      </c>
      <c r="B2930" s="2" t="s">
        <v>5277</v>
      </c>
      <c r="C2930" s="2" t="s">
        <v>3157</v>
      </c>
      <c r="D2930" s="2" t="s">
        <v>6001</v>
      </c>
      <c r="E2930" s="2" t="s">
        <v>6003</v>
      </c>
      <c r="F2930" s="2" t="s">
        <v>3156</v>
      </c>
      <c r="G2930" s="3" t="s">
        <v>3190</v>
      </c>
      <c r="H2930" s="5">
        <v>0</v>
      </c>
      <c r="I2930" s="6">
        <v>710000000</v>
      </c>
      <c r="J2930" s="4" t="s">
        <v>1931</v>
      </c>
      <c r="K2930" s="4" t="s">
        <v>756</v>
      </c>
      <c r="L2930" s="3" t="s">
        <v>1165</v>
      </c>
      <c r="M2930" s="8" t="s">
        <v>3195</v>
      </c>
      <c r="N2930" s="3" t="s">
        <v>1890</v>
      </c>
      <c r="O2930" s="8" t="s">
        <v>1935</v>
      </c>
      <c r="P2930" s="8">
        <v>796</v>
      </c>
      <c r="Q2930" s="8" t="s">
        <v>3196</v>
      </c>
      <c r="R2930" s="69">
        <f>16+16</f>
        <v>32</v>
      </c>
      <c r="S2930" s="69">
        <v>739.29</v>
      </c>
      <c r="T2930" s="10">
        <f t="shared" ref="T2930" si="1801">S2930*R2930</f>
        <v>23657.279999999999</v>
      </c>
      <c r="U2930" s="10">
        <f t="shared" ref="U2930" si="1802">T2930*1.12</f>
        <v>26496.153600000001</v>
      </c>
      <c r="V2930" s="7"/>
      <c r="W2930" s="1">
        <v>2015</v>
      </c>
      <c r="X2930" s="62"/>
    </row>
    <row r="2931" spans="1:24" s="13" customFormat="1" ht="76.5" customHeight="1" outlineLevel="1" x14ac:dyDescent="0.2">
      <c r="A2931" s="1" t="s">
        <v>2857</v>
      </c>
      <c r="B2931" s="38" t="s">
        <v>5277</v>
      </c>
      <c r="C2931" s="2" t="s">
        <v>3155</v>
      </c>
      <c r="D2931" s="2" t="s">
        <v>6001</v>
      </c>
      <c r="E2931" s="2" t="s">
        <v>1263</v>
      </c>
      <c r="F2931" s="39" t="s">
        <v>3154</v>
      </c>
      <c r="G2931" s="50" t="s">
        <v>3190</v>
      </c>
      <c r="H2931" s="5">
        <v>0</v>
      </c>
      <c r="I2931" s="6">
        <v>710000000</v>
      </c>
      <c r="J2931" s="4" t="s">
        <v>1931</v>
      </c>
      <c r="K2931" s="4" t="s">
        <v>5297</v>
      </c>
      <c r="L2931" s="3" t="s">
        <v>1165</v>
      </c>
      <c r="M2931" s="8" t="s">
        <v>3195</v>
      </c>
      <c r="N2931" s="3" t="s">
        <v>1890</v>
      </c>
      <c r="O2931" s="8" t="s">
        <v>1935</v>
      </c>
      <c r="P2931" s="8">
        <v>796</v>
      </c>
      <c r="Q2931" s="8" t="s">
        <v>3196</v>
      </c>
      <c r="R2931" s="9">
        <f>36+16</f>
        <v>52</v>
      </c>
      <c r="S2931" s="9">
        <v>575.89</v>
      </c>
      <c r="T2931" s="10">
        <v>0</v>
      </c>
      <c r="U2931" s="10">
        <f t="shared" si="1763"/>
        <v>0</v>
      </c>
      <c r="V2931" s="7"/>
      <c r="W2931" s="11">
        <v>2015</v>
      </c>
      <c r="X2931" s="12" t="s">
        <v>6562</v>
      </c>
    </row>
    <row r="2932" spans="1:24" s="13" customFormat="1" ht="76.5" customHeight="1" outlineLevel="1" x14ac:dyDescent="0.2">
      <c r="A2932" s="1" t="s">
        <v>6785</v>
      </c>
      <c r="B2932" s="2" t="s">
        <v>5277</v>
      </c>
      <c r="C2932" s="2" t="s">
        <v>3155</v>
      </c>
      <c r="D2932" s="2" t="s">
        <v>6001</v>
      </c>
      <c r="E2932" s="2" t="s">
        <v>1263</v>
      </c>
      <c r="F2932" s="2" t="s">
        <v>3154</v>
      </c>
      <c r="G2932" s="3" t="s">
        <v>3190</v>
      </c>
      <c r="H2932" s="5">
        <v>0</v>
      </c>
      <c r="I2932" s="6">
        <v>710000000</v>
      </c>
      <c r="J2932" s="4" t="s">
        <v>1931</v>
      </c>
      <c r="K2932" s="4" t="s">
        <v>5297</v>
      </c>
      <c r="L2932" s="3" t="s">
        <v>1165</v>
      </c>
      <c r="M2932" s="8" t="s">
        <v>3195</v>
      </c>
      <c r="N2932" s="3" t="s">
        <v>1890</v>
      </c>
      <c r="O2932" s="8" t="s">
        <v>1935</v>
      </c>
      <c r="P2932" s="8">
        <v>796</v>
      </c>
      <c r="Q2932" s="8" t="s">
        <v>3196</v>
      </c>
      <c r="R2932" s="69">
        <f>33+16</f>
        <v>49</v>
      </c>
      <c r="S2932" s="69">
        <v>575.89</v>
      </c>
      <c r="T2932" s="10">
        <v>0</v>
      </c>
      <c r="U2932" s="10">
        <f t="shared" si="1763"/>
        <v>0</v>
      </c>
      <c r="V2932" s="7"/>
      <c r="W2932" s="1">
        <v>2015</v>
      </c>
      <c r="X2932" s="62" t="s">
        <v>7518</v>
      </c>
    </row>
    <row r="2933" spans="1:24" s="13" customFormat="1" ht="76.5" customHeight="1" outlineLevel="1" x14ac:dyDescent="0.2">
      <c r="A2933" s="1" t="s">
        <v>7991</v>
      </c>
      <c r="B2933" s="2" t="s">
        <v>5277</v>
      </c>
      <c r="C2933" s="2" t="s">
        <v>3155</v>
      </c>
      <c r="D2933" s="2" t="s">
        <v>6001</v>
      </c>
      <c r="E2933" s="2" t="s">
        <v>1263</v>
      </c>
      <c r="F2933" s="2" t="s">
        <v>3154</v>
      </c>
      <c r="G2933" s="3" t="s">
        <v>3190</v>
      </c>
      <c r="H2933" s="5">
        <v>0</v>
      </c>
      <c r="I2933" s="6">
        <v>710000000</v>
      </c>
      <c r="J2933" s="4" t="s">
        <v>1931</v>
      </c>
      <c r="K2933" s="4" t="s">
        <v>756</v>
      </c>
      <c r="L2933" s="3" t="s">
        <v>1165</v>
      </c>
      <c r="M2933" s="8" t="s">
        <v>3195</v>
      </c>
      <c r="N2933" s="3" t="s">
        <v>1890</v>
      </c>
      <c r="O2933" s="8" t="s">
        <v>1935</v>
      </c>
      <c r="P2933" s="8">
        <v>796</v>
      </c>
      <c r="Q2933" s="8" t="s">
        <v>3196</v>
      </c>
      <c r="R2933" s="69">
        <v>30</v>
      </c>
      <c r="S2933" s="69">
        <v>575.89</v>
      </c>
      <c r="T2933" s="10">
        <f t="shared" ref="T2933" si="1803">S2933*R2933</f>
        <v>17276.7</v>
      </c>
      <c r="U2933" s="10">
        <f t="shared" ref="U2933" si="1804">T2933*1.12</f>
        <v>19349.904000000002</v>
      </c>
      <c r="V2933" s="7"/>
      <c r="W2933" s="1">
        <v>2015</v>
      </c>
      <c r="X2933" s="62"/>
    </row>
    <row r="2934" spans="1:24" s="13" customFormat="1" ht="76.5" customHeight="1" outlineLevel="1" x14ac:dyDescent="0.2">
      <c r="A2934" s="1" t="s">
        <v>2858</v>
      </c>
      <c r="B2934" s="38" t="s">
        <v>5277</v>
      </c>
      <c r="C2934" s="2" t="s">
        <v>1254</v>
      </c>
      <c r="D2934" s="2" t="s">
        <v>1253</v>
      </c>
      <c r="E2934" s="6" t="s">
        <v>1252</v>
      </c>
      <c r="F2934" s="6"/>
      <c r="G2934" s="50" t="s">
        <v>3190</v>
      </c>
      <c r="H2934" s="5">
        <v>0</v>
      </c>
      <c r="I2934" s="6">
        <v>710000000</v>
      </c>
      <c r="J2934" s="4" t="s">
        <v>1931</v>
      </c>
      <c r="K2934" s="4" t="s">
        <v>5297</v>
      </c>
      <c r="L2934" s="3" t="s">
        <v>1165</v>
      </c>
      <c r="M2934" s="8" t="s">
        <v>3195</v>
      </c>
      <c r="N2934" s="3" t="s">
        <v>1890</v>
      </c>
      <c r="O2934" s="8" t="s">
        <v>1935</v>
      </c>
      <c r="P2934" s="8">
        <v>796</v>
      </c>
      <c r="Q2934" s="8" t="s">
        <v>3196</v>
      </c>
      <c r="R2934" s="9">
        <f>26+12</f>
        <v>38</v>
      </c>
      <c r="S2934" s="9">
        <v>1433.04</v>
      </c>
      <c r="T2934" s="10">
        <v>0</v>
      </c>
      <c r="U2934" s="10">
        <f t="shared" si="1763"/>
        <v>0</v>
      </c>
      <c r="V2934" s="7"/>
      <c r="W2934" s="11">
        <v>2015</v>
      </c>
      <c r="X2934" s="12" t="s">
        <v>6562</v>
      </c>
    </row>
    <row r="2935" spans="1:24" s="13" customFormat="1" ht="76.5" customHeight="1" outlineLevel="1" x14ac:dyDescent="0.2">
      <c r="A2935" s="1" t="s">
        <v>6786</v>
      </c>
      <c r="B2935" s="2" t="s">
        <v>5277</v>
      </c>
      <c r="C2935" s="2" t="s">
        <v>1254</v>
      </c>
      <c r="D2935" s="2" t="s">
        <v>1253</v>
      </c>
      <c r="E2935" s="6" t="s">
        <v>1252</v>
      </c>
      <c r="F2935" s="6"/>
      <c r="G2935" s="3" t="s">
        <v>3190</v>
      </c>
      <c r="H2935" s="5">
        <v>0</v>
      </c>
      <c r="I2935" s="6">
        <v>710000000</v>
      </c>
      <c r="J2935" s="4" t="s">
        <v>1931</v>
      </c>
      <c r="K2935" s="4" t="s">
        <v>5297</v>
      </c>
      <c r="L2935" s="3" t="s">
        <v>1165</v>
      </c>
      <c r="M2935" s="8" t="s">
        <v>3195</v>
      </c>
      <c r="N2935" s="3" t="s">
        <v>1890</v>
      </c>
      <c r="O2935" s="8" t="s">
        <v>1935</v>
      </c>
      <c r="P2935" s="8">
        <v>796</v>
      </c>
      <c r="Q2935" s="8" t="s">
        <v>3196</v>
      </c>
      <c r="R2935" s="69">
        <f>18+8</f>
        <v>26</v>
      </c>
      <c r="S2935" s="69">
        <v>1433.04</v>
      </c>
      <c r="T2935" s="10">
        <v>0</v>
      </c>
      <c r="U2935" s="10">
        <f t="shared" si="1763"/>
        <v>0</v>
      </c>
      <c r="V2935" s="7"/>
      <c r="W2935" s="1">
        <v>2015</v>
      </c>
      <c r="X2935" s="62" t="s">
        <v>7518</v>
      </c>
    </row>
    <row r="2936" spans="1:24" s="13" customFormat="1" ht="76.5" customHeight="1" outlineLevel="1" x14ac:dyDescent="0.2">
      <c r="A2936" s="1" t="s">
        <v>7992</v>
      </c>
      <c r="B2936" s="2" t="s">
        <v>5277</v>
      </c>
      <c r="C2936" s="2" t="s">
        <v>1254</v>
      </c>
      <c r="D2936" s="2" t="s">
        <v>1253</v>
      </c>
      <c r="E2936" s="6" t="s">
        <v>1252</v>
      </c>
      <c r="F2936" s="6"/>
      <c r="G2936" s="3" t="s">
        <v>3190</v>
      </c>
      <c r="H2936" s="5">
        <v>0</v>
      </c>
      <c r="I2936" s="6">
        <v>710000000</v>
      </c>
      <c r="J2936" s="4" t="s">
        <v>1931</v>
      </c>
      <c r="K2936" s="4" t="s">
        <v>756</v>
      </c>
      <c r="L2936" s="3" t="s">
        <v>1165</v>
      </c>
      <c r="M2936" s="8" t="s">
        <v>3195</v>
      </c>
      <c r="N2936" s="3" t="s">
        <v>1890</v>
      </c>
      <c r="O2936" s="8" t="s">
        <v>1935</v>
      </c>
      <c r="P2936" s="8">
        <v>796</v>
      </c>
      <c r="Q2936" s="8" t="s">
        <v>3196</v>
      </c>
      <c r="R2936" s="69">
        <v>20</v>
      </c>
      <c r="S2936" s="69">
        <v>1433.04</v>
      </c>
      <c r="T2936" s="10">
        <f t="shared" ref="T2936" si="1805">S2936*R2936</f>
        <v>28660.799999999999</v>
      </c>
      <c r="U2936" s="10">
        <f t="shared" ref="U2936" si="1806">T2936*1.12</f>
        <v>32100.096000000001</v>
      </c>
      <c r="V2936" s="7"/>
      <c r="W2936" s="1">
        <v>2015</v>
      </c>
      <c r="X2936" s="62"/>
    </row>
    <row r="2937" spans="1:24" s="13" customFormat="1" ht="76.5" customHeight="1" outlineLevel="1" x14ac:dyDescent="0.2">
      <c r="A2937" s="1" t="s">
        <v>2859</v>
      </c>
      <c r="B2937" s="2" t="s">
        <v>5277</v>
      </c>
      <c r="C2937" s="2" t="s">
        <v>3152</v>
      </c>
      <c r="D2937" s="2" t="s">
        <v>3151</v>
      </c>
      <c r="E2937" s="6" t="s">
        <v>6005</v>
      </c>
      <c r="F2937" s="2"/>
      <c r="G2937" s="3" t="s">
        <v>3190</v>
      </c>
      <c r="H2937" s="5">
        <v>0</v>
      </c>
      <c r="I2937" s="6">
        <v>710000000</v>
      </c>
      <c r="J2937" s="4" t="s">
        <v>1931</v>
      </c>
      <c r="K2937" s="4" t="s">
        <v>5297</v>
      </c>
      <c r="L2937" s="3" t="s">
        <v>1165</v>
      </c>
      <c r="M2937" s="8" t="s">
        <v>3195</v>
      </c>
      <c r="N2937" s="3" t="s">
        <v>1890</v>
      </c>
      <c r="O2937" s="8" t="s">
        <v>1935</v>
      </c>
      <c r="P2937" s="8">
        <v>796</v>
      </c>
      <c r="Q2937" s="8" t="s">
        <v>3196</v>
      </c>
      <c r="R2937" s="69">
        <f>36+4</f>
        <v>40</v>
      </c>
      <c r="S2937" s="69">
        <v>1433.04</v>
      </c>
      <c r="T2937" s="10">
        <v>0</v>
      </c>
      <c r="U2937" s="10">
        <f t="shared" si="1763"/>
        <v>0</v>
      </c>
      <c r="V2937" s="7"/>
      <c r="W2937" s="1">
        <v>2015</v>
      </c>
      <c r="X2937" s="62" t="s">
        <v>7518</v>
      </c>
    </row>
    <row r="2938" spans="1:24" s="13" customFormat="1" ht="76.5" customHeight="1" outlineLevel="1" x14ac:dyDescent="0.2">
      <c r="A2938" s="1" t="s">
        <v>7993</v>
      </c>
      <c r="B2938" s="2" t="s">
        <v>5277</v>
      </c>
      <c r="C2938" s="2" t="s">
        <v>3152</v>
      </c>
      <c r="D2938" s="2" t="s">
        <v>3151</v>
      </c>
      <c r="E2938" s="6" t="s">
        <v>6005</v>
      </c>
      <c r="F2938" s="2"/>
      <c r="G2938" s="3" t="s">
        <v>3190</v>
      </c>
      <c r="H2938" s="5">
        <v>0</v>
      </c>
      <c r="I2938" s="6">
        <v>710000000</v>
      </c>
      <c r="J2938" s="4" t="s">
        <v>1931</v>
      </c>
      <c r="K2938" s="4" t="s">
        <v>756</v>
      </c>
      <c r="L2938" s="3" t="s">
        <v>1165</v>
      </c>
      <c r="M2938" s="8" t="s">
        <v>3195</v>
      </c>
      <c r="N2938" s="3" t="s">
        <v>1890</v>
      </c>
      <c r="O2938" s="8" t="s">
        <v>1935</v>
      </c>
      <c r="P2938" s="8">
        <v>796</v>
      </c>
      <c r="Q2938" s="8" t="s">
        <v>3196</v>
      </c>
      <c r="R2938" s="69">
        <v>30</v>
      </c>
      <c r="S2938" s="69">
        <v>1433.04</v>
      </c>
      <c r="T2938" s="10">
        <f t="shared" ref="T2938" si="1807">S2938*R2938</f>
        <v>42991.199999999997</v>
      </c>
      <c r="U2938" s="10">
        <f t="shared" ref="U2938" si="1808">T2938*1.12</f>
        <v>48150.144</v>
      </c>
      <c r="V2938" s="7"/>
      <c r="W2938" s="1">
        <v>2015</v>
      </c>
      <c r="X2938" s="62"/>
    </row>
    <row r="2939" spans="1:24" s="13" customFormat="1" ht="76.5" customHeight="1" outlineLevel="1" x14ac:dyDescent="0.2">
      <c r="A2939" s="1" t="s">
        <v>2860</v>
      </c>
      <c r="B2939" s="2" t="s">
        <v>5277</v>
      </c>
      <c r="C2939" s="2" t="s">
        <v>3149</v>
      </c>
      <c r="D2939" s="2" t="s">
        <v>6006</v>
      </c>
      <c r="E2939" s="2" t="s">
        <v>6007</v>
      </c>
      <c r="F2939" s="2"/>
      <c r="G2939" s="3" t="s">
        <v>3190</v>
      </c>
      <c r="H2939" s="5">
        <v>0</v>
      </c>
      <c r="I2939" s="6">
        <v>710000000</v>
      </c>
      <c r="J2939" s="4" t="s">
        <v>1931</v>
      </c>
      <c r="K2939" s="4" t="s">
        <v>5297</v>
      </c>
      <c r="L2939" s="3" t="s">
        <v>1165</v>
      </c>
      <c r="M2939" s="8" t="s">
        <v>3195</v>
      </c>
      <c r="N2939" s="3" t="s">
        <v>1890</v>
      </c>
      <c r="O2939" s="8" t="s">
        <v>1935</v>
      </c>
      <c r="P2939" s="62">
        <v>166</v>
      </c>
      <c r="Q2939" s="3" t="s">
        <v>3324</v>
      </c>
      <c r="R2939" s="69">
        <f>7.6+8</f>
        <v>15.6</v>
      </c>
      <c r="S2939" s="69">
        <v>1651.79</v>
      </c>
      <c r="T2939" s="10">
        <v>0</v>
      </c>
      <c r="U2939" s="10">
        <f t="shared" si="1763"/>
        <v>0</v>
      </c>
      <c r="V2939" s="7"/>
      <c r="W2939" s="1">
        <v>2015</v>
      </c>
      <c r="X2939" s="62" t="s">
        <v>7518</v>
      </c>
    </row>
    <row r="2940" spans="1:24" s="13" customFormat="1" ht="76.5" customHeight="1" outlineLevel="1" x14ac:dyDescent="0.2">
      <c r="A2940" s="1" t="s">
        <v>7994</v>
      </c>
      <c r="B2940" s="2" t="s">
        <v>5277</v>
      </c>
      <c r="C2940" s="2" t="s">
        <v>3149</v>
      </c>
      <c r="D2940" s="2" t="s">
        <v>6006</v>
      </c>
      <c r="E2940" s="2" t="s">
        <v>6007</v>
      </c>
      <c r="F2940" s="2"/>
      <c r="G2940" s="3" t="s">
        <v>3190</v>
      </c>
      <c r="H2940" s="5">
        <v>0</v>
      </c>
      <c r="I2940" s="6">
        <v>710000000</v>
      </c>
      <c r="J2940" s="4" t="s">
        <v>1931</v>
      </c>
      <c r="K2940" s="4" t="s">
        <v>756</v>
      </c>
      <c r="L2940" s="3" t="s">
        <v>1165</v>
      </c>
      <c r="M2940" s="8" t="s">
        <v>3195</v>
      </c>
      <c r="N2940" s="3" t="s">
        <v>1890</v>
      </c>
      <c r="O2940" s="8" t="s">
        <v>1935</v>
      </c>
      <c r="P2940" s="62">
        <v>166</v>
      </c>
      <c r="Q2940" s="3" t="s">
        <v>3324</v>
      </c>
      <c r="R2940" s="69">
        <v>7</v>
      </c>
      <c r="S2940" s="69">
        <v>1651.79</v>
      </c>
      <c r="T2940" s="10">
        <f t="shared" ref="T2940" si="1809">S2940*R2940</f>
        <v>11562.529999999999</v>
      </c>
      <c r="U2940" s="10">
        <f t="shared" ref="U2940" si="1810">T2940*1.12</f>
        <v>12950.033600000001</v>
      </c>
      <c r="V2940" s="7"/>
      <c r="W2940" s="1">
        <v>2015</v>
      </c>
      <c r="X2940" s="62"/>
    </row>
    <row r="2941" spans="1:24" s="13" customFormat="1" ht="76.5" customHeight="1" outlineLevel="1" x14ac:dyDescent="0.2">
      <c r="A2941" s="1" t="s">
        <v>2861</v>
      </c>
      <c r="B2941" s="38" t="s">
        <v>5277</v>
      </c>
      <c r="C2941" s="2" t="s">
        <v>3148</v>
      </c>
      <c r="D2941" s="2" t="s">
        <v>6010</v>
      </c>
      <c r="E2941" s="6" t="s">
        <v>6011</v>
      </c>
      <c r="F2941" s="39"/>
      <c r="G2941" s="50" t="s">
        <v>3190</v>
      </c>
      <c r="H2941" s="5">
        <v>0</v>
      </c>
      <c r="I2941" s="6">
        <v>710000000</v>
      </c>
      <c r="J2941" s="4" t="s">
        <v>1931</v>
      </c>
      <c r="K2941" s="4" t="s">
        <v>5297</v>
      </c>
      <c r="L2941" s="3" t="s">
        <v>1165</v>
      </c>
      <c r="M2941" s="8" t="s">
        <v>3195</v>
      </c>
      <c r="N2941" s="3" t="s">
        <v>1890</v>
      </c>
      <c r="O2941" s="8" t="s">
        <v>1935</v>
      </c>
      <c r="P2941" s="8">
        <v>796</v>
      </c>
      <c r="Q2941" s="8" t="s">
        <v>3196</v>
      </c>
      <c r="R2941" s="9">
        <f>7+2</f>
        <v>9</v>
      </c>
      <c r="S2941" s="9">
        <v>9500</v>
      </c>
      <c r="T2941" s="10">
        <v>0</v>
      </c>
      <c r="U2941" s="10">
        <f t="shared" si="1763"/>
        <v>0</v>
      </c>
      <c r="V2941" s="7"/>
      <c r="W2941" s="11">
        <v>2015</v>
      </c>
      <c r="X2941" s="12" t="s">
        <v>6562</v>
      </c>
    </row>
    <row r="2942" spans="1:24" s="13" customFormat="1" ht="76.5" customHeight="1" outlineLevel="1" x14ac:dyDescent="0.2">
      <c r="A2942" s="1" t="s">
        <v>6787</v>
      </c>
      <c r="B2942" s="2" t="s">
        <v>5277</v>
      </c>
      <c r="C2942" s="2" t="s">
        <v>3148</v>
      </c>
      <c r="D2942" s="2" t="s">
        <v>6010</v>
      </c>
      <c r="E2942" s="6" t="s">
        <v>6011</v>
      </c>
      <c r="F2942" s="2"/>
      <c r="G2942" s="3" t="s">
        <v>3190</v>
      </c>
      <c r="H2942" s="5">
        <v>0</v>
      </c>
      <c r="I2942" s="6">
        <v>710000000</v>
      </c>
      <c r="J2942" s="4" t="s">
        <v>1931</v>
      </c>
      <c r="K2942" s="4" t="s">
        <v>5297</v>
      </c>
      <c r="L2942" s="3" t="s">
        <v>1165</v>
      </c>
      <c r="M2942" s="8" t="s">
        <v>3195</v>
      </c>
      <c r="N2942" s="3" t="s">
        <v>1890</v>
      </c>
      <c r="O2942" s="8" t="s">
        <v>1935</v>
      </c>
      <c r="P2942" s="8">
        <v>796</v>
      </c>
      <c r="Q2942" s="8" t="s">
        <v>3196</v>
      </c>
      <c r="R2942" s="69">
        <f>7+1</f>
        <v>8</v>
      </c>
      <c r="S2942" s="69">
        <v>9500</v>
      </c>
      <c r="T2942" s="10">
        <v>0</v>
      </c>
      <c r="U2942" s="10">
        <f t="shared" si="1763"/>
        <v>0</v>
      </c>
      <c r="V2942" s="7"/>
      <c r="W2942" s="1">
        <v>2015</v>
      </c>
      <c r="X2942" s="62" t="s">
        <v>7518</v>
      </c>
    </row>
    <row r="2943" spans="1:24" s="13" customFormat="1" ht="76.5" customHeight="1" outlineLevel="1" x14ac:dyDescent="0.2">
      <c r="A2943" s="1" t="s">
        <v>7995</v>
      </c>
      <c r="B2943" s="2" t="s">
        <v>5277</v>
      </c>
      <c r="C2943" s="2" t="s">
        <v>3148</v>
      </c>
      <c r="D2943" s="2" t="s">
        <v>6010</v>
      </c>
      <c r="E2943" s="6" t="s">
        <v>6011</v>
      </c>
      <c r="F2943" s="2"/>
      <c r="G2943" s="3" t="s">
        <v>3190</v>
      </c>
      <c r="H2943" s="5">
        <v>0</v>
      </c>
      <c r="I2943" s="6">
        <v>710000000</v>
      </c>
      <c r="J2943" s="4" t="s">
        <v>1931</v>
      </c>
      <c r="K2943" s="4" t="s">
        <v>756</v>
      </c>
      <c r="L2943" s="3" t="s">
        <v>1165</v>
      </c>
      <c r="M2943" s="8" t="s">
        <v>3195</v>
      </c>
      <c r="N2943" s="3" t="s">
        <v>1890</v>
      </c>
      <c r="O2943" s="8" t="s">
        <v>1935</v>
      </c>
      <c r="P2943" s="8">
        <v>796</v>
      </c>
      <c r="Q2943" s="8" t="s">
        <v>3196</v>
      </c>
      <c r="R2943" s="69">
        <v>5</v>
      </c>
      <c r="S2943" s="69">
        <v>9500</v>
      </c>
      <c r="T2943" s="10">
        <f t="shared" ref="T2943" si="1811">S2943*R2943</f>
        <v>47500</v>
      </c>
      <c r="U2943" s="10">
        <f t="shared" ref="U2943" si="1812">T2943*1.12</f>
        <v>53200.000000000007</v>
      </c>
      <c r="V2943" s="7"/>
      <c r="W2943" s="1">
        <v>2015</v>
      </c>
      <c r="X2943" s="62"/>
    </row>
    <row r="2944" spans="1:24" s="13" customFormat="1" ht="76.5" customHeight="1" outlineLevel="1" x14ac:dyDescent="0.2">
      <c r="A2944" s="1" t="s">
        <v>2862</v>
      </c>
      <c r="B2944" s="38" t="s">
        <v>5277</v>
      </c>
      <c r="C2944" s="2" t="s">
        <v>56</v>
      </c>
      <c r="D2944" s="2" t="s">
        <v>55</v>
      </c>
      <c r="E2944" s="2" t="s">
        <v>54</v>
      </c>
      <c r="F2944" s="39"/>
      <c r="G2944" s="50" t="s">
        <v>3190</v>
      </c>
      <c r="H2944" s="5">
        <v>0</v>
      </c>
      <c r="I2944" s="6">
        <v>710000000</v>
      </c>
      <c r="J2944" s="4" t="s">
        <v>1931</v>
      </c>
      <c r="K2944" s="4" t="s">
        <v>5297</v>
      </c>
      <c r="L2944" s="3" t="s">
        <v>1165</v>
      </c>
      <c r="M2944" s="8" t="s">
        <v>3195</v>
      </c>
      <c r="N2944" s="3" t="s">
        <v>1890</v>
      </c>
      <c r="O2944" s="8" t="s">
        <v>1935</v>
      </c>
      <c r="P2944" s="62">
        <v>839</v>
      </c>
      <c r="Q2944" s="3" t="s">
        <v>5413</v>
      </c>
      <c r="R2944" s="9">
        <f>3+2</f>
        <v>5</v>
      </c>
      <c r="S2944" s="9">
        <v>17513.39</v>
      </c>
      <c r="T2944" s="10">
        <v>0</v>
      </c>
      <c r="U2944" s="10">
        <f t="shared" si="1763"/>
        <v>0</v>
      </c>
      <c r="V2944" s="7"/>
      <c r="W2944" s="11">
        <v>2015</v>
      </c>
      <c r="X2944" s="12" t="s">
        <v>6562</v>
      </c>
    </row>
    <row r="2945" spans="1:24" s="13" customFormat="1" ht="76.5" customHeight="1" outlineLevel="1" x14ac:dyDescent="0.2">
      <c r="A2945" s="1" t="s">
        <v>6788</v>
      </c>
      <c r="B2945" s="2" t="s">
        <v>5277</v>
      </c>
      <c r="C2945" s="2" t="s">
        <v>56</v>
      </c>
      <c r="D2945" s="2" t="s">
        <v>55</v>
      </c>
      <c r="E2945" s="2" t="s">
        <v>54</v>
      </c>
      <c r="F2945" s="2"/>
      <c r="G2945" s="3" t="s">
        <v>3190</v>
      </c>
      <c r="H2945" s="5">
        <v>0</v>
      </c>
      <c r="I2945" s="6">
        <v>710000000</v>
      </c>
      <c r="J2945" s="4" t="s">
        <v>1931</v>
      </c>
      <c r="K2945" s="4" t="s">
        <v>5297</v>
      </c>
      <c r="L2945" s="3" t="s">
        <v>1165</v>
      </c>
      <c r="M2945" s="8" t="s">
        <v>3195</v>
      </c>
      <c r="N2945" s="3" t="s">
        <v>1890</v>
      </c>
      <c r="O2945" s="8" t="s">
        <v>1935</v>
      </c>
      <c r="P2945" s="62">
        <v>839</v>
      </c>
      <c r="Q2945" s="3" t="s">
        <v>5413</v>
      </c>
      <c r="R2945" s="69">
        <f>2+1</f>
        <v>3</v>
      </c>
      <c r="S2945" s="69">
        <v>17513.39</v>
      </c>
      <c r="T2945" s="10">
        <v>0</v>
      </c>
      <c r="U2945" s="10">
        <f t="shared" si="1763"/>
        <v>0</v>
      </c>
      <c r="V2945" s="7"/>
      <c r="W2945" s="1">
        <v>2015</v>
      </c>
      <c r="X2945" s="62" t="s">
        <v>7518</v>
      </c>
    </row>
    <row r="2946" spans="1:24" s="13" customFormat="1" ht="76.5" customHeight="1" outlineLevel="1" x14ac:dyDescent="0.2">
      <c r="A2946" s="1" t="s">
        <v>7996</v>
      </c>
      <c r="B2946" s="2" t="s">
        <v>5277</v>
      </c>
      <c r="C2946" s="2" t="s">
        <v>56</v>
      </c>
      <c r="D2946" s="2" t="s">
        <v>55</v>
      </c>
      <c r="E2946" s="2" t="s">
        <v>54</v>
      </c>
      <c r="F2946" s="2"/>
      <c r="G2946" s="3" t="s">
        <v>3190</v>
      </c>
      <c r="H2946" s="5">
        <v>0</v>
      </c>
      <c r="I2946" s="6">
        <v>710000000</v>
      </c>
      <c r="J2946" s="4" t="s">
        <v>1931</v>
      </c>
      <c r="K2946" s="4" t="s">
        <v>756</v>
      </c>
      <c r="L2946" s="3" t="s">
        <v>1165</v>
      </c>
      <c r="M2946" s="8" t="s">
        <v>3195</v>
      </c>
      <c r="N2946" s="3" t="s">
        <v>1890</v>
      </c>
      <c r="O2946" s="8" t="s">
        <v>1935</v>
      </c>
      <c r="P2946" s="62">
        <v>839</v>
      </c>
      <c r="Q2946" s="3" t="s">
        <v>5413</v>
      </c>
      <c r="R2946" s="69">
        <v>2</v>
      </c>
      <c r="S2946" s="69">
        <v>17513.39</v>
      </c>
      <c r="T2946" s="10">
        <f t="shared" ref="T2946" si="1813">S2946*R2946</f>
        <v>35026.78</v>
      </c>
      <c r="U2946" s="10">
        <f t="shared" ref="U2946" si="1814">T2946*1.12</f>
        <v>39229.993600000002</v>
      </c>
      <c r="V2946" s="7"/>
      <c r="W2946" s="1">
        <v>2015</v>
      </c>
      <c r="X2946" s="62"/>
    </row>
    <row r="2947" spans="1:24" s="13" customFormat="1" ht="76.5" customHeight="1" outlineLevel="1" x14ac:dyDescent="0.2">
      <c r="A2947" s="1" t="s">
        <v>2863</v>
      </c>
      <c r="B2947" s="38" t="s">
        <v>5277</v>
      </c>
      <c r="C2947" s="2" t="s">
        <v>3146</v>
      </c>
      <c r="D2947" s="2" t="s">
        <v>6013</v>
      </c>
      <c r="E2947" s="6" t="s">
        <v>6013</v>
      </c>
      <c r="F2947" s="39"/>
      <c r="G2947" s="50" t="s">
        <v>3190</v>
      </c>
      <c r="H2947" s="5">
        <v>0</v>
      </c>
      <c r="I2947" s="6">
        <v>710000000</v>
      </c>
      <c r="J2947" s="4" t="s">
        <v>1931</v>
      </c>
      <c r="K2947" s="4" t="s">
        <v>5297</v>
      </c>
      <c r="L2947" s="3" t="s">
        <v>1165</v>
      </c>
      <c r="M2947" s="8" t="s">
        <v>3195</v>
      </c>
      <c r="N2947" s="3" t="s">
        <v>1890</v>
      </c>
      <c r="O2947" s="8" t="s">
        <v>1935</v>
      </c>
      <c r="P2947" s="8">
        <v>796</v>
      </c>
      <c r="Q2947" s="8" t="s">
        <v>3196</v>
      </c>
      <c r="R2947" s="9">
        <f>27+12</f>
        <v>39</v>
      </c>
      <c r="S2947" s="9">
        <v>5973.21</v>
      </c>
      <c r="T2947" s="10">
        <v>0</v>
      </c>
      <c r="U2947" s="10">
        <f t="shared" si="1763"/>
        <v>0</v>
      </c>
      <c r="V2947" s="7"/>
      <c r="W2947" s="11">
        <v>2015</v>
      </c>
      <c r="X2947" s="12" t="s">
        <v>6562</v>
      </c>
    </row>
    <row r="2948" spans="1:24" s="13" customFormat="1" ht="76.5" customHeight="1" outlineLevel="1" x14ac:dyDescent="0.2">
      <c r="A2948" s="1" t="s">
        <v>8352</v>
      </c>
      <c r="B2948" s="2" t="s">
        <v>5277</v>
      </c>
      <c r="C2948" s="2" t="s">
        <v>3146</v>
      </c>
      <c r="D2948" s="2" t="s">
        <v>6013</v>
      </c>
      <c r="E2948" s="6" t="s">
        <v>6013</v>
      </c>
      <c r="F2948" s="2"/>
      <c r="G2948" s="3" t="s">
        <v>3190</v>
      </c>
      <c r="H2948" s="5">
        <v>0</v>
      </c>
      <c r="I2948" s="6">
        <v>710000000</v>
      </c>
      <c r="J2948" s="4" t="s">
        <v>1931</v>
      </c>
      <c r="K2948" s="4" t="s">
        <v>5297</v>
      </c>
      <c r="L2948" s="3" t="s">
        <v>1165</v>
      </c>
      <c r="M2948" s="8" t="s">
        <v>3195</v>
      </c>
      <c r="N2948" s="3" t="s">
        <v>1890</v>
      </c>
      <c r="O2948" s="8" t="s">
        <v>1935</v>
      </c>
      <c r="P2948" s="8">
        <v>796</v>
      </c>
      <c r="Q2948" s="8" t="s">
        <v>3196</v>
      </c>
      <c r="R2948" s="69">
        <f>23+8</f>
        <v>31</v>
      </c>
      <c r="S2948" s="69">
        <v>5973.21</v>
      </c>
      <c r="T2948" s="10">
        <v>0</v>
      </c>
      <c r="U2948" s="10">
        <f t="shared" si="1763"/>
        <v>0</v>
      </c>
      <c r="V2948" s="7"/>
      <c r="W2948" s="1">
        <v>2015</v>
      </c>
      <c r="X2948" s="62" t="s">
        <v>7518</v>
      </c>
    </row>
    <row r="2949" spans="1:24" s="13" customFormat="1" ht="76.5" customHeight="1" outlineLevel="1" x14ac:dyDescent="0.2">
      <c r="A2949" s="1" t="s">
        <v>7997</v>
      </c>
      <c r="B2949" s="2" t="s">
        <v>5277</v>
      </c>
      <c r="C2949" s="2" t="s">
        <v>3146</v>
      </c>
      <c r="D2949" s="2" t="s">
        <v>6013</v>
      </c>
      <c r="E2949" s="6" t="s">
        <v>6013</v>
      </c>
      <c r="F2949" s="2"/>
      <c r="G2949" s="3" t="s">
        <v>3190</v>
      </c>
      <c r="H2949" s="5">
        <v>0</v>
      </c>
      <c r="I2949" s="6">
        <v>710000000</v>
      </c>
      <c r="J2949" s="4" t="s">
        <v>1931</v>
      </c>
      <c r="K2949" s="4" t="s">
        <v>756</v>
      </c>
      <c r="L2949" s="3" t="s">
        <v>1165</v>
      </c>
      <c r="M2949" s="8" t="s">
        <v>3195</v>
      </c>
      <c r="N2949" s="3" t="s">
        <v>1890</v>
      </c>
      <c r="O2949" s="8" t="s">
        <v>1935</v>
      </c>
      <c r="P2949" s="8">
        <v>796</v>
      </c>
      <c r="Q2949" s="8" t="s">
        <v>3196</v>
      </c>
      <c r="R2949" s="69">
        <v>15</v>
      </c>
      <c r="S2949" s="69">
        <v>5973.21</v>
      </c>
      <c r="T2949" s="10">
        <f t="shared" ref="T2949" si="1815">S2949*R2949</f>
        <v>89598.15</v>
      </c>
      <c r="U2949" s="10">
        <f t="shared" ref="U2949" si="1816">T2949*1.12</f>
        <v>100349.928</v>
      </c>
      <c r="V2949" s="7"/>
      <c r="W2949" s="1">
        <v>2015</v>
      </c>
      <c r="X2949" s="62"/>
    </row>
    <row r="2950" spans="1:24" s="13" customFormat="1" ht="76.5" customHeight="1" outlineLevel="1" x14ac:dyDescent="0.2">
      <c r="A2950" s="1" t="s">
        <v>2864</v>
      </c>
      <c r="B2950" s="38" t="s">
        <v>5277</v>
      </c>
      <c r="C2950" s="2" t="s">
        <v>1266</v>
      </c>
      <c r="D2950" s="2" t="s">
        <v>6018</v>
      </c>
      <c r="E2950" s="2" t="s">
        <v>1265</v>
      </c>
      <c r="F2950" s="39"/>
      <c r="G2950" s="50" t="s">
        <v>3190</v>
      </c>
      <c r="H2950" s="5">
        <v>0</v>
      </c>
      <c r="I2950" s="6">
        <v>710000000</v>
      </c>
      <c r="J2950" s="4" t="s">
        <v>1931</v>
      </c>
      <c r="K2950" s="4" t="s">
        <v>5297</v>
      </c>
      <c r="L2950" s="3" t="s">
        <v>1165</v>
      </c>
      <c r="M2950" s="8" t="s">
        <v>3195</v>
      </c>
      <c r="N2950" s="3" t="s">
        <v>1890</v>
      </c>
      <c r="O2950" s="8" t="s">
        <v>1935</v>
      </c>
      <c r="P2950" s="8">
        <v>796</v>
      </c>
      <c r="Q2950" s="8" t="s">
        <v>3196</v>
      </c>
      <c r="R2950" s="9">
        <f>13+16</f>
        <v>29</v>
      </c>
      <c r="S2950" s="9">
        <v>1300</v>
      </c>
      <c r="T2950" s="10">
        <v>0</v>
      </c>
      <c r="U2950" s="10">
        <f t="shared" si="1763"/>
        <v>0</v>
      </c>
      <c r="V2950" s="7"/>
      <c r="W2950" s="11">
        <v>2015</v>
      </c>
      <c r="X2950" s="12" t="s">
        <v>6562</v>
      </c>
    </row>
    <row r="2951" spans="1:24" s="13" customFormat="1" ht="76.5" customHeight="1" outlineLevel="1" x14ac:dyDescent="0.2">
      <c r="A2951" s="1" t="s">
        <v>6789</v>
      </c>
      <c r="B2951" s="2" t="s">
        <v>5277</v>
      </c>
      <c r="C2951" s="2" t="s">
        <v>1266</v>
      </c>
      <c r="D2951" s="2" t="s">
        <v>6018</v>
      </c>
      <c r="E2951" s="2" t="s">
        <v>1265</v>
      </c>
      <c r="F2951" s="2"/>
      <c r="G2951" s="3" t="s">
        <v>3190</v>
      </c>
      <c r="H2951" s="5">
        <v>0</v>
      </c>
      <c r="I2951" s="6">
        <v>710000000</v>
      </c>
      <c r="J2951" s="4" t="s">
        <v>1931</v>
      </c>
      <c r="K2951" s="4" t="s">
        <v>5297</v>
      </c>
      <c r="L2951" s="3" t="s">
        <v>1165</v>
      </c>
      <c r="M2951" s="8" t="s">
        <v>3195</v>
      </c>
      <c r="N2951" s="3" t="s">
        <v>1890</v>
      </c>
      <c r="O2951" s="8" t="s">
        <v>1935</v>
      </c>
      <c r="P2951" s="8">
        <v>796</v>
      </c>
      <c r="Q2951" s="8" t="s">
        <v>3196</v>
      </c>
      <c r="R2951" s="69">
        <f>12+4</f>
        <v>16</v>
      </c>
      <c r="S2951" s="69">
        <v>1300</v>
      </c>
      <c r="T2951" s="10">
        <v>0</v>
      </c>
      <c r="U2951" s="10">
        <f t="shared" si="1763"/>
        <v>0</v>
      </c>
      <c r="V2951" s="7"/>
      <c r="W2951" s="1">
        <v>2015</v>
      </c>
      <c r="X2951" s="62">
        <v>11</v>
      </c>
    </row>
    <row r="2952" spans="1:24" s="13" customFormat="1" ht="76.5" customHeight="1" outlineLevel="1" x14ac:dyDescent="0.2">
      <c r="A2952" s="1" t="s">
        <v>7998</v>
      </c>
      <c r="B2952" s="2" t="s">
        <v>5277</v>
      </c>
      <c r="C2952" s="2" t="s">
        <v>1266</v>
      </c>
      <c r="D2952" s="2" t="s">
        <v>6018</v>
      </c>
      <c r="E2952" s="2" t="s">
        <v>1265</v>
      </c>
      <c r="F2952" s="2"/>
      <c r="G2952" s="3" t="s">
        <v>3190</v>
      </c>
      <c r="H2952" s="5">
        <v>0</v>
      </c>
      <c r="I2952" s="6">
        <v>710000000</v>
      </c>
      <c r="J2952" s="4" t="s">
        <v>1931</v>
      </c>
      <c r="K2952" s="4" t="s">
        <v>756</v>
      </c>
      <c r="L2952" s="3" t="s">
        <v>1165</v>
      </c>
      <c r="M2952" s="8" t="s">
        <v>3195</v>
      </c>
      <c r="N2952" s="3" t="s">
        <v>1890</v>
      </c>
      <c r="O2952" s="8" t="s">
        <v>1935</v>
      </c>
      <c r="P2952" s="8">
        <v>796</v>
      </c>
      <c r="Q2952" s="8" t="s">
        <v>3196</v>
      </c>
      <c r="R2952" s="69">
        <f>12+4</f>
        <v>16</v>
      </c>
      <c r="S2952" s="69">
        <v>1300</v>
      </c>
      <c r="T2952" s="10">
        <f t="shared" ref="T2952" si="1817">S2952*R2952</f>
        <v>20800</v>
      </c>
      <c r="U2952" s="10">
        <f t="shared" ref="U2952" si="1818">T2952*1.12</f>
        <v>23296.000000000004</v>
      </c>
      <c r="V2952" s="7"/>
      <c r="W2952" s="1">
        <v>2015</v>
      </c>
      <c r="X2952" s="62"/>
    </row>
    <row r="2953" spans="1:24" s="13" customFormat="1" ht="89.25" customHeight="1" outlineLevel="1" x14ac:dyDescent="0.2">
      <c r="A2953" s="1" t="s">
        <v>2865</v>
      </c>
      <c r="B2953" s="38" t="s">
        <v>5277</v>
      </c>
      <c r="C2953" s="2" t="s">
        <v>3153</v>
      </c>
      <c r="D2953" s="2" t="s">
        <v>6004</v>
      </c>
      <c r="E2953" s="2" t="s">
        <v>6484</v>
      </c>
      <c r="F2953" s="39"/>
      <c r="G2953" s="50" t="s">
        <v>3190</v>
      </c>
      <c r="H2953" s="5">
        <v>0</v>
      </c>
      <c r="I2953" s="6">
        <v>710000000</v>
      </c>
      <c r="J2953" s="4" t="s">
        <v>1931</v>
      </c>
      <c r="K2953" s="4" t="s">
        <v>5297</v>
      </c>
      <c r="L2953" s="3" t="s">
        <v>1165</v>
      </c>
      <c r="M2953" s="8" t="s">
        <v>3195</v>
      </c>
      <c r="N2953" s="3" t="s">
        <v>1890</v>
      </c>
      <c r="O2953" s="8" t="s">
        <v>1935</v>
      </c>
      <c r="P2953" s="62">
        <v>166</v>
      </c>
      <c r="Q2953" s="3" t="s">
        <v>3324</v>
      </c>
      <c r="R2953" s="9">
        <f>18+4</f>
        <v>22</v>
      </c>
      <c r="S2953" s="9">
        <v>452</v>
      </c>
      <c r="T2953" s="10">
        <v>0</v>
      </c>
      <c r="U2953" s="10">
        <f t="shared" si="1763"/>
        <v>0</v>
      </c>
      <c r="V2953" s="7"/>
      <c r="W2953" s="11">
        <v>2015</v>
      </c>
      <c r="X2953" s="12" t="s">
        <v>6562</v>
      </c>
    </row>
    <row r="2954" spans="1:24" s="13" customFormat="1" ht="89.25" customHeight="1" outlineLevel="1" x14ac:dyDescent="0.2">
      <c r="A2954" s="1" t="s">
        <v>6790</v>
      </c>
      <c r="B2954" s="2" t="s">
        <v>5277</v>
      </c>
      <c r="C2954" s="2" t="s">
        <v>3153</v>
      </c>
      <c r="D2954" s="2" t="s">
        <v>6004</v>
      </c>
      <c r="E2954" s="2" t="s">
        <v>6484</v>
      </c>
      <c r="F2954" s="2"/>
      <c r="G2954" s="3" t="s">
        <v>3190</v>
      </c>
      <c r="H2954" s="5">
        <v>0</v>
      </c>
      <c r="I2954" s="6">
        <v>710000000</v>
      </c>
      <c r="J2954" s="4" t="s">
        <v>1931</v>
      </c>
      <c r="K2954" s="4" t="s">
        <v>5297</v>
      </c>
      <c r="L2954" s="3" t="s">
        <v>1165</v>
      </c>
      <c r="M2954" s="8" t="s">
        <v>3195</v>
      </c>
      <c r="N2954" s="3" t="s">
        <v>1890</v>
      </c>
      <c r="O2954" s="8" t="s">
        <v>1935</v>
      </c>
      <c r="P2954" s="62">
        <v>166</v>
      </c>
      <c r="Q2954" s="3" t="s">
        <v>3324</v>
      </c>
      <c r="R2954" s="69">
        <f>17+4</f>
        <v>21</v>
      </c>
      <c r="S2954" s="69">
        <v>452</v>
      </c>
      <c r="T2954" s="10">
        <v>0</v>
      </c>
      <c r="U2954" s="10">
        <f t="shared" si="1763"/>
        <v>0</v>
      </c>
      <c r="V2954" s="7"/>
      <c r="W2954" s="1">
        <v>2015</v>
      </c>
      <c r="X2954" s="62" t="s">
        <v>7518</v>
      </c>
    </row>
    <row r="2955" spans="1:24" s="13" customFormat="1" ht="89.25" customHeight="1" outlineLevel="1" x14ac:dyDescent="0.2">
      <c r="A2955" s="1" t="s">
        <v>7999</v>
      </c>
      <c r="B2955" s="2" t="s">
        <v>5277</v>
      </c>
      <c r="C2955" s="2" t="s">
        <v>3153</v>
      </c>
      <c r="D2955" s="2" t="s">
        <v>6004</v>
      </c>
      <c r="E2955" s="2" t="s">
        <v>6484</v>
      </c>
      <c r="F2955" s="2"/>
      <c r="G2955" s="3" t="s">
        <v>3190</v>
      </c>
      <c r="H2955" s="5">
        <v>0</v>
      </c>
      <c r="I2955" s="6">
        <v>710000000</v>
      </c>
      <c r="J2955" s="4" t="s">
        <v>1931</v>
      </c>
      <c r="K2955" s="4" t="s">
        <v>756</v>
      </c>
      <c r="L2955" s="3" t="s">
        <v>1165</v>
      </c>
      <c r="M2955" s="8" t="s">
        <v>3195</v>
      </c>
      <c r="N2955" s="3" t="s">
        <v>1890</v>
      </c>
      <c r="O2955" s="8" t="s">
        <v>1935</v>
      </c>
      <c r="P2955" s="62">
        <v>166</v>
      </c>
      <c r="Q2955" s="3" t="s">
        <v>3324</v>
      </c>
      <c r="R2955" s="69">
        <v>15</v>
      </c>
      <c r="S2955" s="69">
        <v>452</v>
      </c>
      <c r="T2955" s="10">
        <f t="shared" ref="T2955" si="1819">S2955*R2955</f>
        <v>6780</v>
      </c>
      <c r="U2955" s="10">
        <f t="shared" ref="U2955:U2956" si="1820">T2955*1.12</f>
        <v>7593.6</v>
      </c>
      <c r="V2955" s="7"/>
      <c r="W2955" s="1">
        <v>2015</v>
      </c>
      <c r="X2955" s="62"/>
    </row>
    <row r="2956" spans="1:24" s="13" customFormat="1" ht="76.5" customHeight="1" outlineLevel="1" x14ac:dyDescent="0.2">
      <c r="A2956" s="1" t="s">
        <v>8121</v>
      </c>
      <c r="B2956" s="38" t="s">
        <v>5277</v>
      </c>
      <c r="C2956" s="2" t="s">
        <v>31</v>
      </c>
      <c r="D2956" s="2" t="s">
        <v>3408</v>
      </c>
      <c r="E2956" s="6" t="s">
        <v>30</v>
      </c>
      <c r="F2956" s="39"/>
      <c r="G2956" s="50" t="s">
        <v>3190</v>
      </c>
      <c r="H2956" s="5">
        <v>0</v>
      </c>
      <c r="I2956" s="6">
        <v>710000000</v>
      </c>
      <c r="J2956" s="4" t="s">
        <v>1931</v>
      </c>
      <c r="K2956" s="4" t="s">
        <v>5297</v>
      </c>
      <c r="L2956" s="3" t="s">
        <v>1165</v>
      </c>
      <c r="M2956" s="8" t="s">
        <v>3195</v>
      </c>
      <c r="N2956" s="3" t="s">
        <v>1890</v>
      </c>
      <c r="O2956" s="8" t="s">
        <v>1935</v>
      </c>
      <c r="P2956" s="8">
        <v>796</v>
      </c>
      <c r="Q2956" s="8" t="s">
        <v>3196</v>
      </c>
      <c r="R2956" s="9">
        <f>26+2</f>
        <v>28</v>
      </c>
      <c r="S2956" s="9">
        <v>1500</v>
      </c>
      <c r="T2956" s="10">
        <v>0</v>
      </c>
      <c r="U2956" s="10">
        <f t="shared" si="1820"/>
        <v>0</v>
      </c>
      <c r="V2956" s="7"/>
      <c r="W2956" s="11">
        <v>2015</v>
      </c>
      <c r="X2956" s="12" t="s">
        <v>6562</v>
      </c>
    </row>
    <row r="2957" spans="1:24" s="13" customFormat="1" ht="76.5" customHeight="1" outlineLevel="1" x14ac:dyDescent="0.2">
      <c r="A2957" s="1" t="s">
        <v>6791</v>
      </c>
      <c r="B2957" s="2" t="s">
        <v>5277</v>
      </c>
      <c r="C2957" s="2" t="s">
        <v>31</v>
      </c>
      <c r="D2957" s="2" t="s">
        <v>3408</v>
      </c>
      <c r="E2957" s="6" t="s">
        <v>30</v>
      </c>
      <c r="F2957" s="2"/>
      <c r="G2957" s="3" t="s">
        <v>3190</v>
      </c>
      <c r="H2957" s="5">
        <v>0</v>
      </c>
      <c r="I2957" s="6">
        <v>710000000</v>
      </c>
      <c r="J2957" s="4" t="s">
        <v>1931</v>
      </c>
      <c r="K2957" s="4" t="s">
        <v>5297</v>
      </c>
      <c r="L2957" s="3" t="s">
        <v>1165</v>
      </c>
      <c r="M2957" s="8" t="s">
        <v>3195</v>
      </c>
      <c r="N2957" s="3" t="s">
        <v>1890</v>
      </c>
      <c r="O2957" s="8" t="s">
        <v>1935</v>
      </c>
      <c r="P2957" s="8">
        <v>796</v>
      </c>
      <c r="Q2957" s="8" t="s">
        <v>3196</v>
      </c>
      <c r="R2957" s="69">
        <f>24+2</f>
        <v>26</v>
      </c>
      <c r="S2957" s="69">
        <v>0</v>
      </c>
      <c r="T2957" s="10">
        <f t="shared" ref="T2957" si="1821">S2957*R2957</f>
        <v>0</v>
      </c>
      <c r="U2957" s="10">
        <f t="shared" si="1763"/>
        <v>0</v>
      </c>
      <c r="V2957" s="7"/>
      <c r="W2957" s="1">
        <v>2015</v>
      </c>
      <c r="X2957" s="62" t="s">
        <v>7518</v>
      </c>
    </row>
    <row r="2958" spans="1:24" s="13" customFormat="1" ht="76.5" customHeight="1" outlineLevel="1" x14ac:dyDescent="0.2">
      <c r="A2958" s="1" t="s">
        <v>8000</v>
      </c>
      <c r="B2958" s="2" t="s">
        <v>5277</v>
      </c>
      <c r="C2958" s="2" t="s">
        <v>31</v>
      </c>
      <c r="D2958" s="2" t="s">
        <v>3408</v>
      </c>
      <c r="E2958" s="6" t="s">
        <v>30</v>
      </c>
      <c r="F2958" s="2"/>
      <c r="G2958" s="3" t="s">
        <v>3190</v>
      </c>
      <c r="H2958" s="5">
        <v>0</v>
      </c>
      <c r="I2958" s="6">
        <v>710000000</v>
      </c>
      <c r="J2958" s="4" t="s">
        <v>1931</v>
      </c>
      <c r="K2958" s="4" t="s">
        <v>756</v>
      </c>
      <c r="L2958" s="3" t="s">
        <v>1165</v>
      </c>
      <c r="M2958" s="8" t="s">
        <v>3195</v>
      </c>
      <c r="N2958" s="3" t="s">
        <v>1890</v>
      </c>
      <c r="O2958" s="8" t="s">
        <v>1935</v>
      </c>
      <c r="P2958" s="8">
        <v>796</v>
      </c>
      <c r="Q2958" s="8" t="s">
        <v>3196</v>
      </c>
      <c r="R2958" s="69">
        <f>24+2</f>
        <v>26</v>
      </c>
      <c r="S2958" s="69">
        <v>1500</v>
      </c>
      <c r="T2958" s="10">
        <v>0</v>
      </c>
      <c r="U2958" s="10">
        <f t="shared" ref="U2958" si="1822">T2958*1.12</f>
        <v>0</v>
      </c>
      <c r="V2958" s="7"/>
      <c r="W2958" s="1">
        <v>2015</v>
      </c>
      <c r="X2958" s="62" t="s">
        <v>7518</v>
      </c>
    </row>
    <row r="2959" spans="1:24" s="13" customFormat="1" ht="76.5" customHeight="1" outlineLevel="1" x14ac:dyDescent="0.2">
      <c r="A2959" s="1" t="s">
        <v>9048</v>
      </c>
      <c r="B2959" s="2" t="s">
        <v>5277</v>
      </c>
      <c r="C2959" s="2" t="s">
        <v>31</v>
      </c>
      <c r="D2959" s="2" t="s">
        <v>3408</v>
      </c>
      <c r="E2959" s="6" t="s">
        <v>30</v>
      </c>
      <c r="F2959" s="2"/>
      <c r="G2959" s="3" t="s">
        <v>3190</v>
      </c>
      <c r="H2959" s="5">
        <v>0</v>
      </c>
      <c r="I2959" s="6">
        <v>710000000</v>
      </c>
      <c r="J2959" s="4" t="s">
        <v>1931</v>
      </c>
      <c r="K2959" s="4" t="s">
        <v>8946</v>
      </c>
      <c r="L2959" s="3" t="s">
        <v>1165</v>
      </c>
      <c r="M2959" s="8" t="s">
        <v>3195</v>
      </c>
      <c r="N2959" s="3" t="s">
        <v>1890</v>
      </c>
      <c r="O2959" s="8" t="s">
        <v>1935</v>
      </c>
      <c r="P2959" s="8">
        <v>796</v>
      </c>
      <c r="Q2959" s="8" t="s">
        <v>3196</v>
      </c>
      <c r="R2959" s="69">
        <f>24+2+70</f>
        <v>96</v>
      </c>
      <c r="S2959" s="69">
        <v>1500</v>
      </c>
      <c r="T2959" s="10">
        <f t="shared" ref="T2959" si="1823">S2959*R2959</f>
        <v>144000</v>
      </c>
      <c r="U2959" s="10">
        <f t="shared" ref="U2959" si="1824">T2959*1.12</f>
        <v>161280.00000000003</v>
      </c>
      <c r="V2959" s="7"/>
      <c r="W2959" s="1">
        <v>2015</v>
      </c>
      <c r="X2959" s="62"/>
    </row>
    <row r="2960" spans="1:24" s="13" customFormat="1" ht="76.5" customHeight="1" outlineLevel="1" x14ac:dyDescent="0.2">
      <c r="A2960" s="1" t="s">
        <v>2866</v>
      </c>
      <c r="B2960" s="2" t="s">
        <v>5277</v>
      </c>
      <c r="C2960" s="6" t="s">
        <v>53</v>
      </c>
      <c r="D2960" s="6" t="s">
        <v>52</v>
      </c>
      <c r="E2960" s="6" t="s">
        <v>51</v>
      </c>
      <c r="F2960" s="52"/>
      <c r="G2960" s="3" t="s">
        <v>3190</v>
      </c>
      <c r="H2960" s="5">
        <v>0</v>
      </c>
      <c r="I2960" s="6">
        <v>710000000</v>
      </c>
      <c r="J2960" s="4" t="s">
        <v>1931</v>
      </c>
      <c r="K2960" s="4" t="s">
        <v>5297</v>
      </c>
      <c r="L2960" s="3" t="s">
        <v>1165</v>
      </c>
      <c r="M2960" s="8" t="s">
        <v>3195</v>
      </c>
      <c r="N2960" s="3" t="s">
        <v>1890</v>
      </c>
      <c r="O2960" s="8" t="s">
        <v>1935</v>
      </c>
      <c r="P2960" s="8">
        <v>796</v>
      </c>
      <c r="Q2960" s="8" t="s">
        <v>3196</v>
      </c>
      <c r="R2960" s="69">
        <v>1</v>
      </c>
      <c r="S2960" s="69">
        <v>73063</v>
      </c>
      <c r="T2960" s="10">
        <v>0</v>
      </c>
      <c r="U2960" s="10">
        <f t="shared" si="1763"/>
        <v>0</v>
      </c>
      <c r="V2960" s="7"/>
      <c r="W2960" s="1">
        <v>2015</v>
      </c>
      <c r="X2960" s="62">
        <v>11</v>
      </c>
    </row>
    <row r="2961" spans="1:24" s="13" customFormat="1" ht="76.5" customHeight="1" outlineLevel="1" x14ac:dyDescent="0.2">
      <c r="A2961" s="1" t="s">
        <v>8001</v>
      </c>
      <c r="B2961" s="2" t="s">
        <v>5277</v>
      </c>
      <c r="C2961" s="6" t="s">
        <v>53</v>
      </c>
      <c r="D2961" s="6" t="s">
        <v>52</v>
      </c>
      <c r="E2961" s="6" t="s">
        <v>51</v>
      </c>
      <c r="F2961" s="52"/>
      <c r="G2961" s="3" t="s">
        <v>3190</v>
      </c>
      <c r="H2961" s="5">
        <v>0</v>
      </c>
      <c r="I2961" s="6">
        <v>710000000</v>
      </c>
      <c r="J2961" s="4" t="s">
        <v>1931</v>
      </c>
      <c r="K2961" s="4" t="s">
        <v>756</v>
      </c>
      <c r="L2961" s="3" t="s">
        <v>1165</v>
      </c>
      <c r="M2961" s="8" t="s">
        <v>3195</v>
      </c>
      <c r="N2961" s="3" t="s">
        <v>1890</v>
      </c>
      <c r="O2961" s="8" t="s">
        <v>1935</v>
      </c>
      <c r="P2961" s="8">
        <v>796</v>
      </c>
      <c r="Q2961" s="8" t="s">
        <v>3196</v>
      </c>
      <c r="R2961" s="69">
        <v>1</v>
      </c>
      <c r="S2961" s="69">
        <v>73063</v>
      </c>
      <c r="T2961" s="10">
        <f t="shared" ref="T2961" si="1825">S2961*R2961</f>
        <v>73063</v>
      </c>
      <c r="U2961" s="10">
        <f t="shared" ref="U2961" si="1826">T2961*1.12</f>
        <v>81830.560000000012</v>
      </c>
      <c r="V2961" s="7"/>
      <c r="W2961" s="1">
        <v>2015</v>
      </c>
      <c r="X2961" s="62"/>
    </row>
    <row r="2962" spans="1:24" s="13" customFormat="1" ht="76.5" customHeight="1" outlineLevel="1" x14ac:dyDescent="0.2">
      <c r="A2962" s="1" t="s">
        <v>2867</v>
      </c>
      <c r="B2962" s="38" t="s">
        <v>5277</v>
      </c>
      <c r="C2962" s="2" t="s">
        <v>3849</v>
      </c>
      <c r="D2962" s="2" t="s">
        <v>5951</v>
      </c>
      <c r="E2962" s="6" t="s">
        <v>5952</v>
      </c>
      <c r="F2962" s="39"/>
      <c r="G2962" s="50" t="s">
        <v>3190</v>
      </c>
      <c r="H2962" s="5">
        <v>0</v>
      </c>
      <c r="I2962" s="6">
        <v>710000000</v>
      </c>
      <c r="J2962" s="4" t="s">
        <v>1931</v>
      </c>
      <c r="K2962" s="4" t="s">
        <v>5297</v>
      </c>
      <c r="L2962" s="3" t="s">
        <v>1165</v>
      </c>
      <c r="M2962" s="8" t="s">
        <v>3195</v>
      </c>
      <c r="N2962" s="3" t="s">
        <v>1890</v>
      </c>
      <c r="O2962" s="8" t="s">
        <v>1935</v>
      </c>
      <c r="P2962" s="8">
        <v>796</v>
      </c>
      <c r="Q2962" s="8" t="s">
        <v>3196</v>
      </c>
      <c r="R2962" s="9">
        <v>16</v>
      </c>
      <c r="S2962" s="9">
        <v>3797</v>
      </c>
      <c r="T2962" s="10">
        <v>0</v>
      </c>
      <c r="U2962" s="10">
        <f t="shared" si="1763"/>
        <v>0</v>
      </c>
      <c r="V2962" s="7"/>
      <c r="W2962" s="11">
        <v>2015</v>
      </c>
      <c r="X2962" s="12" t="s">
        <v>6562</v>
      </c>
    </row>
    <row r="2963" spans="1:24" s="13" customFormat="1" ht="76.5" customHeight="1" outlineLevel="1" x14ac:dyDescent="0.2">
      <c r="A2963" s="1" t="s">
        <v>6792</v>
      </c>
      <c r="B2963" s="2" t="s">
        <v>5277</v>
      </c>
      <c r="C2963" s="2" t="s">
        <v>3849</v>
      </c>
      <c r="D2963" s="2" t="s">
        <v>5951</v>
      </c>
      <c r="E2963" s="6" t="s">
        <v>5952</v>
      </c>
      <c r="F2963" s="2"/>
      <c r="G2963" s="3" t="s">
        <v>3190</v>
      </c>
      <c r="H2963" s="5">
        <v>0</v>
      </c>
      <c r="I2963" s="6">
        <v>710000000</v>
      </c>
      <c r="J2963" s="4" t="s">
        <v>1931</v>
      </c>
      <c r="K2963" s="4" t="s">
        <v>5297</v>
      </c>
      <c r="L2963" s="3" t="s">
        <v>1165</v>
      </c>
      <c r="M2963" s="8" t="s">
        <v>3195</v>
      </c>
      <c r="N2963" s="3" t="s">
        <v>1890</v>
      </c>
      <c r="O2963" s="8" t="s">
        <v>1935</v>
      </c>
      <c r="P2963" s="8">
        <v>796</v>
      </c>
      <c r="Q2963" s="8" t="s">
        <v>3196</v>
      </c>
      <c r="R2963" s="69">
        <v>12</v>
      </c>
      <c r="S2963" s="69">
        <v>3797</v>
      </c>
      <c r="T2963" s="10">
        <v>0</v>
      </c>
      <c r="U2963" s="10">
        <f t="shared" si="1763"/>
        <v>0</v>
      </c>
      <c r="V2963" s="7"/>
      <c r="W2963" s="1">
        <v>2015</v>
      </c>
      <c r="X2963" s="62">
        <v>11</v>
      </c>
    </row>
    <row r="2964" spans="1:24" s="13" customFormat="1" ht="76.5" customHeight="1" outlineLevel="1" x14ac:dyDescent="0.2">
      <c r="A2964" s="1" t="s">
        <v>8002</v>
      </c>
      <c r="B2964" s="2" t="s">
        <v>5277</v>
      </c>
      <c r="C2964" s="2" t="s">
        <v>3849</v>
      </c>
      <c r="D2964" s="2" t="s">
        <v>5951</v>
      </c>
      <c r="E2964" s="6" t="s">
        <v>5952</v>
      </c>
      <c r="F2964" s="2"/>
      <c r="G2964" s="3" t="s">
        <v>3190</v>
      </c>
      <c r="H2964" s="5">
        <v>0</v>
      </c>
      <c r="I2964" s="6">
        <v>710000000</v>
      </c>
      <c r="J2964" s="4" t="s">
        <v>1931</v>
      </c>
      <c r="K2964" s="4" t="s">
        <v>756</v>
      </c>
      <c r="L2964" s="3" t="s">
        <v>1165</v>
      </c>
      <c r="M2964" s="8" t="s">
        <v>3195</v>
      </c>
      <c r="N2964" s="3" t="s">
        <v>1890</v>
      </c>
      <c r="O2964" s="8" t="s">
        <v>1935</v>
      </c>
      <c r="P2964" s="8">
        <v>796</v>
      </c>
      <c r="Q2964" s="8" t="s">
        <v>3196</v>
      </c>
      <c r="R2964" s="69">
        <v>12</v>
      </c>
      <c r="S2964" s="69">
        <v>3797</v>
      </c>
      <c r="T2964" s="10">
        <f t="shared" ref="T2964" si="1827">S2964*R2964</f>
        <v>45564</v>
      </c>
      <c r="U2964" s="10">
        <f t="shared" ref="U2964" si="1828">T2964*1.12</f>
        <v>51031.680000000008</v>
      </c>
      <c r="V2964" s="7"/>
      <c r="W2964" s="1">
        <v>2015</v>
      </c>
      <c r="X2964" s="62"/>
    </row>
    <row r="2965" spans="1:24" s="13" customFormat="1" ht="76.5" customHeight="1" outlineLevel="1" x14ac:dyDescent="0.2">
      <c r="A2965" s="1" t="s">
        <v>2868</v>
      </c>
      <c r="B2965" s="2" t="s">
        <v>5277</v>
      </c>
      <c r="C2965" s="6" t="s">
        <v>50</v>
      </c>
      <c r="D2965" s="6" t="s">
        <v>49</v>
      </c>
      <c r="E2965" s="6" t="s">
        <v>48</v>
      </c>
      <c r="F2965" s="2"/>
      <c r="G2965" s="3" t="s">
        <v>3190</v>
      </c>
      <c r="H2965" s="5">
        <v>0</v>
      </c>
      <c r="I2965" s="6">
        <v>710000000</v>
      </c>
      <c r="J2965" s="4" t="s">
        <v>1931</v>
      </c>
      <c r="K2965" s="4" t="s">
        <v>5297</v>
      </c>
      <c r="L2965" s="3" t="s">
        <v>1165</v>
      </c>
      <c r="M2965" s="8" t="s">
        <v>3195</v>
      </c>
      <c r="N2965" s="3" t="s">
        <v>1890</v>
      </c>
      <c r="O2965" s="8" t="s">
        <v>1935</v>
      </c>
      <c r="P2965" s="8">
        <v>796</v>
      </c>
      <c r="Q2965" s="8" t="s">
        <v>3196</v>
      </c>
      <c r="R2965" s="69">
        <v>1</v>
      </c>
      <c r="S2965" s="69">
        <v>170050</v>
      </c>
      <c r="T2965" s="10">
        <v>0</v>
      </c>
      <c r="U2965" s="10">
        <f t="shared" si="1763"/>
        <v>0</v>
      </c>
      <c r="V2965" s="7"/>
      <c r="W2965" s="1">
        <v>2015</v>
      </c>
      <c r="X2965" s="62">
        <v>11</v>
      </c>
    </row>
    <row r="2966" spans="1:24" s="13" customFormat="1" ht="76.5" customHeight="1" outlineLevel="1" x14ac:dyDescent="0.2">
      <c r="A2966" s="1" t="s">
        <v>8003</v>
      </c>
      <c r="B2966" s="2" t="s">
        <v>5277</v>
      </c>
      <c r="C2966" s="6" t="s">
        <v>50</v>
      </c>
      <c r="D2966" s="6" t="s">
        <v>49</v>
      </c>
      <c r="E2966" s="6" t="s">
        <v>48</v>
      </c>
      <c r="F2966" s="2"/>
      <c r="G2966" s="3" t="s">
        <v>3190</v>
      </c>
      <c r="H2966" s="5">
        <v>0</v>
      </c>
      <c r="I2966" s="6">
        <v>710000000</v>
      </c>
      <c r="J2966" s="4" t="s">
        <v>1931</v>
      </c>
      <c r="K2966" s="4" t="s">
        <v>756</v>
      </c>
      <c r="L2966" s="3" t="s">
        <v>1165</v>
      </c>
      <c r="M2966" s="8" t="s">
        <v>3195</v>
      </c>
      <c r="N2966" s="3" t="s">
        <v>1890</v>
      </c>
      <c r="O2966" s="8" t="s">
        <v>1935</v>
      </c>
      <c r="P2966" s="8">
        <v>796</v>
      </c>
      <c r="Q2966" s="8" t="s">
        <v>3196</v>
      </c>
      <c r="R2966" s="69">
        <v>1</v>
      </c>
      <c r="S2966" s="69">
        <v>170050</v>
      </c>
      <c r="T2966" s="10">
        <f t="shared" ref="T2966" si="1829">S2966*R2966</f>
        <v>170050</v>
      </c>
      <c r="U2966" s="10">
        <f t="shared" ref="U2966" si="1830">T2966*1.12</f>
        <v>190456.00000000003</v>
      </c>
      <c r="V2966" s="7"/>
      <c r="W2966" s="1">
        <v>2015</v>
      </c>
      <c r="X2966" s="62"/>
    </row>
    <row r="2967" spans="1:24" s="13" customFormat="1" ht="76.5" customHeight="1" outlineLevel="1" x14ac:dyDescent="0.2">
      <c r="A2967" s="1" t="s">
        <v>2869</v>
      </c>
      <c r="B2967" s="38" t="s">
        <v>5277</v>
      </c>
      <c r="C2967" s="2" t="s">
        <v>3817</v>
      </c>
      <c r="D2967" s="2" t="s">
        <v>5516</v>
      </c>
      <c r="E2967" s="2" t="s">
        <v>24</v>
      </c>
      <c r="F2967" s="52" t="s">
        <v>23</v>
      </c>
      <c r="G2967" s="50" t="s">
        <v>3190</v>
      </c>
      <c r="H2967" s="5">
        <v>0</v>
      </c>
      <c r="I2967" s="6">
        <v>710000000</v>
      </c>
      <c r="J2967" s="4" t="s">
        <v>1931</v>
      </c>
      <c r="K2967" s="4" t="s">
        <v>5297</v>
      </c>
      <c r="L2967" s="3" t="s">
        <v>1165</v>
      </c>
      <c r="M2967" s="8" t="s">
        <v>3195</v>
      </c>
      <c r="N2967" s="3" t="s">
        <v>1890</v>
      </c>
      <c r="O2967" s="8" t="s">
        <v>1935</v>
      </c>
      <c r="P2967" s="8">
        <v>796</v>
      </c>
      <c r="Q2967" s="8" t="s">
        <v>3196</v>
      </c>
      <c r="R2967" s="9">
        <v>4</v>
      </c>
      <c r="S2967" s="9">
        <v>3117</v>
      </c>
      <c r="T2967" s="10">
        <v>0</v>
      </c>
      <c r="U2967" s="10">
        <f t="shared" si="1763"/>
        <v>0</v>
      </c>
      <c r="V2967" s="7"/>
      <c r="W2967" s="11">
        <v>2015</v>
      </c>
      <c r="X2967" s="12" t="s">
        <v>6562</v>
      </c>
    </row>
    <row r="2968" spans="1:24" s="13" customFormat="1" ht="76.5" customHeight="1" outlineLevel="1" x14ac:dyDescent="0.2">
      <c r="A2968" s="1" t="s">
        <v>6793</v>
      </c>
      <c r="B2968" s="2" t="s">
        <v>5277</v>
      </c>
      <c r="C2968" s="2" t="s">
        <v>3817</v>
      </c>
      <c r="D2968" s="2" t="s">
        <v>5516</v>
      </c>
      <c r="E2968" s="2" t="s">
        <v>24</v>
      </c>
      <c r="F2968" s="52" t="s">
        <v>23</v>
      </c>
      <c r="G2968" s="3" t="s">
        <v>3190</v>
      </c>
      <c r="H2968" s="5">
        <v>0</v>
      </c>
      <c r="I2968" s="6">
        <v>710000000</v>
      </c>
      <c r="J2968" s="4" t="s">
        <v>1931</v>
      </c>
      <c r="K2968" s="4" t="s">
        <v>5297</v>
      </c>
      <c r="L2968" s="3" t="s">
        <v>1165</v>
      </c>
      <c r="M2968" s="8" t="s">
        <v>3195</v>
      </c>
      <c r="N2968" s="3" t="s">
        <v>1890</v>
      </c>
      <c r="O2968" s="8" t="s">
        <v>1935</v>
      </c>
      <c r="P2968" s="8">
        <v>796</v>
      </c>
      <c r="Q2968" s="8" t="s">
        <v>3196</v>
      </c>
      <c r="R2968" s="69">
        <v>3</v>
      </c>
      <c r="S2968" s="69">
        <v>3117</v>
      </c>
      <c r="T2968" s="10">
        <v>0</v>
      </c>
      <c r="U2968" s="10">
        <f t="shared" si="1763"/>
        <v>0</v>
      </c>
      <c r="V2968" s="7"/>
      <c r="W2968" s="1">
        <v>2015</v>
      </c>
      <c r="X2968" s="62">
        <v>11</v>
      </c>
    </row>
    <row r="2969" spans="1:24" s="13" customFormat="1" ht="76.5" customHeight="1" outlineLevel="1" x14ac:dyDescent="0.2">
      <c r="A2969" s="1" t="s">
        <v>8004</v>
      </c>
      <c r="B2969" s="2" t="s">
        <v>5277</v>
      </c>
      <c r="C2969" s="2" t="s">
        <v>3817</v>
      </c>
      <c r="D2969" s="2" t="s">
        <v>5516</v>
      </c>
      <c r="E2969" s="2" t="s">
        <v>24</v>
      </c>
      <c r="F2969" s="52" t="s">
        <v>23</v>
      </c>
      <c r="G2969" s="3" t="s">
        <v>3190</v>
      </c>
      <c r="H2969" s="5">
        <v>0</v>
      </c>
      <c r="I2969" s="6">
        <v>710000000</v>
      </c>
      <c r="J2969" s="4" t="s">
        <v>1931</v>
      </c>
      <c r="K2969" s="4" t="s">
        <v>756</v>
      </c>
      <c r="L2969" s="3" t="s">
        <v>1165</v>
      </c>
      <c r="M2969" s="8" t="s">
        <v>3195</v>
      </c>
      <c r="N2969" s="3" t="s">
        <v>1890</v>
      </c>
      <c r="O2969" s="8" t="s">
        <v>1935</v>
      </c>
      <c r="P2969" s="8">
        <v>796</v>
      </c>
      <c r="Q2969" s="8" t="s">
        <v>3196</v>
      </c>
      <c r="R2969" s="69">
        <v>3</v>
      </c>
      <c r="S2969" s="69">
        <v>3117</v>
      </c>
      <c r="T2969" s="10">
        <f t="shared" ref="T2969" si="1831">S2969*R2969</f>
        <v>9351</v>
      </c>
      <c r="U2969" s="10">
        <f t="shared" ref="U2969" si="1832">T2969*1.12</f>
        <v>10473.120000000001</v>
      </c>
      <c r="V2969" s="7"/>
      <c r="W2969" s="1">
        <v>2015</v>
      </c>
      <c r="X2969" s="62"/>
    </row>
    <row r="2970" spans="1:24" s="13" customFormat="1" ht="76.5" customHeight="1" outlineLevel="1" x14ac:dyDescent="0.2">
      <c r="A2970" s="1" t="s">
        <v>2870</v>
      </c>
      <c r="B2970" s="38" t="s">
        <v>5277</v>
      </c>
      <c r="C2970" s="129" t="s">
        <v>47</v>
      </c>
      <c r="D2970" s="129" t="s">
        <v>5516</v>
      </c>
      <c r="E2970" s="2" t="s">
        <v>6485</v>
      </c>
      <c r="F2970" s="129"/>
      <c r="G2970" s="50" t="s">
        <v>3190</v>
      </c>
      <c r="H2970" s="5">
        <v>0</v>
      </c>
      <c r="I2970" s="6">
        <v>710000000</v>
      </c>
      <c r="J2970" s="4" t="s">
        <v>1931</v>
      </c>
      <c r="K2970" s="4" t="s">
        <v>5297</v>
      </c>
      <c r="L2970" s="7" t="s">
        <v>1940</v>
      </c>
      <c r="M2970" s="8" t="s">
        <v>3195</v>
      </c>
      <c r="N2970" s="3" t="s">
        <v>1890</v>
      </c>
      <c r="O2970" s="8" t="s">
        <v>1935</v>
      </c>
      <c r="P2970" s="8">
        <v>796</v>
      </c>
      <c r="Q2970" s="8" t="s">
        <v>3196</v>
      </c>
      <c r="R2970" s="9">
        <v>3</v>
      </c>
      <c r="S2970" s="9">
        <v>3272.8</v>
      </c>
      <c r="T2970" s="10">
        <v>0</v>
      </c>
      <c r="U2970" s="10">
        <f t="shared" si="1763"/>
        <v>0</v>
      </c>
      <c r="V2970" s="7"/>
      <c r="W2970" s="11">
        <v>2015</v>
      </c>
      <c r="X2970" s="12" t="s">
        <v>6562</v>
      </c>
    </row>
    <row r="2971" spans="1:24" s="13" customFormat="1" ht="76.5" customHeight="1" outlineLevel="1" x14ac:dyDescent="0.2">
      <c r="A2971" s="1" t="s">
        <v>6794</v>
      </c>
      <c r="B2971" s="2" t="s">
        <v>5277</v>
      </c>
      <c r="C2971" s="5" t="s">
        <v>47</v>
      </c>
      <c r="D2971" s="5" t="s">
        <v>5516</v>
      </c>
      <c r="E2971" s="2" t="s">
        <v>6485</v>
      </c>
      <c r="F2971" s="5"/>
      <c r="G2971" s="3" t="s">
        <v>3190</v>
      </c>
      <c r="H2971" s="5">
        <v>0</v>
      </c>
      <c r="I2971" s="6">
        <v>710000000</v>
      </c>
      <c r="J2971" s="4" t="s">
        <v>1931</v>
      </c>
      <c r="K2971" s="4" t="s">
        <v>5297</v>
      </c>
      <c r="L2971" s="7" t="s">
        <v>1940</v>
      </c>
      <c r="M2971" s="8" t="s">
        <v>3195</v>
      </c>
      <c r="N2971" s="3" t="s">
        <v>1890</v>
      </c>
      <c r="O2971" s="8" t="s">
        <v>1935</v>
      </c>
      <c r="P2971" s="8">
        <v>796</v>
      </c>
      <c r="Q2971" s="8" t="s">
        <v>3196</v>
      </c>
      <c r="R2971" s="69">
        <v>5</v>
      </c>
      <c r="S2971" s="69">
        <v>3272.8</v>
      </c>
      <c r="T2971" s="10">
        <v>0</v>
      </c>
      <c r="U2971" s="10">
        <f t="shared" si="1763"/>
        <v>0</v>
      </c>
      <c r="V2971" s="7"/>
      <c r="W2971" s="1">
        <v>2015</v>
      </c>
      <c r="X2971" s="62" t="s">
        <v>7518</v>
      </c>
    </row>
    <row r="2972" spans="1:24" s="13" customFormat="1" ht="76.5" customHeight="1" outlineLevel="1" x14ac:dyDescent="0.2">
      <c r="A2972" s="1" t="s">
        <v>8005</v>
      </c>
      <c r="B2972" s="2" t="s">
        <v>5277</v>
      </c>
      <c r="C2972" s="5" t="s">
        <v>47</v>
      </c>
      <c r="D2972" s="5" t="s">
        <v>5516</v>
      </c>
      <c r="E2972" s="2" t="s">
        <v>6485</v>
      </c>
      <c r="F2972" s="5"/>
      <c r="G2972" s="3" t="s">
        <v>3190</v>
      </c>
      <c r="H2972" s="5">
        <v>0</v>
      </c>
      <c r="I2972" s="6">
        <v>710000000</v>
      </c>
      <c r="J2972" s="4" t="s">
        <v>1931</v>
      </c>
      <c r="K2972" s="4" t="s">
        <v>756</v>
      </c>
      <c r="L2972" s="7" t="s">
        <v>1940</v>
      </c>
      <c r="M2972" s="8" t="s">
        <v>3195</v>
      </c>
      <c r="N2972" s="3" t="s">
        <v>1890</v>
      </c>
      <c r="O2972" s="8" t="s">
        <v>1935</v>
      </c>
      <c r="P2972" s="8">
        <v>796</v>
      </c>
      <c r="Q2972" s="8" t="s">
        <v>3196</v>
      </c>
      <c r="R2972" s="69">
        <v>0</v>
      </c>
      <c r="S2972" s="69">
        <v>3272.8</v>
      </c>
      <c r="T2972" s="10">
        <f t="shared" ref="T2972" si="1833">S2972*R2972</f>
        <v>0</v>
      </c>
      <c r="U2972" s="10">
        <f t="shared" ref="U2972" si="1834">T2972*1.12</f>
        <v>0</v>
      </c>
      <c r="V2972" s="7"/>
      <c r="W2972" s="1">
        <v>2015</v>
      </c>
      <c r="X2972" s="62"/>
    </row>
    <row r="2973" spans="1:24" s="13" customFormat="1" ht="76.5" customHeight="1" outlineLevel="1" x14ac:dyDescent="0.2">
      <c r="A2973" s="1" t="s">
        <v>2871</v>
      </c>
      <c r="B2973" s="2" t="s">
        <v>5277</v>
      </c>
      <c r="C2973" s="2" t="s">
        <v>47</v>
      </c>
      <c r="D2973" s="2" t="s">
        <v>5516</v>
      </c>
      <c r="E2973" s="2" t="s">
        <v>6485</v>
      </c>
      <c r="F2973" s="5"/>
      <c r="G2973" s="3" t="s">
        <v>3190</v>
      </c>
      <c r="H2973" s="5">
        <v>0</v>
      </c>
      <c r="I2973" s="6">
        <v>710000000</v>
      </c>
      <c r="J2973" s="4" t="s">
        <v>1931</v>
      </c>
      <c r="K2973" s="4" t="s">
        <v>5297</v>
      </c>
      <c r="L2973" s="3" t="s">
        <v>1889</v>
      </c>
      <c r="M2973" s="8" t="s">
        <v>3195</v>
      </c>
      <c r="N2973" s="3" t="s">
        <v>1890</v>
      </c>
      <c r="O2973" s="8" t="s">
        <v>1935</v>
      </c>
      <c r="P2973" s="8">
        <v>796</v>
      </c>
      <c r="Q2973" s="8" t="s">
        <v>3196</v>
      </c>
      <c r="R2973" s="69">
        <v>10</v>
      </c>
      <c r="S2973" s="69">
        <v>3272.8</v>
      </c>
      <c r="T2973" s="10">
        <v>0</v>
      </c>
      <c r="U2973" s="10">
        <f t="shared" si="1763"/>
        <v>0</v>
      </c>
      <c r="V2973" s="7"/>
      <c r="W2973" s="1">
        <v>2015</v>
      </c>
      <c r="X2973" s="62">
        <v>11</v>
      </c>
    </row>
    <row r="2974" spans="1:24" s="13" customFormat="1" ht="76.5" customHeight="1" outlineLevel="1" x14ac:dyDescent="0.2">
      <c r="A2974" s="1" t="s">
        <v>8006</v>
      </c>
      <c r="B2974" s="2" t="s">
        <v>5277</v>
      </c>
      <c r="C2974" s="2" t="s">
        <v>47</v>
      </c>
      <c r="D2974" s="2" t="s">
        <v>5516</v>
      </c>
      <c r="E2974" s="2" t="s">
        <v>6485</v>
      </c>
      <c r="F2974" s="5"/>
      <c r="G2974" s="3" t="s">
        <v>3190</v>
      </c>
      <c r="H2974" s="5">
        <v>0</v>
      </c>
      <c r="I2974" s="6">
        <v>710000000</v>
      </c>
      <c r="J2974" s="4" t="s">
        <v>1931</v>
      </c>
      <c r="K2974" s="4" t="s">
        <v>756</v>
      </c>
      <c r="L2974" s="3" t="s">
        <v>1889</v>
      </c>
      <c r="M2974" s="8" t="s">
        <v>3195</v>
      </c>
      <c r="N2974" s="3" t="s">
        <v>1890</v>
      </c>
      <c r="O2974" s="8" t="s">
        <v>1935</v>
      </c>
      <c r="P2974" s="8">
        <v>796</v>
      </c>
      <c r="Q2974" s="8" t="s">
        <v>3196</v>
      </c>
      <c r="R2974" s="69">
        <v>10</v>
      </c>
      <c r="S2974" s="69">
        <v>3272.8</v>
      </c>
      <c r="T2974" s="10">
        <f t="shared" ref="T2974" si="1835">S2974*R2974</f>
        <v>32728</v>
      </c>
      <c r="U2974" s="10">
        <f t="shared" ref="U2974" si="1836">T2974*1.12</f>
        <v>36655.360000000001</v>
      </c>
      <c r="V2974" s="7"/>
      <c r="W2974" s="1">
        <v>2015</v>
      </c>
      <c r="X2974" s="62"/>
    </row>
    <row r="2975" spans="1:24" s="13" customFormat="1" ht="76.5" customHeight="1" outlineLevel="1" x14ac:dyDescent="0.2">
      <c r="A2975" s="1" t="s">
        <v>2872</v>
      </c>
      <c r="B2975" s="2" t="s">
        <v>5277</v>
      </c>
      <c r="C2975" s="5" t="s">
        <v>46</v>
      </c>
      <c r="D2975" s="5" t="s">
        <v>43</v>
      </c>
      <c r="E2975" s="5" t="s">
        <v>45</v>
      </c>
      <c r="F2975" s="5" t="s">
        <v>3158</v>
      </c>
      <c r="G2975" s="3" t="s">
        <v>3190</v>
      </c>
      <c r="H2975" s="5">
        <v>0</v>
      </c>
      <c r="I2975" s="6">
        <v>710000000</v>
      </c>
      <c r="J2975" s="4" t="s">
        <v>1931</v>
      </c>
      <c r="K2975" s="4" t="s">
        <v>5297</v>
      </c>
      <c r="L2975" s="3" t="s">
        <v>1889</v>
      </c>
      <c r="M2975" s="8" t="s">
        <v>3195</v>
      </c>
      <c r="N2975" s="3" t="s">
        <v>1890</v>
      </c>
      <c r="O2975" s="8" t="s">
        <v>1935</v>
      </c>
      <c r="P2975" s="8">
        <v>796</v>
      </c>
      <c r="Q2975" s="8" t="s">
        <v>3196</v>
      </c>
      <c r="R2975" s="69">
        <v>5</v>
      </c>
      <c r="S2975" s="69">
        <v>17857.2</v>
      </c>
      <c r="T2975" s="10">
        <v>0</v>
      </c>
      <c r="U2975" s="10">
        <f t="shared" si="1763"/>
        <v>0</v>
      </c>
      <c r="V2975" s="7"/>
      <c r="W2975" s="1">
        <v>2015</v>
      </c>
      <c r="X2975" s="62">
        <v>11</v>
      </c>
    </row>
    <row r="2976" spans="1:24" s="13" customFormat="1" ht="76.5" customHeight="1" outlineLevel="1" x14ac:dyDescent="0.2">
      <c r="A2976" s="1" t="s">
        <v>8007</v>
      </c>
      <c r="B2976" s="2" t="s">
        <v>5277</v>
      </c>
      <c r="C2976" s="5" t="s">
        <v>46</v>
      </c>
      <c r="D2976" s="5" t="s">
        <v>43</v>
      </c>
      <c r="E2976" s="5" t="s">
        <v>45</v>
      </c>
      <c r="F2976" s="5" t="s">
        <v>3158</v>
      </c>
      <c r="G2976" s="3" t="s">
        <v>3190</v>
      </c>
      <c r="H2976" s="5">
        <v>0</v>
      </c>
      <c r="I2976" s="6">
        <v>710000000</v>
      </c>
      <c r="J2976" s="4" t="s">
        <v>1931</v>
      </c>
      <c r="K2976" s="4" t="s">
        <v>756</v>
      </c>
      <c r="L2976" s="3" t="s">
        <v>1889</v>
      </c>
      <c r="M2976" s="8" t="s">
        <v>3195</v>
      </c>
      <c r="N2976" s="3" t="s">
        <v>1890</v>
      </c>
      <c r="O2976" s="8" t="s">
        <v>1935</v>
      </c>
      <c r="P2976" s="8">
        <v>796</v>
      </c>
      <c r="Q2976" s="8" t="s">
        <v>3196</v>
      </c>
      <c r="R2976" s="69">
        <v>5</v>
      </c>
      <c r="S2976" s="69">
        <v>17857.2</v>
      </c>
      <c r="T2976" s="10">
        <f t="shared" ref="T2976" si="1837">S2976*R2976</f>
        <v>89286</v>
      </c>
      <c r="U2976" s="10">
        <f t="shared" ref="U2976" si="1838">T2976*1.12</f>
        <v>100000.32000000001</v>
      </c>
      <c r="V2976" s="7"/>
      <c r="W2976" s="1">
        <v>2015</v>
      </c>
      <c r="X2976" s="62"/>
    </row>
    <row r="2977" spans="1:24" s="13" customFormat="1" ht="76.5" customHeight="1" outlineLevel="1" x14ac:dyDescent="0.2">
      <c r="A2977" s="1" t="s">
        <v>2873</v>
      </c>
      <c r="B2977" s="2" t="s">
        <v>5277</v>
      </c>
      <c r="C2977" s="5" t="s">
        <v>44</v>
      </c>
      <c r="D2977" s="5" t="s">
        <v>43</v>
      </c>
      <c r="E2977" s="5" t="s">
        <v>42</v>
      </c>
      <c r="F2977" s="5" t="s">
        <v>41</v>
      </c>
      <c r="G2977" s="3" t="s">
        <v>3190</v>
      </c>
      <c r="H2977" s="5">
        <v>0</v>
      </c>
      <c r="I2977" s="6">
        <v>710000000</v>
      </c>
      <c r="J2977" s="4" t="s">
        <v>1931</v>
      </c>
      <c r="K2977" s="4" t="s">
        <v>5297</v>
      </c>
      <c r="L2977" s="3" t="s">
        <v>1889</v>
      </c>
      <c r="M2977" s="8" t="s">
        <v>3195</v>
      </c>
      <c r="N2977" s="3" t="s">
        <v>1890</v>
      </c>
      <c r="O2977" s="8" t="s">
        <v>1935</v>
      </c>
      <c r="P2977" s="8">
        <v>796</v>
      </c>
      <c r="Q2977" s="8" t="s">
        <v>3196</v>
      </c>
      <c r="R2977" s="69">
        <v>5</v>
      </c>
      <c r="S2977" s="69">
        <v>8035.8</v>
      </c>
      <c r="T2977" s="10">
        <v>0</v>
      </c>
      <c r="U2977" s="10">
        <f t="shared" si="1763"/>
        <v>0</v>
      </c>
      <c r="V2977" s="7"/>
      <c r="W2977" s="1">
        <v>2015</v>
      </c>
      <c r="X2977" s="62">
        <v>11</v>
      </c>
    </row>
    <row r="2978" spans="1:24" s="13" customFormat="1" ht="76.5" customHeight="1" outlineLevel="1" x14ac:dyDescent="0.2">
      <c r="A2978" s="1" t="s">
        <v>8008</v>
      </c>
      <c r="B2978" s="2" t="s">
        <v>5277</v>
      </c>
      <c r="C2978" s="5" t="s">
        <v>44</v>
      </c>
      <c r="D2978" s="5" t="s">
        <v>43</v>
      </c>
      <c r="E2978" s="5" t="s">
        <v>42</v>
      </c>
      <c r="F2978" s="5" t="s">
        <v>41</v>
      </c>
      <c r="G2978" s="3" t="s">
        <v>3190</v>
      </c>
      <c r="H2978" s="5">
        <v>0</v>
      </c>
      <c r="I2978" s="6">
        <v>710000000</v>
      </c>
      <c r="J2978" s="4" t="s">
        <v>1931</v>
      </c>
      <c r="K2978" s="4" t="s">
        <v>756</v>
      </c>
      <c r="L2978" s="3" t="s">
        <v>1889</v>
      </c>
      <c r="M2978" s="8" t="s">
        <v>3195</v>
      </c>
      <c r="N2978" s="3" t="s">
        <v>1890</v>
      </c>
      <c r="O2978" s="8" t="s">
        <v>1935</v>
      </c>
      <c r="P2978" s="8">
        <v>796</v>
      </c>
      <c r="Q2978" s="8" t="s">
        <v>3196</v>
      </c>
      <c r="R2978" s="69">
        <v>5</v>
      </c>
      <c r="S2978" s="69">
        <v>8035.8</v>
      </c>
      <c r="T2978" s="10">
        <f t="shared" ref="T2978" si="1839">S2978*R2978</f>
        <v>40179</v>
      </c>
      <c r="U2978" s="10">
        <f t="shared" ref="U2978" si="1840">T2978*1.12</f>
        <v>45000.480000000003</v>
      </c>
      <c r="V2978" s="7"/>
      <c r="W2978" s="1">
        <v>2015</v>
      </c>
      <c r="X2978" s="62"/>
    </row>
    <row r="2979" spans="1:24" s="13" customFormat="1" ht="76.5" customHeight="1" outlineLevel="1" x14ac:dyDescent="0.2">
      <c r="A2979" s="1" t="s">
        <v>2874</v>
      </c>
      <c r="B2979" s="2" t="s">
        <v>5277</v>
      </c>
      <c r="C2979" s="2" t="s">
        <v>3848</v>
      </c>
      <c r="D2979" s="2" t="s">
        <v>5953</v>
      </c>
      <c r="E2979" s="6" t="s">
        <v>5494</v>
      </c>
      <c r="F2979" s="52" t="s">
        <v>40</v>
      </c>
      <c r="G2979" s="3" t="s">
        <v>3190</v>
      </c>
      <c r="H2979" s="5">
        <v>0</v>
      </c>
      <c r="I2979" s="6">
        <v>710000000</v>
      </c>
      <c r="J2979" s="4" t="s">
        <v>1931</v>
      </c>
      <c r="K2979" s="4" t="s">
        <v>5297</v>
      </c>
      <c r="L2979" s="3" t="s">
        <v>1889</v>
      </c>
      <c r="M2979" s="8" t="s">
        <v>3195</v>
      </c>
      <c r="N2979" s="3" t="s">
        <v>1890</v>
      </c>
      <c r="O2979" s="8" t="s">
        <v>1935</v>
      </c>
      <c r="P2979" s="8">
        <v>796</v>
      </c>
      <c r="Q2979" s="8" t="s">
        <v>3196</v>
      </c>
      <c r="R2979" s="69">
        <v>9</v>
      </c>
      <c r="S2979" s="69">
        <v>563.33000000000004</v>
      </c>
      <c r="T2979" s="10">
        <v>0</v>
      </c>
      <c r="U2979" s="10">
        <f t="shared" si="1763"/>
        <v>0</v>
      </c>
      <c r="V2979" s="7"/>
      <c r="W2979" s="1">
        <v>2015</v>
      </c>
      <c r="X2979" s="62">
        <v>11</v>
      </c>
    </row>
    <row r="2980" spans="1:24" s="13" customFormat="1" ht="76.5" customHeight="1" outlineLevel="1" x14ac:dyDescent="0.2">
      <c r="A2980" s="1" t="s">
        <v>8009</v>
      </c>
      <c r="B2980" s="2" t="s">
        <v>5277</v>
      </c>
      <c r="C2980" s="2" t="s">
        <v>3848</v>
      </c>
      <c r="D2980" s="2" t="s">
        <v>5953</v>
      </c>
      <c r="E2980" s="6" t="s">
        <v>5494</v>
      </c>
      <c r="F2980" s="52" t="s">
        <v>40</v>
      </c>
      <c r="G2980" s="3" t="s">
        <v>3190</v>
      </c>
      <c r="H2980" s="5">
        <v>0</v>
      </c>
      <c r="I2980" s="6">
        <v>710000000</v>
      </c>
      <c r="J2980" s="4" t="s">
        <v>1931</v>
      </c>
      <c r="K2980" s="4" t="s">
        <v>756</v>
      </c>
      <c r="L2980" s="3" t="s">
        <v>1889</v>
      </c>
      <c r="M2980" s="8" t="s">
        <v>3195</v>
      </c>
      <c r="N2980" s="3" t="s">
        <v>1890</v>
      </c>
      <c r="O2980" s="8" t="s">
        <v>1935</v>
      </c>
      <c r="P2980" s="8">
        <v>796</v>
      </c>
      <c r="Q2980" s="8" t="s">
        <v>3196</v>
      </c>
      <c r="R2980" s="69">
        <v>9</v>
      </c>
      <c r="S2980" s="69">
        <v>563.33000000000004</v>
      </c>
      <c r="T2980" s="10">
        <f t="shared" ref="T2980" si="1841">S2980*R2980</f>
        <v>5069.97</v>
      </c>
      <c r="U2980" s="10">
        <f t="shared" ref="U2980" si="1842">T2980*1.12</f>
        <v>5678.3664000000008</v>
      </c>
      <c r="V2980" s="7"/>
      <c r="W2980" s="1">
        <v>2015</v>
      </c>
      <c r="X2980" s="62"/>
    </row>
    <row r="2981" spans="1:24" s="13" customFormat="1" ht="76.5" customHeight="1" outlineLevel="1" x14ac:dyDescent="0.2">
      <c r="A2981" s="1" t="s">
        <v>2875</v>
      </c>
      <c r="B2981" s="2" t="s">
        <v>5277</v>
      </c>
      <c r="C2981" s="2" t="s">
        <v>3847</v>
      </c>
      <c r="D2981" s="2" t="s">
        <v>5953</v>
      </c>
      <c r="E2981" s="6" t="s">
        <v>5495</v>
      </c>
      <c r="F2981" s="52" t="s">
        <v>39</v>
      </c>
      <c r="G2981" s="3" t="s">
        <v>3190</v>
      </c>
      <c r="H2981" s="5">
        <v>0</v>
      </c>
      <c r="I2981" s="6">
        <v>710000000</v>
      </c>
      <c r="J2981" s="4" t="s">
        <v>1931</v>
      </c>
      <c r="K2981" s="4" t="s">
        <v>5297</v>
      </c>
      <c r="L2981" s="3" t="s">
        <v>1889</v>
      </c>
      <c r="M2981" s="8" t="s">
        <v>3195</v>
      </c>
      <c r="N2981" s="3" t="s">
        <v>1890</v>
      </c>
      <c r="O2981" s="8" t="s">
        <v>1935</v>
      </c>
      <c r="P2981" s="8">
        <v>796</v>
      </c>
      <c r="Q2981" s="8" t="s">
        <v>3196</v>
      </c>
      <c r="R2981" s="69">
        <v>9</v>
      </c>
      <c r="S2981" s="69">
        <v>903.44</v>
      </c>
      <c r="T2981" s="10">
        <v>0</v>
      </c>
      <c r="U2981" s="10">
        <f t="shared" si="1763"/>
        <v>0</v>
      </c>
      <c r="V2981" s="7"/>
      <c r="W2981" s="1">
        <v>2015</v>
      </c>
      <c r="X2981" s="62">
        <v>11</v>
      </c>
    </row>
    <row r="2982" spans="1:24" s="13" customFormat="1" ht="76.5" customHeight="1" outlineLevel="1" x14ac:dyDescent="0.2">
      <c r="A2982" s="1" t="s">
        <v>8010</v>
      </c>
      <c r="B2982" s="2" t="s">
        <v>5277</v>
      </c>
      <c r="C2982" s="2" t="s">
        <v>3847</v>
      </c>
      <c r="D2982" s="2" t="s">
        <v>5953</v>
      </c>
      <c r="E2982" s="6" t="s">
        <v>5495</v>
      </c>
      <c r="F2982" s="52" t="s">
        <v>39</v>
      </c>
      <c r="G2982" s="3" t="s">
        <v>3190</v>
      </c>
      <c r="H2982" s="5">
        <v>0</v>
      </c>
      <c r="I2982" s="6">
        <v>710000000</v>
      </c>
      <c r="J2982" s="4" t="s">
        <v>1931</v>
      </c>
      <c r="K2982" s="4" t="s">
        <v>756</v>
      </c>
      <c r="L2982" s="3" t="s">
        <v>1889</v>
      </c>
      <c r="M2982" s="8" t="s">
        <v>3195</v>
      </c>
      <c r="N2982" s="3" t="s">
        <v>1890</v>
      </c>
      <c r="O2982" s="8" t="s">
        <v>1935</v>
      </c>
      <c r="P2982" s="8">
        <v>796</v>
      </c>
      <c r="Q2982" s="8" t="s">
        <v>3196</v>
      </c>
      <c r="R2982" s="69">
        <v>9</v>
      </c>
      <c r="S2982" s="69">
        <v>903.44</v>
      </c>
      <c r="T2982" s="10">
        <f t="shared" ref="T2982" si="1843">S2982*R2982</f>
        <v>8130.9600000000009</v>
      </c>
      <c r="U2982" s="10">
        <f t="shared" ref="U2982" si="1844">T2982*1.12</f>
        <v>9106.6752000000015</v>
      </c>
      <c r="V2982" s="7"/>
      <c r="W2982" s="1">
        <v>2015</v>
      </c>
      <c r="X2982" s="62"/>
    </row>
    <row r="2983" spans="1:24" s="13" customFormat="1" ht="76.5" customHeight="1" outlineLevel="1" x14ac:dyDescent="0.2">
      <c r="A2983" s="1" t="s">
        <v>2876</v>
      </c>
      <c r="B2983" s="2" t="s">
        <v>5277</v>
      </c>
      <c r="C2983" s="2" t="s">
        <v>3845</v>
      </c>
      <c r="D2983" s="2" t="s">
        <v>5953</v>
      </c>
      <c r="E2983" s="6" t="s">
        <v>5496</v>
      </c>
      <c r="F2983" s="52" t="s">
        <v>38</v>
      </c>
      <c r="G2983" s="3" t="s">
        <v>3190</v>
      </c>
      <c r="H2983" s="5">
        <v>0</v>
      </c>
      <c r="I2983" s="6">
        <v>710000000</v>
      </c>
      <c r="J2983" s="4" t="s">
        <v>1931</v>
      </c>
      <c r="K2983" s="4" t="s">
        <v>5297</v>
      </c>
      <c r="L2983" s="3" t="s">
        <v>1889</v>
      </c>
      <c r="M2983" s="8" t="s">
        <v>3195</v>
      </c>
      <c r="N2983" s="3" t="s">
        <v>1890</v>
      </c>
      <c r="O2983" s="8" t="s">
        <v>1935</v>
      </c>
      <c r="P2983" s="8">
        <v>796</v>
      </c>
      <c r="Q2983" s="8" t="s">
        <v>3196</v>
      </c>
      <c r="R2983" s="69">
        <v>9</v>
      </c>
      <c r="S2983" s="69">
        <v>1240.67</v>
      </c>
      <c r="T2983" s="10">
        <v>0</v>
      </c>
      <c r="U2983" s="10">
        <f t="shared" si="1763"/>
        <v>0</v>
      </c>
      <c r="V2983" s="7"/>
      <c r="W2983" s="1">
        <v>2015</v>
      </c>
      <c r="X2983" s="62">
        <v>11</v>
      </c>
    </row>
    <row r="2984" spans="1:24" s="13" customFormat="1" ht="76.5" customHeight="1" outlineLevel="1" x14ac:dyDescent="0.2">
      <c r="A2984" s="1" t="s">
        <v>8011</v>
      </c>
      <c r="B2984" s="2" t="s">
        <v>5277</v>
      </c>
      <c r="C2984" s="2" t="s">
        <v>3845</v>
      </c>
      <c r="D2984" s="2" t="s">
        <v>5953</v>
      </c>
      <c r="E2984" s="6" t="s">
        <v>5496</v>
      </c>
      <c r="F2984" s="52" t="s">
        <v>38</v>
      </c>
      <c r="G2984" s="3" t="s">
        <v>3190</v>
      </c>
      <c r="H2984" s="5">
        <v>0</v>
      </c>
      <c r="I2984" s="6">
        <v>710000000</v>
      </c>
      <c r="J2984" s="4" t="s">
        <v>1931</v>
      </c>
      <c r="K2984" s="4" t="s">
        <v>756</v>
      </c>
      <c r="L2984" s="3" t="s">
        <v>1889</v>
      </c>
      <c r="M2984" s="8" t="s">
        <v>3195</v>
      </c>
      <c r="N2984" s="3" t="s">
        <v>1890</v>
      </c>
      <c r="O2984" s="8" t="s">
        <v>1935</v>
      </c>
      <c r="P2984" s="8">
        <v>796</v>
      </c>
      <c r="Q2984" s="8" t="s">
        <v>3196</v>
      </c>
      <c r="R2984" s="69">
        <v>9</v>
      </c>
      <c r="S2984" s="69">
        <v>1240.67</v>
      </c>
      <c r="T2984" s="10">
        <f t="shared" ref="T2984" si="1845">S2984*R2984</f>
        <v>11166.03</v>
      </c>
      <c r="U2984" s="10">
        <f t="shared" ref="U2984" si="1846">T2984*1.12</f>
        <v>12505.953600000003</v>
      </c>
      <c r="V2984" s="7"/>
      <c r="W2984" s="1">
        <v>2015</v>
      </c>
      <c r="X2984" s="62"/>
    </row>
    <row r="2985" spans="1:24" s="13" customFormat="1" ht="76.5" customHeight="1" outlineLevel="1" x14ac:dyDescent="0.2">
      <c r="A2985" s="1" t="s">
        <v>2877</v>
      </c>
      <c r="B2985" s="2" t="s">
        <v>5277</v>
      </c>
      <c r="C2985" s="2" t="s">
        <v>3843</v>
      </c>
      <c r="D2985" s="2" t="s">
        <v>5953</v>
      </c>
      <c r="E2985" s="6" t="s">
        <v>5497</v>
      </c>
      <c r="F2985" s="52" t="s">
        <v>37</v>
      </c>
      <c r="G2985" s="3" t="s">
        <v>3190</v>
      </c>
      <c r="H2985" s="5">
        <v>0</v>
      </c>
      <c r="I2985" s="6">
        <v>710000000</v>
      </c>
      <c r="J2985" s="4" t="s">
        <v>1931</v>
      </c>
      <c r="K2985" s="4" t="s">
        <v>5297</v>
      </c>
      <c r="L2985" s="3" t="s">
        <v>1889</v>
      </c>
      <c r="M2985" s="8" t="s">
        <v>3195</v>
      </c>
      <c r="N2985" s="3" t="s">
        <v>1890</v>
      </c>
      <c r="O2985" s="8" t="s">
        <v>1935</v>
      </c>
      <c r="P2985" s="8">
        <v>796</v>
      </c>
      <c r="Q2985" s="8" t="s">
        <v>3196</v>
      </c>
      <c r="R2985" s="69">
        <v>4</v>
      </c>
      <c r="S2985" s="69">
        <v>1755.75</v>
      </c>
      <c r="T2985" s="10">
        <v>0</v>
      </c>
      <c r="U2985" s="10">
        <f t="shared" si="1763"/>
        <v>0</v>
      </c>
      <c r="V2985" s="7"/>
      <c r="W2985" s="1">
        <v>2015</v>
      </c>
      <c r="X2985" s="62">
        <v>11</v>
      </c>
    </row>
    <row r="2986" spans="1:24" s="13" customFormat="1" ht="76.5" customHeight="1" outlineLevel="1" x14ac:dyDescent="0.2">
      <c r="A2986" s="1" t="s">
        <v>8012</v>
      </c>
      <c r="B2986" s="2" t="s">
        <v>5277</v>
      </c>
      <c r="C2986" s="2" t="s">
        <v>3843</v>
      </c>
      <c r="D2986" s="2" t="s">
        <v>5953</v>
      </c>
      <c r="E2986" s="6" t="s">
        <v>5497</v>
      </c>
      <c r="F2986" s="52" t="s">
        <v>37</v>
      </c>
      <c r="G2986" s="3" t="s">
        <v>3190</v>
      </c>
      <c r="H2986" s="5">
        <v>0</v>
      </c>
      <c r="I2986" s="6">
        <v>710000000</v>
      </c>
      <c r="J2986" s="4" t="s">
        <v>1931</v>
      </c>
      <c r="K2986" s="4" t="s">
        <v>756</v>
      </c>
      <c r="L2986" s="3" t="s">
        <v>1889</v>
      </c>
      <c r="M2986" s="8" t="s">
        <v>3195</v>
      </c>
      <c r="N2986" s="3" t="s">
        <v>1890</v>
      </c>
      <c r="O2986" s="8" t="s">
        <v>1935</v>
      </c>
      <c r="P2986" s="8">
        <v>796</v>
      </c>
      <c r="Q2986" s="8" t="s">
        <v>3196</v>
      </c>
      <c r="R2986" s="69">
        <v>4</v>
      </c>
      <c r="S2986" s="69">
        <v>1755.75</v>
      </c>
      <c r="T2986" s="10">
        <f t="shared" ref="T2986" si="1847">S2986*R2986</f>
        <v>7023</v>
      </c>
      <c r="U2986" s="10">
        <f t="shared" ref="U2986" si="1848">T2986*1.12</f>
        <v>7865.7600000000011</v>
      </c>
      <c r="V2986" s="7"/>
      <c r="W2986" s="1">
        <v>2015</v>
      </c>
      <c r="X2986" s="62"/>
    </row>
    <row r="2987" spans="1:24" s="13" customFormat="1" ht="76.5" customHeight="1" outlineLevel="1" x14ac:dyDescent="0.2">
      <c r="A2987" s="1" t="s">
        <v>2878</v>
      </c>
      <c r="B2987" s="2" t="s">
        <v>5277</v>
      </c>
      <c r="C2987" s="2" t="s">
        <v>3841</v>
      </c>
      <c r="D2987" s="2" t="s">
        <v>5953</v>
      </c>
      <c r="E2987" s="6" t="s">
        <v>5498</v>
      </c>
      <c r="F2987" s="52" t="s">
        <v>36</v>
      </c>
      <c r="G2987" s="3" t="s">
        <v>3190</v>
      </c>
      <c r="H2987" s="5">
        <v>0</v>
      </c>
      <c r="I2987" s="6">
        <v>710000000</v>
      </c>
      <c r="J2987" s="4" t="s">
        <v>1931</v>
      </c>
      <c r="K2987" s="4" t="s">
        <v>5297</v>
      </c>
      <c r="L2987" s="3" t="s">
        <v>1889</v>
      </c>
      <c r="M2987" s="8" t="s">
        <v>3195</v>
      </c>
      <c r="N2987" s="3" t="s">
        <v>1890</v>
      </c>
      <c r="O2987" s="8" t="s">
        <v>1935</v>
      </c>
      <c r="P2987" s="8">
        <v>796</v>
      </c>
      <c r="Q2987" s="8" t="s">
        <v>3196</v>
      </c>
      <c r="R2987" s="69">
        <v>4</v>
      </c>
      <c r="S2987" s="69">
        <v>3014.5</v>
      </c>
      <c r="T2987" s="10">
        <v>0</v>
      </c>
      <c r="U2987" s="10">
        <f t="shared" si="1763"/>
        <v>0</v>
      </c>
      <c r="V2987" s="7"/>
      <c r="W2987" s="1">
        <v>2015</v>
      </c>
      <c r="X2987" s="62">
        <v>11</v>
      </c>
    </row>
    <row r="2988" spans="1:24" s="13" customFormat="1" ht="76.5" outlineLevel="1" x14ac:dyDescent="0.2">
      <c r="A2988" s="1" t="s">
        <v>8013</v>
      </c>
      <c r="B2988" s="2" t="s">
        <v>5277</v>
      </c>
      <c r="C2988" s="2" t="s">
        <v>3841</v>
      </c>
      <c r="D2988" s="2" t="s">
        <v>5953</v>
      </c>
      <c r="E2988" s="6" t="s">
        <v>5498</v>
      </c>
      <c r="F2988" s="52" t="s">
        <v>36</v>
      </c>
      <c r="G2988" s="3" t="s">
        <v>3190</v>
      </c>
      <c r="H2988" s="5">
        <v>0</v>
      </c>
      <c r="I2988" s="6">
        <v>710000000</v>
      </c>
      <c r="J2988" s="4" t="s">
        <v>1931</v>
      </c>
      <c r="K2988" s="4" t="s">
        <v>756</v>
      </c>
      <c r="L2988" s="3" t="s">
        <v>1889</v>
      </c>
      <c r="M2988" s="8" t="s">
        <v>3195</v>
      </c>
      <c r="N2988" s="3" t="s">
        <v>1890</v>
      </c>
      <c r="O2988" s="8" t="s">
        <v>1935</v>
      </c>
      <c r="P2988" s="8">
        <v>796</v>
      </c>
      <c r="Q2988" s="8" t="s">
        <v>3196</v>
      </c>
      <c r="R2988" s="69">
        <v>4</v>
      </c>
      <c r="S2988" s="69">
        <v>3014.5</v>
      </c>
      <c r="T2988" s="10">
        <v>0</v>
      </c>
      <c r="U2988" s="10">
        <f t="shared" ref="U2988" si="1849">T2988*1.12</f>
        <v>0</v>
      </c>
      <c r="V2988" s="7"/>
      <c r="W2988" s="1">
        <v>2015</v>
      </c>
      <c r="X2988" s="62" t="s">
        <v>7518</v>
      </c>
    </row>
    <row r="2989" spans="1:24" s="13" customFormat="1" ht="76.5" outlineLevel="1" x14ac:dyDescent="0.2">
      <c r="A2989" s="1" t="s">
        <v>9305</v>
      </c>
      <c r="B2989" s="2" t="s">
        <v>5277</v>
      </c>
      <c r="C2989" s="2" t="s">
        <v>3841</v>
      </c>
      <c r="D2989" s="2" t="s">
        <v>5953</v>
      </c>
      <c r="E2989" s="6" t="s">
        <v>5498</v>
      </c>
      <c r="F2989" s="52" t="s">
        <v>36</v>
      </c>
      <c r="G2989" s="3" t="s">
        <v>3190</v>
      </c>
      <c r="H2989" s="5">
        <v>0</v>
      </c>
      <c r="I2989" s="6">
        <v>710000000</v>
      </c>
      <c r="J2989" s="4" t="s">
        <v>1931</v>
      </c>
      <c r="K2989" s="4" t="s">
        <v>9276</v>
      </c>
      <c r="L2989" s="3" t="s">
        <v>1889</v>
      </c>
      <c r="M2989" s="8" t="s">
        <v>3195</v>
      </c>
      <c r="N2989" s="3" t="s">
        <v>1890</v>
      </c>
      <c r="O2989" s="8" t="s">
        <v>1935</v>
      </c>
      <c r="P2989" s="8">
        <v>796</v>
      </c>
      <c r="Q2989" s="8" t="s">
        <v>3196</v>
      </c>
      <c r="R2989" s="69">
        <f>4+36</f>
        <v>40</v>
      </c>
      <c r="S2989" s="69">
        <v>3014.5</v>
      </c>
      <c r="T2989" s="10">
        <v>0</v>
      </c>
      <c r="U2989" s="10">
        <f t="shared" ref="U2989" si="1850">T2989*1.12</f>
        <v>0</v>
      </c>
      <c r="V2989" s="7"/>
      <c r="W2989" s="1">
        <v>2015</v>
      </c>
      <c r="X2989" s="62" t="s">
        <v>6562</v>
      </c>
    </row>
    <row r="2990" spans="1:24" s="13" customFormat="1" ht="76.5" outlineLevel="1" x14ac:dyDescent="0.2">
      <c r="A2990" s="1" t="s">
        <v>9406</v>
      </c>
      <c r="B2990" s="2" t="s">
        <v>5277</v>
      </c>
      <c r="C2990" s="2" t="s">
        <v>3841</v>
      </c>
      <c r="D2990" s="2" t="s">
        <v>5953</v>
      </c>
      <c r="E2990" s="6" t="s">
        <v>5498</v>
      </c>
      <c r="F2990" s="52" t="s">
        <v>36</v>
      </c>
      <c r="G2990" s="3" t="s">
        <v>3190</v>
      </c>
      <c r="H2990" s="5">
        <v>0</v>
      </c>
      <c r="I2990" s="6">
        <v>710000000</v>
      </c>
      <c r="J2990" s="4" t="s">
        <v>1931</v>
      </c>
      <c r="K2990" s="4" t="s">
        <v>9276</v>
      </c>
      <c r="L2990" s="3" t="s">
        <v>1889</v>
      </c>
      <c r="M2990" s="8" t="s">
        <v>3195</v>
      </c>
      <c r="N2990" s="3" t="s">
        <v>1890</v>
      </c>
      <c r="O2990" s="8" t="s">
        <v>1935</v>
      </c>
      <c r="P2990" s="8">
        <v>796</v>
      </c>
      <c r="Q2990" s="8" t="s">
        <v>3196</v>
      </c>
      <c r="R2990" s="69">
        <f>4+36+4+15</f>
        <v>59</v>
      </c>
      <c r="S2990" s="69">
        <v>3014.5</v>
      </c>
      <c r="T2990" s="10">
        <f t="shared" ref="T2990" si="1851">S2990*R2990</f>
        <v>177855.5</v>
      </c>
      <c r="U2990" s="10">
        <f t="shared" ref="U2990" si="1852">T2990*1.12</f>
        <v>199198.16000000003</v>
      </c>
      <c r="V2990" s="7"/>
      <c r="W2990" s="1">
        <v>2015</v>
      </c>
      <c r="X2990" s="62"/>
    </row>
    <row r="2991" spans="1:24" s="13" customFormat="1" ht="76.5" customHeight="1" outlineLevel="1" x14ac:dyDescent="0.2">
      <c r="A2991" s="1" t="s">
        <v>2879</v>
      </c>
      <c r="B2991" s="2" t="s">
        <v>5277</v>
      </c>
      <c r="C2991" s="2" t="s">
        <v>3848</v>
      </c>
      <c r="D2991" s="2" t="s">
        <v>5953</v>
      </c>
      <c r="E2991" s="6" t="s">
        <v>5494</v>
      </c>
      <c r="F2991" s="2" t="s">
        <v>32</v>
      </c>
      <c r="G2991" s="3" t="s">
        <v>3190</v>
      </c>
      <c r="H2991" s="5">
        <v>0</v>
      </c>
      <c r="I2991" s="6">
        <v>710000000</v>
      </c>
      <c r="J2991" s="4" t="s">
        <v>1931</v>
      </c>
      <c r="K2991" s="4" t="s">
        <v>5297</v>
      </c>
      <c r="L2991" s="3" t="s">
        <v>1889</v>
      </c>
      <c r="M2991" s="8" t="s">
        <v>3195</v>
      </c>
      <c r="N2991" s="3" t="s">
        <v>1890</v>
      </c>
      <c r="O2991" s="8" t="s">
        <v>1935</v>
      </c>
      <c r="P2991" s="8">
        <v>796</v>
      </c>
      <c r="Q2991" s="8" t="s">
        <v>3196</v>
      </c>
      <c r="R2991" s="69">
        <v>8</v>
      </c>
      <c r="S2991" s="69">
        <v>442</v>
      </c>
      <c r="T2991" s="10">
        <v>0</v>
      </c>
      <c r="U2991" s="10">
        <f t="shared" si="1763"/>
        <v>0</v>
      </c>
      <c r="V2991" s="7"/>
      <c r="W2991" s="1">
        <v>2015</v>
      </c>
      <c r="X2991" s="62">
        <v>11</v>
      </c>
    </row>
    <row r="2992" spans="1:24" s="13" customFormat="1" ht="76.5" customHeight="1" outlineLevel="1" x14ac:dyDescent="0.2">
      <c r="A2992" s="1" t="s">
        <v>8014</v>
      </c>
      <c r="B2992" s="2" t="s">
        <v>5277</v>
      </c>
      <c r="C2992" s="2" t="s">
        <v>3848</v>
      </c>
      <c r="D2992" s="2" t="s">
        <v>5953</v>
      </c>
      <c r="E2992" s="6" t="s">
        <v>5494</v>
      </c>
      <c r="F2992" s="2" t="s">
        <v>32</v>
      </c>
      <c r="G2992" s="3" t="s">
        <v>3190</v>
      </c>
      <c r="H2992" s="5">
        <v>0</v>
      </c>
      <c r="I2992" s="6">
        <v>710000000</v>
      </c>
      <c r="J2992" s="4" t="s">
        <v>1931</v>
      </c>
      <c r="K2992" s="4" t="s">
        <v>756</v>
      </c>
      <c r="L2992" s="3" t="s">
        <v>1889</v>
      </c>
      <c r="M2992" s="8" t="s">
        <v>3195</v>
      </c>
      <c r="N2992" s="3" t="s">
        <v>1890</v>
      </c>
      <c r="O2992" s="8" t="s">
        <v>1935</v>
      </c>
      <c r="P2992" s="8">
        <v>796</v>
      </c>
      <c r="Q2992" s="8" t="s">
        <v>3196</v>
      </c>
      <c r="R2992" s="69">
        <v>8</v>
      </c>
      <c r="S2992" s="69">
        <v>442</v>
      </c>
      <c r="T2992" s="10">
        <f t="shared" ref="T2992" si="1853">S2992*R2992</f>
        <v>3536</v>
      </c>
      <c r="U2992" s="10">
        <f t="shared" ref="U2992" si="1854">T2992*1.12</f>
        <v>3960.32</v>
      </c>
      <c r="V2992" s="7"/>
      <c r="W2992" s="1">
        <v>2015</v>
      </c>
      <c r="X2992" s="62"/>
    </row>
    <row r="2993" spans="1:24" s="13" customFormat="1" ht="76.5" customHeight="1" outlineLevel="1" x14ac:dyDescent="0.2">
      <c r="A2993" s="1" t="s">
        <v>2880</v>
      </c>
      <c r="B2993" s="2" t="s">
        <v>5277</v>
      </c>
      <c r="C2993" s="2" t="s">
        <v>3847</v>
      </c>
      <c r="D2993" s="2" t="s">
        <v>5953</v>
      </c>
      <c r="E2993" s="6" t="s">
        <v>5495</v>
      </c>
      <c r="F2993" s="2" t="s">
        <v>32</v>
      </c>
      <c r="G2993" s="3" t="s">
        <v>3190</v>
      </c>
      <c r="H2993" s="5">
        <v>0</v>
      </c>
      <c r="I2993" s="6">
        <v>710000000</v>
      </c>
      <c r="J2993" s="4" t="s">
        <v>1931</v>
      </c>
      <c r="K2993" s="4" t="s">
        <v>5297</v>
      </c>
      <c r="L2993" s="3" t="s">
        <v>1889</v>
      </c>
      <c r="M2993" s="8" t="s">
        <v>3195</v>
      </c>
      <c r="N2993" s="3" t="s">
        <v>1890</v>
      </c>
      <c r="O2993" s="8" t="s">
        <v>1935</v>
      </c>
      <c r="P2993" s="8">
        <v>796</v>
      </c>
      <c r="Q2993" s="8" t="s">
        <v>3196</v>
      </c>
      <c r="R2993" s="69">
        <v>5</v>
      </c>
      <c r="S2993" s="69">
        <v>709</v>
      </c>
      <c r="T2993" s="10">
        <v>0</v>
      </c>
      <c r="U2993" s="10">
        <f t="shared" si="1763"/>
        <v>0</v>
      </c>
      <c r="V2993" s="7"/>
      <c r="W2993" s="1">
        <v>2015</v>
      </c>
      <c r="X2993" s="62">
        <v>11</v>
      </c>
    </row>
    <row r="2994" spans="1:24" s="13" customFormat="1" ht="76.5" customHeight="1" outlineLevel="1" x14ac:dyDescent="0.2">
      <c r="A2994" s="1" t="s">
        <v>8015</v>
      </c>
      <c r="B2994" s="2" t="s">
        <v>5277</v>
      </c>
      <c r="C2994" s="2" t="s">
        <v>3847</v>
      </c>
      <c r="D2994" s="2" t="s">
        <v>5953</v>
      </c>
      <c r="E2994" s="6" t="s">
        <v>5495</v>
      </c>
      <c r="F2994" s="2" t="s">
        <v>32</v>
      </c>
      <c r="G2994" s="3" t="s">
        <v>3190</v>
      </c>
      <c r="H2994" s="5">
        <v>0</v>
      </c>
      <c r="I2994" s="6">
        <v>710000000</v>
      </c>
      <c r="J2994" s="4" t="s">
        <v>1931</v>
      </c>
      <c r="K2994" s="4" t="s">
        <v>756</v>
      </c>
      <c r="L2994" s="3" t="s">
        <v>1889</v>
      </c>
      <c r="M2994" s="8" t="s">
        <v>3195</v>
      </c>
      <c r="N2994" s="3" t="s">
        <v>1890</v>
      </c>
      <c r="O2994" s="8" t="s">
        <v>1935</v>
      </c>
      <c r="P2994" s="8">
        <v>796</v>
      </c>
      <c r="Q2994" s="8" t="s">
        <v>3196</v>
      </c>
      <c r="R2994" s="69">
        <v>5</v>
      </c>
      <c r="S2994" s="69">
        <v>709</v>
      </c>
      <c r="T2994" s="10">
        <f t="shared" ref="T2994" si="1855">S2994*R2994</f>
        <v>3545</v>
      </c>
      <c r="U2994" s="10">
        <f t="shared" ref="U2994" si="1856">T2994*1.12</f>
        <v>3970.4000000000005</v>
      </c>
      <c r="V2994" s="7"/>
      <c r="W2994" s="1">
        <v>2015</v>
      </c>
      <c r="X2994" s="62"/>
    </row>
    <row r="2995" spans="1:24" s="13" customFormat="1" ht="76.5" customHeight="1" outlineLevel="1" x14ac:dyDescent="0.2">
      <c r="A2995" s="1" t="s">
        <v>2881</v>
      </c>
      <c r="B2995" s="2" t="s">
        <v>5277</v>
      </c>
      <c r="C2995" s="2" t="s">
        <v>35</v>
      </c>
      <c r="D2995" s="2" t="s">
        <v>5953</v>
      </c>
      <c r="E2995" s="6" t="s">
        <v>34</v>
      </c>
      <c r="F2995" s="2" t="s">
        <v>32</v>
      </c>
      <c r="G2995" s="3" t="s">
        <v>3190</v>
      </c>
      <c r="H2995" s="5">
        <v>0</v>
      </c>
      <c r="I2995" s="6">
        <v>710000000</v>
      </c>
      <c r="J2995" s="4" t="s">
        <v>1931</v>
      </c>
      <c r="K2995" s="4" t="s">
        <v>5297</v>
      </c>
      <c r="L2995" s="3" t="s">
        <v>1889</v>
      </c>
      <c r="M2995" s="8" t="s">
        <v>3195</v>
      </c>
      <c r="N2995" s="3" t="s">
        <v>1890</v>
      </c>
      <c r="O2995" s="8" t="s">
        <v>1935</v>
      </c>
      <c r="P2995" s="8">
        <v>796</v>
      </c>
      <c r="Q2995" s="8" t="s">
        <v>3196</v>
      </c>
      <c r="R2995" s="69">
        <v>7</v>
      </c>
      <c r="S2995" s="69">
        <v>1623.29</v>
      </c>
      <c r="T2995" s="10">
        <v>0</v>
      </c>
      <c r="U2995" s="10">
        <f t="shared" si="1763"/>
        <v>0</v>
      </c>
      <c r="V2995" s="7"/>
      <c r="W2995" s="1">
        <v>2015</v>
      </c>
      <c r="X2995" s="62">
        <v>11</v>
      </c>
    </row>
    <row r="2996" spans="1:24" s="13" customFormat="1" ht="76.5" customHeight="1" outlineLevel="1" x14ac:dyDescent="0.2">
      <c r="A2996" s="1" t="s">
        <v>8016</v>
      </c>
      <c r="B2996" s="2" t="s">
        <v>5277</v>
      </c>
      <c r="C2996" s="2" t="s">
        <v>35</v>
      </c>
      <c r="D2996" s="2" t="s">
        <v>5953</v>
      </c>
      <c r="E2996" s="6" t="s">
        <v>34</v>
      </c>
      <c r="F2996" s="2" t="s">
        <v>32</v>
      </c>
      <c r="G2996" s="3" t="s">
        <v>3190</v>
      </c>
      <c r="H2996" s="5">
        <v>0</v>
      </c>
      <c r="I2996" s="6">
        <v>710000000</v>
      </c>
      <c r="J2996" s="4" t="s">
        <v>1931</v>
      </c>
      <c r="K2996" s="4" t="s">
        <v>756</v>
      </c>
      <c r="L2996" s="3" t="s">
        <v>1889</v>
      </c>
      <c r="M2996" s="8" t="s">
        <v>3195</v>
      </c>
      <c r="N2996" s="3" t="s">
        <v>1890</v>
      </c>
      <c r="O2996" s="8" t="s">
        <v>1935</v>
      </c>
      <c r="P2996" s="8">
        <v>796</v>
      </c>
      <c r="Q2996" s="8" t="s">
        <v>3196</v>
      </c>
      <c r="R2996" s="69">
        <v>7</v>
      </c>
      <c r="S2996" s="69">
        <v>1623.29</v>
      </c>
      <c r="T2996" s="10">
        <f t="shared" ref="T2996" si="1857">S2996*R2996</f>
        <v>11363.029999999999</v>
      </c>
      <c r="U2996" s="10">
        <f t="shared" ref="U2996" si="1858">T2996*1.12</f>
        <v>12726.5936</v>
      </c>
      <c r="V2996" s="7"/>
      <c r="W2996" s="1">
        <v>2015</v>
      </c>
      <c r="X2996" s="62"/>
    </row>
    <row r="2997" spans="1:24" s="13" customFormat="1" ht="76.5" customHeight="1" outlineLevel="1" x14ac:dyDescent="0.2">
      <c r="A2997" s="1" t="s">
        <v>2882</v>
      </c>
      <c r="B2997" s="2" t="s">
        <v>5277</v>
      </c>
      <c r="C2997" s="2" t="s">
        <v>3839</v>
      </c>
      <c r="D2997" s="2" t="s">
        <v>5953</v>
      </c>
      <c r="E2997" s="6" t="s">
        <v>33</v>
      </c>
      <c r="F2997" s="2" t="s">
        <v>32</v>
      </c>
      <c r="G2997" s="3" t="s">
        <v>3190</v>
      </c>
      <c r="H2997" s="5">
        <v>0</v>
      </c>
      <c r="I2997" s="6">
        <v>710000000</v>
      </c>
      <c r="J2997" s="4" t="s">
        <v>1931</v>
      </c>
      <c r="K2997" s="4" t="s">
        <v>5297</v>
      </c>
      <c r="L2997" s="3" t="s">
        <v>1889</v>
      </c>
      <c r="M2997" s="8" t="s">
        <v>3195</v>
      </c>
      <c r="N2997" s="3" t="s">
        <v>1890</v>
      </c>
      <c r="O2997" s="8" t="s">
        <v>1935</v>
      </c>
      <c r="P2997" s="8">
        <v>796</v>
      </c>
      <c r="Q2997" s="8" t="s">
        <v>3196</v>
      </c>
      <c r="R2997" s="69">
        <v>8</v>
      </c>
      <c r="S2997" s="69">
        <v>2725.38</v>
      </c>
      <c r="T2997" s="10">
        <v>0</v>
      </c>
      <c r="U2997" s="10">
        <f t="shared" si="1763"/>
        <v>0</v>
      </c>
      <c r="V2997" s="7"/>
      <c r="W2997" s="1">
        <v>2015</v>
      </c>
      <c r="X2997" s="62">
        <v>11</v>
      </c>
    </row>
    <row r="2998" spans="1:24" s="13" customFormat="1" ht="76.5" customHeight="1" outlineLevel="1" x14ac:dyDescent="0.2">
      <c r="A2998" s="1" t="s">
        <v>8017</v>
      </c>
      <c r="B2998" s="2" t="s">
        <v>5277</v>
      </c>
      <c r="C2998" s="2" t="s">
        <v>3839</v>
      </c>
      <c r="D2998" s="2" t="s">
        <v>5953</v>
      </c>
      <c r="E2998" s="6" t="s">
        <v>33</v>
      </c>
      <c r="F2998" s="2" t="s">
        <v>32</v>
      </c>
      <c r="G2998" s="3" t="s">
        <v>3190</v>
      </c>
      <c r="H2998" s="5">
        <v>0</v>
      </c>
      <c r="I2998" s="6">
        <v>710000000</v>
      </c>
      <c r="J2998" s="4" t="s">
        <v>1931</v>
      </c>
      <c r="K2998" s="4" t="s">
        <v>756</v>
      </c>
      <c r="L2998" s="3" t="s">
        <v>1889</v>
      </c>
      <c r="M2998" s="8" t="s">
        <v>3195</v>
      </c>
      <c r="N2998" s="3" t="s">
        <v>1890</v>
      </c>
      <c r="O2998" s="8" t="s">
        <v>1935</v>
      </c>
      <c r="P2998" s="8">
        <v>796</v>
      </c>
      <c r="Q2998" s="8" t="s">
        <v>3196</v>
      </c>
      <c r="R2998" s="69">
        <v>8</v>
      </c>
      <c r="S2998" s="69">
        <v>2725.38</v>
      </c>
      <c r="T2998" s="10">
        <f t="shared" ref="T2998" si="1859">S2998*R2998</f>
        <v>21803.040000000001</v>
      </c>
      <c r="U2998" s="10">
        <f t="shared" ref="U2998" si="1860">T2998*1.12</f>
        <v>24419.404800000004</v>
      </c>
      <c r="V2998" s="7"/>
      <c r="W2998" s="1">
        <v>2015</v>
      </c>
      <c r="X2998" s="62"/>
    </row>
    <row r="2999" spans="1:24" s="13" customFormat="1" ht="76.5" customHeight="1" outlineLevel="1" x14ac:dyDescent="0.2">
      <c r="A2999" s="1" t="s">
        <v>2883</v>
      </c>
      <c r="B2999" s="2" t="s">
        <v>5277</v>
      </c>
      <c r="C2999" s="2" t="s">
        <v>31</v>
      </c>
      <c r="D2999" s="2" t="s">
        <v>3408</v>
      </c>
      <c r="E2999" s="6" t="s">
        <v>30</v>
      </c>
      <c r="F2999" s="2"/>
      <c r="G2999" s="3" t="s">
        <v>3190</v>
      </c>
      <c r="H2999" s="5">
        <v>0</v>
      </c>
      <c r="I2999" s="6">
        <v>710000000</v>
      </c>
      <c r="J2999" s="4" t="s">
        <v>1931</v>
      </c>
      <c r="K2999" s="4" t="s">
        <v>5297</v>
      </c>
      <c r="L2999" s="3" t="s">
        <v>1889</v>
      </c>
      <c r="M2999" s="8" t="s">
        <v>3195</v>
      </c>
      <c r="N2999" s="3" t="s">
        <v>1890</v>
      </c>
      <c r="O2999" s="8" t="s">
        <v>1935</v>
      </c>
      <c r="P2999" s="8">
        <v>796</v>
      </c>
      <c r="Q2999" s="8" t="s">
        <v>3196</v>
      </c>
      <c r="R2999" s="69">
        <v>2</v>
      </c>
      <c r="S2999" s="69">
        <v>1625</v>
      </c>
      <c r="T2999" s="10">
        <v>0</v>
      </c>
      <c r="U2999" s="10">
        <f t="shared" si="1763"/>
        <v>0</v>
      </c>
      <c r="V2999" s="7"/>
      <c r="W2999" s="1">
        <v>2015</v>
      </c>
      <c r="X2999" s="62">
        <v>11</v>
      </c>
    </row>
    <row r="3000" spans="1:24" s="13" customFormat="1" ht="76.5" customHeight="1" outlineLevel="1" x14ac:dyDescent="0.2">
      <c r="A3000" s="1" t="s">
        <v>8018</v>
      </c>
      <c r="B3000" s="2" t="s">
        <v>5277</v>
      </c>
      <c r="C3000" s="2" t="s">
        <v>31</v>
      </c>
      <c r="D3000" s="2" t="s">
        <v>3408</v>
      </c>
      <c r="E3000" s="6" t="s">
        <v>30</v>
      </c>
      <c r="F3000" s="2"/>
      <c r="G3000" s="3" t="s">
        <v>3190</v>
      </c>
      <c r="H3000" s="5">
        <v>0</v>
      </c>
      <c r="I3000" s="6">
        <v>710000000</v>
      </c>
      <c r="J3000" s="4" t="s">
        <v>1931</v>
      </c>
      <c r="K3000" s="4" t="s">
        <v>756</v>
      </c>
      <c r="L3000" s="3" t="s">
        <v>1889</v>
      </c>
      <c r="M3000" s="8" t="s">
        <v>3195</v>
      </c>
      <c r="N3000" s="3" t="s">
        <v>1890</v>
      </c>
      <c r="O3000" s="8" t="s">
        <v>1935</v>
      </c>
      <c r="P3000" s="8">
        <v>796</v>
      </c>
      <c r="Q3000" s="8" t="s">
        <v>3196</v>
      </c>
      <c r="R3000" s="69">
        <v>2</v>
      </c>
      <c r="S3000" s="69">
        <v>1625</v>
      </c>
      <c r="T3000" s="10">
        <f t="shared" ref="T3000" si="1861">S3000*R3000</f>
        <v>3250</v>
      </c>
      <c r="U3000" s="10">
        <f t="shared" ref="U3000" si="1862">T3000*1.12</f>
        <v>3640.0000000000005</v>
      </c>
      <c r="V3000" s="7"/>
      <c r="W3000" s="1">
        <v>2015</v>
      </c>
      <c r="X3000" s="62"/>
    </row>
    <row r="3001" spans="1:24" s="13" customFormat="1" ht="76.5" customHeight="1" outlineLevel="1" x14ac:dyDescent="0.2">
      <c r="A3001" s="1" t="s">
        <v>2884</v>
      </c>
      <c r="B3001" s="2" t="s">
        <v>5277</v>
      </c>
      <c r="C3001" s="6" t="s">
        <v>29</v>
      </c>
      <c r="D3001" s="6" t="s">
        <v>28</v>
      </c>
      <c r="E3001" s="6" t="s">
        <v>6483</v>
      </c>
      <c r="F3001" s="2"/>
      <c r="G3001" s="3" t="s">
        <v>3190</v>
      </c>
      <c r="H3001" s="5">
        <v>0</v>
      </c>
      <c r="I3001" s="6">
        <v>710000000</v>
      </c>
      <c r="J3001" s="4" t="s">
        <v>1931</v>
      </c>
      <c r="K3001" s="4" t="s">
        <v>5297</v>
      </c>
      <c r="L3001" s="3" t="s">
        <v>1889</v>
      </c>
      <c r="M3001" s="8" t="s">
        <v>3195</v>
      </c>
      <c r="N3001" s="3" t="s">
        <v>1890</v>
      </c>
      <c r="O3001" s="8" t="s">
        <v>1935</v>
      </c>
      <c r="P3001" s="8">
        <v>796</v>
      </c>
      <c r="Q3001" s="8" t="s">
        <v>3196</v>
      </c>
      <c r="R3001" s="69">
        <v>60</v>
      </c>
      <c r="S3001" s="69">
        <v>96.12</v>
      </c>
      <c r="T3001" s="10">
        <v>0</v>
      </c>
      <c r="U3001" s="10">
        <f t="shared" si="1763"/>
        <v>0</v>
      </c>
      <c r="V3001" s="7"/>
      <c r="W3001" s="1">
        <v>2015</v>
      </c>
      <c r="X3001" s="62">
        <v>11</v>
      </c>
    </row>
    <row r="3002" spans="1:24" s="13" customFormat="1" ht="76.5" customHeight="1" outlineLevel="1" x14ac:dyDescent="0.2">
      <c r="A3002" s="1" t="s">
        <v>8019</v>
      </c>
      <c r="B3002" s="2" t="s">
        <v>5277</v>
      </c>
      <c r="C3002" s="6" t="s">
        <v>29</v>
      </c>
      <c r="D3002" s="6" t="s">
        <v>28</v>
      </c>
      <c r="E3002" s="6" t="s">
        <v>6483</v>
      </c>
      <c r="F3002" s="2"/>
      <c r="G3002" s="3" t="s">
        <v>3190</v>
      </c>
      <c r="H3002" s="5">
        <v>0</v>
      </c>
      <c r="I3002" s="6">
        <v>710000000</v>
      </c>
      <c r="J3002" s="4" t="s">
        <v>1931</v>
      </c>
      <c r="K3002" s="4" t="s">
        <v>756</v>
      </c>
      <c r="L3002" s="3" t="s">
        <v>1889</v>
      </c>
      <c r="M3002" s="8" t="s">
        <v>3195</v>
      </c>
      <c r="N3002" s="3" t="s">
        <v>1890</v>
      </c>
      <c r="O3002" s="8" t="s">
        <v>1935</v>
      </c>
      <c r="P3002" s="8">
        <v>796</v>
      </c>
      <c r="Q3002" s="8" t="s">
        <v>3196</v>
      </c>
      <c r="R3002" s="69">
        <v>60</v>
      </c>
      <c r="S3002" s="69">
        <v>96.12</v>
      </c>
      <c r="T3002" s="10">
        <f t="shared" ref="T3002" si="1863">S3002*R3002</f>
        <v>5767.2000000000007</v>
      </c>
      <c r="U3002" s="10">
        <f t="shared" ref="U3002" si="1864">T3002*1.12</f>
        <v>6459.264000000001</v>
      </c>
      <c r="V3002" s="7"/>
      <c r="W3002" s="1">
        <v>2015</v>
      </c>
      <c r="X3002" s="62"/>
    </row>
    <row r="3003" spans="1:24" s="13" customFormat="1" ht="76.5" customHeight="1" outlineLevel="1" x14ac:dyDescent="0.2">
      <c r="A3003" s="1" t="s">
        <v>2885</v>
      </c>
      <c r="B3003" s="2" t="s">
        <v>5277</v>
      </c>
      <c r="C3003" s="2" t="s">
        <v>27</v>
      </c>
      <c r="D3003" s="2" t="s">
        <v>26</v>
      </c>
      <c r="E3003" s="6" t="s">
        <v>25</v>
      </c>
      <c r="F3003" s="52"/>
      <c r="G3003" s="3" t="s">
        <v>3190</v>
      </c>
      <c r="H3003" s="5">
        <v>0</v>
      </c>
      <c r="I3003" s="6">
        <v>710000000</v>
      </c>
      <c r="J3003" s="4" t="s">
        <v>1931</v>
      </c>
      <c r="K3003" s="4" t="s">
        <v>5297</v>
      </c>
      <c r="L3003" s="3" t="s">
        <v>1889</v>
      </c>
      <c r="M3003" s="8" t="s">
        <v>3195</v>
      </c>
      <c r="N3003" s="3" t="s">
        <v>1890</v>
      </c>
      <c r="O3003" s="8" t="s">
        <v>1935</v>
      </c>
      <c r="P3003" s="8">
        <v>796</v>
      </c>
      <c r="Q3003" s="8" t="s">
        <v>3196</v>
      </c>
      <c r="R3003" s="69">
        <v>23</v>
      </c>
      <c r="S3003" s="69">
        <v>279.13</v>
      </c>
      <c r="T3003" s="10">
        <v>0</v>
      </c>
      <c r="U3003" s="10">
        <f t="shared" si="1763"/>
        <v>0</v>
      </c>
      <c r="V3003" s="7"/>
      <c r="W3003" s="1">
        <v>2015</v>
      </c>
      <c r="X3003" s="62">
        <v>11</v>
      </c>
    </row>
    <row r="3004" spans="1:24" s="13" customFormat="1" ht="76.5" customHeight="1" outlineLevel="1" x14ac:dyDescent="0.2">
      <c r="A3004" s="1" t="s">
        <v>8020</v>
      </c>
      <c r="B3004" s="2" t="s">
        <v>5277</v>
      </c>
      <c r="C3004" s="2" t="s">
        <v>27</v>
      </c>
      <c r="D3004" s="2" t="s">
        <v>26</v>
      </c>
      <c r="E3004" s="6" t="s">
        <v>25</v>
      </c>
      <c r="F3004" s="52"/>
      <c r="G3004" s="3" t="s">
        <v>3190</v>
      </c>
      <c r="H3004" s="5">
        <v>0</v>
      </c>
      <c r="I3004" s="6">
        <v>710000000</v>
      </c>
      <c r="J3004" s="4" t="s">
        <v>1931</v>
      </c>
      <c r="K3004" s="4" t="s">
        <v>756</v>
      </c>
      <c r="L3004" s="3" t="s">
        <v>1889</v>
      </c>
      <c r="M3004" s="8" t="s">
        <v>3195</v>
      </c>
      <c r="N3004" s="3" t="s">
        <v>1890</v>
      </c>
      <c r="O3004" s="8" t="s">
        <v>1935</v>
      </c>
      <c r="P3004" s="8">
        <v>796</v>
      </c>
      <c r="Q3004" s="8" t="s">
        <v>3196</v>
      </c>
      <c r="R3004" s="69">
        <v>23</v>
      </c>
      <c r="S3004" s="69">
        <v>279.13</v>
      </c>
      <c r="T3004" s="10">
        <f t="shared" ref="T3004:T3005" si="1865">S3004*R3004</f>
        <v>6419.99</v>
      </c>
      <c r="U3004" s="10">
        <f t="shared" ref="U3004:U3005" si="1866">T3004*1.12</f>
        <v>7190.3888000000006</v>
      </c>
      <c r="V3004" s="7"/>
      <c r="W3004" s="1">
        <v>2015</v>
      </c>
      <c r="X3004" s="62"/>
    </row>
    <row r="3005" spans="1:24" s="13" customFormat="1" ht="76.5" customHeight="1" outlineLevel="1" x14ac:dyDescent="0.2">
      <c r="A3005" s="1" t="s">
        <v>8122</v>
      </c>
      <c r="B3005" s="38" t="s">
        <v>5277</v>
      </c>
      <c r="C3005" s="2" t="s">
        <v>3817</v>
      </c>
      <c r="D3005" s="2" t="s">
        <v>5516</v>
      </c>
      <c r="E3005" s="2" t="s">
        <v>24</v>
      </c>
      <c r="F3005" s="52" t="s">
        <v>23</v>
      </c>
      <c r="G3005" s="50" t="s">
        <v>3190</v>
      </c>
      <c r="H3005" s="5">
        <v>0</v>
      </c>
      <c r="I3005" s="6">
        <v>710000000</v>
      </c>
      <c r="J3005" s="4" t="s">
        <v>1931</v>
      </c>
      <c r="K3005" s="4" t="s">
        <v>5297</v>
      </c>
      <c r="L3005" s="3" t="s">
        <v>1889</v>
      </c>
      <c r="M3005" s="8" t="s">
        <v>3195</v>
      </c>
      <c r="N3005" s="3" t="s">
        <v>1890</v>
      </c>
      <c r="O3005" s="8" t="s">
        <v>1935</v>
      </c>
      <c r="P3005" s="8">
        <v>796</v>
      </c>
      <c r="Q3005" s="8" t="s">
        <v>3196</v>
      </c>
      <c r="R3005" s="9">
        <v>12</v>
      </c>
      <c r="S3005" s="9">
        <v>5957.42</v>
      </c>
      <c r="T3005" s="10">
        <f t="shared" si="1865"/>
        <v>71489.040000000008</v>
      </c>
      <c r="U3005" s="10">
        <f t="shared" si="1866"/>
        <v>80067.724800000011</v>
      </c>
      <c r="V3005" s="7"/>
      <c r="W3005" s="11">
        <v>2015</v>
      </c>
      <c r="X3005" s="12"/>
    </row>
    <row r="3006" spans="1:24" s="13" customFormat="1" ht="76.5" customHeight="1" outlineLevel="1" x14ac:dyDescent="0.2">
      <c r="A3006" s="1" t="s">
        <v>2886</v>
      </c>
      <c r="B3006" s="2" t="s">
        <v>5277</v>
      </c>
      <c r="C3006" s="2" t="s">
        <v>22</v>
      </c>
      <c r="D3006" s="2" t="s">
        <v>3433</v>
      </c>
      <c r="E3006" s="6" t="s">
        <v>21</v>
      </c>
      <c r="F3006" s="52" t="s">
        <v>20</v>
      </c>
      <c r="G3006" s="3" t="s">
        <v>3190</v>
      </c>
      <c r="H3006" s="5">
        <v>0</v>
      </c>
      <c r="I3006" s="6">
        <v>710000000</v>
      </c>
      <c r="J3006" s="4" t="s">
        <v>1931</v>
      </c>
      <c r="K3006" s="4" t="s">
        <v>5297</v>
      </c>
      <c r="L3006" s="3" t="s">
        <v>1889</v>
      </c>
      <c r="M3006" s="8" t="s">
        <v>3195</v>
      </c>
      <c r="N3006" s="3" t="s">
        <v>1890</v>
      </c>
      <c r="O3006" s="8" t="s">
        <v>1935</v>
      </c>
      <c r="P3006" s="8">
        <v>796</v>
      </c>
      <c r="Q3006" s="8" t="s">
        <v>3196</v>
      </c>
      <c r="R3006" s="69">
        <v>2</v>
      </c>
      <c r="S3006" s="69">
        <v>3875</v>
      </c>
      <c r="T3006" s="10">
        <v>0</v>
      </c>
      <c r="U3006" s="10">
        <f t="shared" si="1763"/>
        <v>0</v>
      </c>
      <c r="V3006" s="7"/>
      <c r="W3006" s="1">
        <v>2015</v>
      </c>
      <c r="X3006" s="62">
        <v>11</v>
      </c>
    </row>
    <row r="3007" spans="1:24" s="13" customFormat="1" ht="76.5" customHeight="1" outlineLevel="1" x14ac:dyDescent="0.2">
      <c r="A3007" s="1" t="s">
        <v>8021</v>
      </c>
      <c r="B3007" s="2" t="s">
        <v>5277</v>
      </c>
      <c r="C3007" s="2" t="s">
        <v>22</v>
      </c>
      <c r="D3007" s="2" t="s">
        <v>3433</v>
      </c>
      <c r="E3007" s="6" t="s">
        <v>21</v>
      </c>
      <c r="F3007" s="52" t="s">
        <v>20</v>
      </c>
      <c r="G3007" s="3" t="s">
        <v>3190</v>
      </c>
      <c r="H3007" s="5">
        <v>0</v>
      </c>
      <c r="I3007" s="6">
        <v>710000000</v>
      </c>
      <c r="J3007" s="4" t="s">
        <v>1931</v>
      </c>
      <c r="K3007" s="4" t="s">
        <v>756</v>
      </c>
      <c r="L3007" s="3" t="s">
        <v>1889</v>
      </c>
      <c r="M3007" s="8" t="s">
        <v>3195</v>
      </c>
      <c r="N3007" s="3" t="s">
        <v>1890</v>
      </c>
      <c r="O3007" s="8" t="s">
        <v>1935</v>
      </c>
      <c r="P3007" s="8">
        <v>796</v>
      </c>
      <c r="Q3007" s="8" t="s">
        <v>3196</v>
      </c>
      <c r="R3007" s="69">
        <v>2</v>
      </c>
      <c r="S3007" s="69">
        <v>3875</v>
      </c>
      <c r="T3007" s="10">
        <f t="shared" ref="T3007" si="1867">S3007*R3007</f>
        <v>7750</v>
      </c>
      <c r="U3007" s="10">
        <f t="shared" ref="U3007" si="1868">T3007*1.12</f>
        <v>8680</v>
      </c>
      <c r="V3007" s="7"/>
      <c r="W3007" s="1">
        <v>2015</v>
      </c>
      <c r="X3007" s="62"/>
    </row>
    <row r="3008" spans="1:24" s="13" customFormat="1" ht="76.5" customHeight="1" outlineLevel="1" x14ac:dyDescent="0.2">
      <c r="A3008" s="1" t="s">
        <v>2887</v>
      </c>
      <c r="B3008" s="2" t="s">
        <v>5277</v>
      </c>
      <c r="C3008" s="2" t="s">
        <v>3441</v>
      </c>
      <c r="D3008" s="2" t="s">
        <v>3433</v>
      </c>
      <c r="E3008" s="6" t="s">
        <v>6030</v>
      </c>
      <c r="F3008" s="52" t="s">
        <v>3440</v>
      </c>
      <c r="G3008" s="3" t="s">
        <v>3190</v>
      </c>
      <c r="H3008" s="5">
        <v>0</v>
      </c>
      <c r="I3008" s="6">
        <v>710000000</v>
      </c>
      <c r="J3008" s="4" t="s">
        <v>1931</v>
      </c>
      <c r="K3008" s="4" t="s">
        <v>5297</v>
      </c>
      <c r="L3008" s="3" t="s">
        <v>1889</v>
      </c>
      <c r="M3008" s="8" t="s">
        <v>3195</v>
      </c>
      <c r="N3008" s="3" t="s">
        <v>1890</v>
      </c>
      <c r="O3008" s="8" t="s">
        <v>1935</v>
      </c>
      <c r="P3008" s="8">
        <v>796</v>
      </c>
      <c r="Q3008" s="8" t="s">
        <v>3196</v>
      </c>
      <c r="R3008" s="69">
        <v>2</v>
      </c>
      <c r="S3008" s="69">
        <v>4751.5</v>
      </c>
      <c r="T3008" s="10">
        <v>0</v>
      </c>
      <c r="U3008" s="10">
        <f t="shared" si="1763"/>
        <v>0</v>
      </c>
      <c r="V3008" s="7"/>
      <c r="W3008" s="1">
        <v>2015</v>
      </c>
      <c r="X3008" s="62">
        <v>11</v>
      </c>
    </row>
    <row r="3009" spans="1:24" s="13" customFormat="1" ht="76.5" customHeight="1" outlineLevel="1" x14ac:dyDescent="0.2">
      <c r="A3009" s="1" t="s">
        <v>8022</v>
      </c>
      <c r="B3009" s="2" t="s">
        <v>5277</v>
      </c>
      <c r="C3009" s="2" t="s">
        <v>3441</v>
      </c>
      <c r="D3009" s="2" t="s">
        <v>3433</v>
      </c>
      <c r="E3009" s="6" t="s">
        <v>6030</v>
      </c>
      <c r="F3009" s="52" t="s">
        <v>3440</v>
      </c>
      <c r="G3009" s="3" t="s">
        <v>3190</v>
      </c>
      <c r="H3009" s="5">
        <v>0</v>
      </c>
      <c r="I3009" s="6">
        <v>710000000</v>
      </c>
      <c r="J3009" s="4" t="s">
        <v>1931</v>
      </c>
      <c r="K3009" s="4" t="s">
        <v>756</v>
      </c>
      <c r="L3009" s="3" t="s">
        <v>1889</v>
      </c>
      <c r="M3009" s="8" t="s">
        <v>3195</v>
      </c>
      <c r="N3009" s="3" t="s">
        <v>1890</v>
      </c>
      <c r="O3009" s="8" t="s">
        <v>1935</v>
      </c>
      <c r="P3009" s="8">
        <v>796</v>
      </c>
      <c r="Q3009" s="8" t="s">
        <v>3196</v>
      </c>
      <c r="R3009" s="69">
        <v>2</v>
      </c>
      <c r="S3009" s="69">
        <v>4751.5</v>
      </c>
      <c r="T3009" s="10">
        <f t="shared" ref="T3009" si="1869">S3009*R3009</f>
        <v>9503</v>
      </c>
      <c r="U3009" s="10">
        <f t="shared" ref="U3009:U3010" si="1870">T3009*1.12</f>
        <v>10643.36</v>
      </c>
      <c r="V3009" s="7"/>
      <c r="W3009" s="1">
        <v>2015</v>
      </c>
      <c r="X3009" s="62"/>
    </row>
    <row r="3010" spans="1:24" s="13" customFormat="1" ht="76.5" customHeight="1" outlineLevel="1" x14ac:dyDescent="0.2">
      <c r="A3010" s="1" t="s">
        <v>8123</v>
      </c>
      <c r="B3010" s="2" t="s">
        <v>5277</v>
      </c>
      <c r="C3010" s="2" t="s">
        <v>3459</v>
      </c>
      <c r="D3010" s="2" t="s">
        <v>5998</v>
      </c>
      <c r="E3010" s="6" t="s">
        <v>6000</v>
      </c>
      <c r="F3010" s="2"/>
      <c r="G3010" s="3" t="s">
        <v>3190</v>
      </c>
      <c r="H3010" s="5">
        <v>0</v>
      </c>
      <c r="I3010" s="6">
        <v>710000000</v>
      </c>
      <c r="J3010" s="4" t="s">
        <v>1931</v>
      </c>
      <c r="K3010" s="4" t="s">
        <v>5297</v>
      </c>
      <c r="L3010" s="3" t="s">
        <v>1889</v>
      </c>
      <c r="M3010" s="8" t="s">
        <v>3195</v>
      </c>
      <c r="N3010" s="3" t="s">
        <v>1890</v>
      </c>
      <c r="O3010" s="8" t="s">
        <v>1935</v>
      </c>
      <c r="P3010" s="8">
        <v>796</v>
      </c>
      <c r="Q3010" s="8" t="s">
        <v>3196</v>
      </c>
      <c r="R3010" s="69">
        <v>10</v>
      </c>
      <c r="S3010" s="69">
        <v>1611.6</v>
      </c>
      <c r="T3010" s="10">
        <v>0</v>
      </c>
      <c r="U3010" s="10">
        <f t="shared" si="1870"/>
        <v>0</v>
      </c>
      <c r="V3010" s="7"/>
      <c r="W3010" s="1">
        <v>2015</v>
      </c>
      <c r="X3010" s="62">
        <v>11</v>
      </c>
    </row>
    <row r="3011" spans="1:24" s="13" customFormat="1" ht="76.5" customHeight="1" outlineLevel="1" x14ac:dyDescent="0.2">
      <c r="A3011" s="1" t="s">
        <v>8124</v>
      </c>
      <c r="B3011" s="2" t="s">
        <v>5277</v>
      </c>
      <c r="C3011" s="2" t="s">
        <v>3459</v>
      </c>
      <c r="D3011" s="2" t="s">
        <v>5998</v>
      </c>
      <c r="E3011" s="6" t="s">
        <v>6000</v>
      </c>
      <c r="F3011" s="2"/>
      <c r="G3011" s="3" t="s">
        <v>3190</v>
      </c>
      <c r="H3011" s="5">
        <v>0</v>
      </c>
      <c r="I3011" s="6">
        <v>710000000</v>
      </c>
      <c r="J3011" s="4" t="s">
        <v>1931</v>
      </c>
      <c r="K3011" s="4" t="s">
        <v>756</v>
      </c>
      <c r="L3011" s="3" t="s">
        <v>1889</v>
      </c>
      <c r="M3011" s="8" t="s">
        <v>3195</v>
      </c>
      <c r="N3011" s="3" t="s">
        <v>1890</v>
      </c>
      <c r="O3011" s="8" t="s">
        <v>1935</v>
      </c>
      <c r="P3011" s="8">
        <v>796</v>
      </c>
      <c r="Q3011" s="8" t="s">
        <v>3196</v>
      </c>
      <c r="R3011" s="69">
        <v>10</v>
      </c>
      <c r="S3011" s="69">
        <v>1611.6</v>
      </c>
      <c r="T3011" s="10">
        <f t="shared" ref="T3011" si="1871">S3011*R3011</f>
        <v>16116</v>
      </c>
      <c r="U3011" s="10">
        <f t="shared" ref="U3011" si="1872">T3011*1.12</f>
        <v>18049.920000000002</v>
      </c>
      <c r="V3011" s="7"/>
      <c r="W3011" s="1">
        <v>2015</v>
      </c>
      <c r="X3011" s="62"/>
    </row>
    <row r="3012" spans="1:24" s="13" customFormat="1" ht="76.5" customHeight="1" outlineLevel="1" x14ac:dyDescent="0.2">
      <c r="A3012" s="1" t="s">
        <v>2888</v>
      </c>
      <c r="B3012" s="2" t="s">
        <v>5277</v>
      </c>
      <c r="C3012" s="2" t="s">
        <v>3460</v>
      </c>
      <c r="D3012" s="2" t="s">
        <v>5998</v>
      </c>
      <c r="E3012" s="6" t="s">
        <v>5999</v>
      </c>
      <c r="F3012" s="2"/>
      <c r="G3012" s="3" t="s">
        <v>3190</v>
      </c>
      <c r="H3012" s="5">
        <v>0</v>
      </c>
      <c r="I3012" s="6">
        <v>710000000</v>
      </c>
      <c r="J3012" s="4" t="s">
        <v>1931</v>
      </c>
      <c r="K3012" s="4" t="s">
        <v>5297</v>
      </c>
      <c r="L3012" s="3" t="s">
        <v>1889</v>
      </c>
      <c r="M3012" s="8" t="s">
        <v>3195</v>
      </c>
      <c r="N3012" s="3" t="s">
        <v>1890</v>
      </c>
      <c r="O3012" s="8" t="s">
        <v>1935</v>
      </c>
      <c r="P3012" s="8">
        <v>796</v>
      </c>
      <c r="Q3012" s="8" t="s">
        <v>3196</v>
      </c>
      <c r="R3012" s="69">
        <v>6</v>
      </c>
      <c r="S3012" s="69">
        <v>2000.17</v>
      </c>
      <c r="T3012" s="10">
        <v>0</v>
      </c>
      <c r="U3012" s="10">
        <f t="shared" si="1763"/>
        <v>0</v>
      </c>
      <c r="V3012" s="7"/>
      <c r="W3012" s="1">
        <v>2015</v>
      </c>
      <c r="X3012" s="62">
        <v>11</v>
      </c>
    </row>
    <row r="3013" spans="1:24" s="13" customFormat="1" ht="76.5" customHeight="1" outlineLevel="1" x14ac:dyDescent="0.2">
      <c r="A3013" s="1" t="s">
        <v>8023</v>
      </c>
      <c r="B3013" s="2" t="s">
        <v>5277</v>
      </c>
      <c r="C3013" s="2" t="s">
        <v>3460</v>
      </c>
      <c r="D3013" s="2" t="s">
        <v>5998</v>
      </c>
      <c r="E3013" s="6" t="s">
        <v>5999</v>
      </c>
      <c r="F3013" s="2"/>
      <c r="G3013" s="3" t="s">
        <v>3190</v>
      </c>
      <c r="H3013" s="5">
        <v>0</v>
      </c>
      <c r="I3013" s="6">
        <v>710000000</v>
      </c>
      <c r="J3013" s="4" t="s">
        <v>1931</v>
      </c>
      <c r="K3013" s="4" t="s">
        <v>756</v>
      </c>
      <c r="L3013" s="3" t="s">
        <v>1889</v>
      </c>
      <c r="M3013" s="8" t="s">
        <v>3195</v>
      </c>
      <c r="N3013" s="3" t="s">
        <v>1890</v>
      </c>
      <c r="O3013" s="8" t="s">
        <v>1935</v>
      </c>
      <c r="P3013" s="8">
        <v>796</v>
      </c>
      <c r="Q3013" s="8" t="s">
        <v>3196</v>
      </c>
      <c r="R3013" s="69">
        <v>6</v>
      </c>
      <c r="S3013" s="69">
        <v>2000.17</v>
      </c>
      <c r="T3013" s="10">
        <f t="shared" ref="T3013:T3014" si="1873">S3013*R3013</f>
        <v>12001.02</v>
      </c>
      <c r="U3013" s="10">
        <f t="shared" ref="U3013:U3014" si="1874">T3013*1.12</f>
        <v>13441.142400000002</v>
      </c>
      <c r="V3013" s="7"/>
      <c r="W3013" s="1">
        <v>2015</v>
      </c>
      <c r="X3013" s="62"/>
    </row>
    <row r="3014" spans="1:24" s="13" customFormat="1" ht="76.5" customHeight="1" outlineLevel="1" x14ac:dyDescent="0.2">
      <c r="A3014" s="1" t="s">
        <v>8125</v>
      </c>
      <c r="B3014" s="38" t="s">
        <v>5277</v>
      </c>
      <c r="C3014" s="2" t="s">
        <v>8126</v>
      </c>
      <c r="D3014" s="2" t="s">
        <v>6001</v>
      </c>
      <c r="E3014" s="2" t="s">
        <v>8127</v>
      </c>
      <c r="F3014" s="39"/>
      <c r="G3014" s="50" t="s">
        <v>3190</v>
      </c>
      <c r="H3014" s="5">
        <v>0</v>
      </c>
      <c r="I3014" s="6">
        <v>710000000</v>
      </c>
      <c r="J3014" s="4" t="s">
        <v>1931</v>
      </c>
      <c r="K3014" s="4" t="s">
        <v>5297</v>
      </c>
      <c r="L3014" s="3" t="s">
        <v>1889</v>
      </c>
      <c r="M3014" s="8" t="s">
        <v>3195</v>
      </c>
      <c r="N3014" s="3" t="s">
        <v>1890</v>
      </c>
      <c r="O3014" s="8" t="s">
        <v>1935</v>
      </c>
      <c r="P3014" s="8">
        <v>796</v>
      </c>
      <c r="Q3014" s="8" t="s">
        <v>3196</v>
      </c>
      <c r="R3014" s="9">
        <v>15</v>
      </c>
      <c r="S3014" s="9">
        <v>1504.67</v>
      </c>
      <c r="T3014" s="10">
        <f t="shared" si="1873"/>
        <v>22570.050000000003</v>
      </c>
      <c r="U3014" s="10">
        <f t="shared" si="1874"/>
        <v>25278.456000000006</v>
      </c>
      <c r="V3014" s="7"/>
      <c r="W3014" s="11">
        <v>2015</v>
      </c>
      <c r="X3014" s="12"/>
    </row>
    <row r="3015" spans="1:24" s="13" customFormat="1" ht="89.25" customHeight="1" outlineLevel="1" x14ac:dyDescent="0.2">
      <c r="A3015" s="1" t="s">
        <v>2889</v>
      </c>
      <c r="B3015" s="2" t="s">
        <v>5277</v>
      </c>
      <c r="C3015" s="2" t="s">
        <v>3153</v>
      </c>
      <c r="D3015" s="2" t="s">
        <v>6004</v>
      </c>
      <c r="E3015" s="2" t="s">
        <v>6484</v>
      </c>
      <c r="F3015" s="2"/>
      <c r="G3015" s="3" t="s">
        <v>3190</v>
      </c>
      <c r="H3015" s="5">
        <v>0</v>
      </c>
      <c r="I3015" s="6">
        <v>710000000</v>
      </c>
      <c r="J3015" s="4" t="s">
        <v>1931</v>
      </c>
      <c r="K3015" s="4" t="s">
        <v>5297</v>
      </c>
      <c r="L3015" s="3" t="s">
        <v>1889</v>
      </c>
      <c r="M3015" s="8" t="s">
        <v>3195</v>
      </c>
      <c r="N3015" s="3" t="s">
        <v>1890</v>
      </c>
      <c r="O3015" s="8" t="s">
        <v>1935</v>
      </c>
      <c r="P3015" s="62">
        <v>166</v>
      </c>
      <c r="Q3015" s="3" t="s">
        <v>3324</v>
      </c>
      <c r="R3015" s="69">
        <v>9</v>
      </c>
      <c r="S3015" s="69">
        <v>767.44</v>
      </c>
      <c r="T3015" s="10">
        <v>0</v>
      </c>
      <c r="U3015" s="10">
        <f t="shared" si="1763"/>
        <v>0</v>
      </c>
      <c r="V3015" s="7"/>
      <c r="W3015" s="1">
        <v>2015</v>
      </c>
      <c r="X3015" s="62">
        <v>11</v>
      </c>
    </row>
    <row r="3016" spans="1:24" s="13" customFormat="1" ht="89.25" customHeight="1" outlineLevel="1" x14ac:dyDescent="0.2">
      <c r="A3016" s="1" t="s">
        <v>8024</v>
      </c>
      <c r="B3016" s="2" t="s">
        <v>5277</v>
      </c>
      <c r="C3016" s="2" t="s">
        <v>3153</v>
      </c>
      <c r="D3016" s="2" t="s">
        <v>6004</v>
      </c>
      <c r="E3016" s="2" t="s">
        <v>6484</v>
      </c>
      <c r="F3016" s="2"/>
      <c r="G3016" s="3" t="s">
        <v>3190</v>
      </c>
      <c r="H3016" s="5">
        <v>0</v>
      </c>
      <c r="I3016" s="6">
        <v>710000000</v>
      </c>
      <c r="J3016" s="4" t="s">
        <v>1931</v>
      </c>
      <c r="K3016" s="4" t="s">
        <v>756</v>
      </c>
      <c r="L3016" s="3" t="s">
        <v>1889</v>
      </c>
      <c r="M3016" s="8" t="s">
        <v>3195</v>
      </c>
      <c r="N3016" s="3" t="s">
        <v>1890</v>
      </c>
      <c r="O3016" s="8" t="s">
        <v>1935</v>
      </c>
      <c r="P3016" s="62">
        <v>166</v>
      </c>
      <c r="Q3016" s="3" t="s">
        <v>3324</v>
      </c>
      <c r="R3016" s="69">
        <v>9</v>
      </c>
      <c r="S3016" s="69">
        <v>767.44</v>
      </c>
      <c r="T3016" s="10">
        <f t="shared" ref="T3016:T3017" si="1875">S3016*R3016</f>
        <v>6906.9600000000009</v>
      </c>
      <c r="U3016" s="10">
        <f t="shared" ref="U3016:U3017" si="1876">T3016*1.12</f>
        <v>7735.7952000000014</v>
      </c>
      <c r="V3016" s="7"/>
      <c r="W3016" s="1">
        <v>2015</v>
      </c>
      <c r="X3016" s="62"/>
    </row>
    <row r="3017" spans="1:24" s="13" customFormat="1" ht="76.5" customHeight="1" outlineLevel="1" x14ac:dyDescent="0.2">
      <c r="A3017" s="1" t="s">
        <v>8128</v>
      </c>
      <c r="B3017" s="38" t="s">
        <v>5277</v>
      </c>
      <c r="C3017" s="2" t="s">
        <v>8799</v>
      </c>
      <c r="D3017" s="2" t="s">
        <v>3451</v>
      </c>
      <c r="E3017" s="2" t="s">
        <v>8800</v>
      </c>
      <c r="F3017" s="52" t="s">
        <v>8129</v>
      </c>
      <c r="G3017" s="50" t="s">
        <v>3190</v>
      </c>
      <c r="H3017" s="5">
        <v>0</v>
      </c>
      <c r="I3017" s="6">
        <v>710000000</v>
      </c>
      <c r="J3017" s="4" t="s">
        <v>1931</v>
      </c>
      <c r="K3017" s="4" t="s">
        <v>5297</v>
      </c>
      <c r="L3017" s="3" t="s">
        <v>1889</v>
      </c>
      <c r="M3017" s="8" t="s">
        <v>3195</v>
      </c>
      <c r="N3017" s="3" t="s">
        <v>1890</v>
      </c>
      <c r="O3017" s="8" t="s">
        <v>1935</v>
      </c>
      <c r="P3017" s="8">
        <v>796</v>
      </c>
      <c r="Q3017" s="8" t="s">
        <v>3196</v>
      </c>
      <c r="R3017" s="9">
        <v>3</v>
      </c>
      <c r="S3017" s="9">
        <v>2251</v>
      </c>
      <c r="T3017" s="10">
        <f t="shared" si="1875"/>
        <v>6753</v>
      </c>
      <c r="U3017" s="10">
        <f t="shared" si="1876"/>
        <v>7563.3600000000006</v>
      </c>
      <c r="V3017" s="7"/>
      <c r="W3017" s="11">
        <v>2015</v>
      </c>
      <c r="X3017" s="12"/>
    </row>
    <row r="3018" spans="1:24" s="13" customFormat="1" ht="76.5" customHeight="1" outlineLevel="1" x14ac:dyDescent="0.2">
      <c r="A3018" s="1" t="s">
        <v>2890</v>
      </c>
      <c r="B3018" s="2" t="s">
        <v>5277</v>
      </c>
      <c r="C3018" s="2" t="s">
        <v>8799</v>
      </c>
      <c r="D3018" s="2" t="s">
        <v>3451</v>
      </c>
      <c r="E3018" s="2" t="s">
        <v>8800</v>
      </c>
      <c r="F3018" s="52" t="s">
        <v>19</v>
      </c>
      <c r="G3018" s="3" t="s">
        <v>3190</v>
      </c>
      <c r="H3018" s="5">
        <v>0</v>
      </c>
      <c r="I3018" s="6">
        <v>710000000</v>
      </c>
      <c r="J3018" s="4" t="s">
        <v>1931</v>
      </c>
      <c r="K3018" s="4" t="s">
        <v>5297</v>
      </c>
      <c r="L3018" s="3" t="s">
        <v>1889</v>
      </c>
      <c r="M3018" s="8" t="s">
        <v>3195</v>
      </c>
      <c r="N3018" s="3" t="s">
        <v>1890</v>
      </c>
      <c r="O3018" s="8" t="s">
        <v>1935</v>
      </c>
      <c r="P3018" s="8">
        <v>796</v>
      </c>
      <c r="Q3018" s="8" t="s">
        <v>3196</v>
      </c>
      <c r="R3018" s="69">
        <v>5</v>
      </c>
      <c r="S3018" s="69">
        <v>191</v>
      </c>
      <c r="T3018" s="10">
        <v>0</v>
      </c>
      <c r="U3018" s="10">
        <f t="shared" si="1763"/>
        <v>0</v>
      </c>
      <c r="V3018" s="7"/>
      <c r="W3018" s="1">
        <v>2015</v>
      </c>
      <c r="X3018" s="62">
        <v>11</v>
      </c>
    </row>
    <row r="3019" spans="1:24" s="13" customFormat="1" ht="76.5" customHeight="1" outlineLevel="1" x14ac:dyDescent="0.2">
      <c r="A3019" s="1" t="s">
        <v>8025</v>
      </c>
      <c r="B3019" s="2" t="s">
        <v>5277</v>
      </c>
      <c r="C3019" s="2" t="s">
        <v>8799</v>
      </c>
      <c r="D3019" s="2" t="s">
        <v>3451</v>
      </c>
      <c r="E3019" s="2" t="s">
        <v>8800</v>
      </c>
      <c r="F3019" s="52" t="s">
        <v>19</v>
      </c>
      <c r="G3019" s="3" t="s">
        <v>3190</v>
      </c>
      <c r="H3019" s="5">
        <v>0</v>
      </c>
      <c r="I3019" s="6">
        <v>710000000</v>
      </c>
      <c r="J3019" s="4" t="s">
        <v>1931</v>
      </c>
      <c r="K3019" s="4" t="s">
        <v>756</v>
      </c>
      <c r="L3019" s="3" t="s">
        <v>1889</v>
      </c>
      <c r="M3019" s="8" t="s">
        <v>3195</v>
      </c>
      <c r="N3019" s="3" t="s">
        <v>1890</v>
      </c>
      <c r="O3019" s="8" t="s">
        <v>1935</v>
      </c>
      <c r="P3019" s="8">
        <v>796</v>
      </c>
      <c r="Q3019" s="8" t="s">
        <v>3196</v>
      </c>
      <c r="R3019" s="69">
        <v>5</v>
      </c>
      <c r="S3019" s="69">
        <v>191</v>
      </c>
      <c r="T3019" s="10">
        <f t="shared" ref="T3019" si="1877">S3019*R3019</f>
        <v>955</v>
      </c>
      <c r="U3019" s="10">
        <f t="shared" ref="U3019:U3020" si="1878">T3019*1.12</f>
        <v>1069.6000000000001</v>
      </c>
      <c r="V3019" s="7"/>
      <c r="W3019" s="1">
        <v>2015</v>
      </c>
      <c r="X3019" s="62"/>
    </row>
    <row r="3020" spans="1:24" s="13" customFormat="1" ht="76.5" customHeight="1" outlineLevel="1" x14ac:dyDescent="0.2">
      <c r="A3020" s="1" t="s">
        <v>8130</v>
      </c>
      <c r="B3020" s="2" t="s">
        <v>5277</v>
      </c>
      <c r="C3020" s="2" t="s">
        <v>8799</v>
      </c>
      <c r="D3020" s="2" t="s">
        <v>3451</v>
      </c>
      <c r="E3020" s="2" t="s">
        <v>8800</v>
      </c>
      <c r="F3020" s="52" t="s">
        <v>8131</v>
      </c>
      <c r="G3020" s="3" t="s">
        <v>3190</v>
      </c>
      <c r="H3020" s="5">
        <v>0</v>
      </c>
      <c r="I3020" s="6">
        <v>710000000</v>
      </c>
      <c r="J3020" s="4" t="s">
        <v>1931</v>
      </c>
      <c r="K3020" s="4" t="s">
        <v>5297</v>
      </c>
      <c r="L3020" s="3" t="s">
        <v>1889</v>
      </c>
      <c r="M3020" s="8" t="s">
        <v>3195</v>
      </c>
      <c r="N3020" s="3" t="s">
        <v>1890</v>
      </c>
      <c r="O3020" s="8" t="s">
        <v>1935</v>
      </c>
      <c r="P3020" s="8">
        <v>796</v>
      </c>
      <c r="Q3020" s="8" t="s">
        <v>3196</v>
      </c>
      <c r="R3020" s="69">
        <v>10</v>
      </c>
      <c r="S3020" s="69">
        <v>51.8</v>
      </c>
      <c r="T3020" s="10">
        <v>0</v>
      </c>
      <c r="U3020" s="10">
        <f t="shared" si="1878"/>
        <v>0</v>
      </c>
      <c r="V3020" s="7"/>
      <c r="W3020" s="1">
        <v>2015</v>
      </c>
      <c r="X3020" s="62">
        <v>11</v>
      </c>
    </row>
    <row r="3021" spans="1:24" s="13" customFormat="1" ht="76.5" customHeight="1" outlineLevel="1" x14ac:dyDescent="0.2">
      <c r="A3021" s="1" t="s">
        <v>8132</v>
      </c>
      <c r="B3021" s="2" t="s">
        <v>5277</v>
      </c>
      <c r="C3021" s="2" t="s">
        <v>8799</v>
      </c>
      <c r="D3021" s="2" t="s">
        <v>3451</v>
      </c>
      <c r="E3021" s="2" t="s">
        <v>8800</v>
      </c>
      <c r="F3021" s="52" t="s">
        <v>8131</v>
      </c>
      <c r="G3021" s="3" t="s">
        <v>3190</v>
      </c>
      <c r="H3021" s="5">
        <v>0</v>
      </c>
      <c r="I3021" s="6">
        <v>710000000</v>
      </c>
      <c r="J3021" s="4" t="s">
        <v>1931</v>
      </c>
      <c r="K3021" s="4" t="s">
        <v>756</v>
      </c>
      <c r="L3021" s="3" t="s">
        <v>1889</v>
      </c>
      <c r="M3021" s="8" t="s">
        <v>3195</v>
      </c>
      <c r="N3021" s="3" t="s">
        <v>1890</v>
      </c>
      <c r="O3021" s="8" t="s">
        <v>1935</v>
      </c>
      <c r="P3021" s="8">
        <v>796</v>
      </c>
      <c r="Q3021" s="8" t="s">
        <v>3196</v>
      </c>
      <c r="R3021" s="69">
        <v>10</v>
      </c>
      <c r="S3021" s="69">
        <v>51.8</v>
      </c>
      <c r="T3021" s="10">
        <f t="shared" ref="T3021" si="1879">S3021*R3021</f>
        <v>518</v>
      </c>
      <c r="U3021" s="10">
        <f t="shared" ref="U3021" si="1880">T3021*1.12</f>
        <v>580.16000000000008</v>
      </c>
      <c r="V3021" s="7"/>
      <c r="W3021" s="1">
        <v>2015</v>
      </c>
      <c r="X3021" s="62"/>
    </row>
    <row r="3022" spans="1:24" s="13" customFormat="1" ht="76.5" customHeight="1" outlineLevel="1" x14ac:dyDescent="0.2">
      <c r="A3022" s="1" t="s">
        <v>2891</v>
      </c>
      <c r="B3022" s="2" t="s">
        <v>5277</v>
      </c>
      <c r="C3022" s="2" t="s">
        <v>8799</v>
      </c>
      <c r="D3022" s="2" t="s">
        <v>3451</v>
      </c>
      <c r="E3022" s="2" t="s">
        <v>8800</v>
      </c>
      <c r="F3022" s="52" t="s">
        <v>18</v>
      </c>
      <c r="G3022" s="3" t="s">
        <v>3190</v>
      </c>
      <c r="H3022" s="5">
        <v>0</v>
      </c>
      <c r="I3022" s="6">
        <v>710000000</v>
      </c>
      <c r="J3022" s="4" t="s">
        <v>1931</v>
      </c>
      <c r="K3022" s="4" t="s">
        <v>5297</v>
      </c>
      <c r="L3022" s="3" t="s">
        <v>1889</v>
      </c>
      <c r="M3022" s="8" t="s">
        <v>3195</v>
      </c>
      <c r="N3022" s="3" t="s">
        <v>1890</v>
      </c>
      <c r="O3022" s="8" t="s">
        <v>1935</v>
      </c>
      <c r="P3022" s="8">
        <v>796</v>
      </c>
      <c r="Q3022" s="8" t="s">
        <v>3196</v>
      </c>
      <c r="R3022" s="69">
        <v>10</v>
      </c>
      <c r="S3022" s="69">
        <v>71.400000000000006</v>
      </c>
      <c r="T3022" s="10">
        <v>0</v>
      </c>
      <c r="U3022" s="10">
        <f t="shared" si="1763"/>
        <v>0</v>
      </c>
      <c r="V3022" s="7"/>
      <c r="W3022" s="1">
        <v>2015</v>
      </c>
      <c r="X3022" s="62">
        <v>11</v>
      </c>
    </row>
    <row r="3023" spans="1:24" s="13" customFormat="1" ht="76.5" customHeight="1" outlineLevel="1" x14ac:dyDescent="0.2">
      <c r="A3023" s="1" t="s">
        <v>8026</v>
      </c>
      <c r="B3023" s="2" t="s">
        <v>5277</v>
      </c>
      <c r="C3023" s="2" t="s">
        <v>8799</v>
      </c>
      <c r="D3023" s="2" t="s">
        <v>3451</v>
      </c>
      <c r="E3023" s="2" t="s">
        <v>8800</v>
      </c>
      <c r="F3023" s="52" t="s">
        <v>18</v>
      </c>
      <c r="G3023" s="3" t="s">
        <v>3190</v>
      </c>
      <c r="H3023" s="5">
        <v>0</v>
      </c>
      <c r="I3023" s="6">
        <v>710000000</v>
      </c>
      <c r="J3023" s="4" t="s">
        <v>1931</v>
      </c>
      <c r="K3023" s="4" t="s">
        <v>756</v>
      </c>
      <c r="L3023" s="3" t="s">
        <v>1889</v>
      </c>
      <c r="M3023" s="8" t="s">
        <v>3195</v>
      </c>
      <c r="N3023" s="3" t="s">
        <v>1890</v>
      </c>
      <c r="O3023" s="8" t="s">
        <v>1935</v>
      </c>
      <c r="P3023" s="8">
        <v>796</v>
      </c>
      <c r="Q3023" s="8" t="s">
        <v>3196</v>
      </c>
      <c r="R3023" s="69">
        <v>10</v>
      </c>
      <c r="S3023" s="69">
        <v>71.400000000000006</v>
      </c>
      <c r="T3023" s="10">
        <f t="shared" ref="T3023" si="1881">S3023*R3023</f>
        <v>714</v>
      </c>
      <c r="U3023" s="10">
        <f t="shared" ref="U3023:U3024" si="1882">T3023*1.12</f>
        <v>799.68000000000006</v>
      </c>
      <c r="V3023" s="7"/>
      <c r="W3023" s="1">
        <v>2015</v>
      </c>
      <c r="X3023" s="62"/>
    </row>
    <row r="3024" spans="1:24" s="13" customFormat="1" ht="76.5" customHeight="1" outlineLevel="1" x14ac:dyDescent="0.2">
      <c r="A3024" s="1" t="s">
        <v>8133</v>
      </c>
      <c r="B3024" s="2" t="s">
        <v>5277</v>
      </c>
      <c r="C3024" s="2" t="s">
        <v>8799</v>
      </c>
      <c r="D3024" s="2" t="s">
        <v>3451</v>
      </c>
      <c r="E3024" s="2" t="s">
        <v>8800</v>
      </c>
      <c r="F3024" s="52" t="s">
        <v>8134</v>
      </c>
      <c r="G3024" s="3" t="s">
        <v>3190</v>
      </c>
      <c r="H3024" s="5">
        <v>0</v>
      </c>
      <c r="I3024" s="6">
        <v>710000000</v>
      </c>
      <c r="J3024" s="4" t="s">
        <v>1931</v>
      </c>
      <c r="K3024" s="4" t="s">
        <v>5297</v>
      </c>
      <c r="L3024" s="3" t="s">
        <v>1889</v>
      </c>
      <c r="M3024" s="8" t="s">
        <v>3195</v>
      </c>
      <c r="N3024" s="3" t="s">
        <v>1890</v>
      </c>
      <c r="O3024" s="8" t="s">
        <v>1935</v>
      </c>
      <c r="P3024" s="8">
        <v>796</v>
      </c>
      <c r="Q3024" s="8" t="s">
        <v>3196</v>
      </c>
      <c r="R3024" s="69">
        <v>10</v>
      </c>
      <c r="S3024" s="69">
        <v>110.4</v>
      </c>
      <c r="T3024" s="10">
        <v>0</v>
      </c>
      <c r="U3024" s="10">
        <f t="shared" si="1882"/>
        <v>0</v>
      </c>
      <c r="V3024" s="7"/>
      <c r="W3024" s="1">
        <v>2015</v>
      </c>
      <c r="X3024" s="62">
        <v>11</v>
      </c>
    </row>
    <row r="3025" spans="1:24" s="13" customFormat="1" ht="76.5" customHeight="1" outlineLevel="1" x14ac:dyDescent="0.2">
      <c r="A3025" s="1" t="s">
        <v>8135</v>
      </c>
      <c r="B3025" s="2" t="s">
        <v>5277</v>
      </c>
      <c r="C3025" s="2" t="s">
        <v>8799</v>
      </c>
      <c r="D3025" s="2" t="s">
        <v>3451</v>
      </c>
      <c r="E3025" s="2" t="s">
        <v>8800</v>
      </c>
      <c r="F3025" s="52" t="s">
        <v>8134</v>
      </c>
      <c r="G3025" s="3" t="s">
        <v>3190</v>
      </c>
      <c r="H3025" s="5">
        <v>0</v>
      </c>
      <c r="I3025" s="6">
        <v>710000000</v>
      </c>
      <c r="J3025" s="4" t="s">
        <v>1931</v>
      </c>
      <c r="K3025" s="4" t="s">
        <v>756</v>
      </c>
      <c r="L3025" s="3" t="s">
        <v>1889</v>
      </c>
      <c r="M3025" s="8" t="s">
        <v>3195</v>
      </c>
      <c r="N3025" s="3" t="s">
        <v>1890</v>
      </c>
      <c r="O3025" s="8" t="s">
        <v>1935</v>
      </c>
      <c r="P3025" s="8">
        <v>796</v>
      </c>
      <c r="Q3025" s="8" t="s">
        <v>3196</v>
      </c>
      <c r="R3025" s="69">
        <v>10</v>
      </c>
      <c r="S3025" s="69">
        <v>110.4</v>
      </c>
      <c r="T3025" s="10">
        <f t="shared" ref="T3025" si="1883">S3025*R3025</f>
        <v>1104</v>
      </c>
      <c r="U3025" s="10">
        <f t="shared" ref="U3025" si="1884">T3025*1.12</f>
        <v>1236.48</v>
      </c>
      <c r="V3025" s="7"/>
      <c r="W3025" s="1">
        <v>2015</v>
      </c>
      <c r="X3025" s="62"/>
    </row>
    <row r="3026" spans="1:24" s="13" customFormat="1" ht="76.5" customHeight="1" outlineLevel="1" x14ac:dyDescent="0.2">
      <c r="A3026" s="1" t="s">
        <v>2892</v>
      </c>
      <c r="B3026" s="2" t="s">
        <v>5277</v>
      </c>
      <c r="C3026" s="2" t="s">
        <v>8799</v>
      </c>
      <c r="D3026" s="2" t="s">
        <v>3451</v>
      </c>
      <c r="E3026" s="2" t="s">
        <v>8800</v>
      </c>
      <c r="F3026" s="52" t="s">
        <v>17</v>
      </c>
      <c r="G3026" s="3" t="s">
        <v>3190</v>
      </c>
      <c r="H3026" s="5">
        <v>0</v>
      </c>
      <c r="I3026" s="6">
        <v>710000000</v>
      </c>
      <c r="J3026" s="4" t="s">
        <v>1931</v>
      </c>
      <c r="K3026" s="4" t="s">
        <v>5297</v>
      </c>
      <c r="L3026" s="3" t="s">
        <v>1889</v>
      </c>
      <c r="M3026" s="8" t="s">
        <v>3195</v>
      </c>
      <c r="N3026" s="3" t="s">
        <v>1890</v>
      </c>
      <c r="O3026" s="8" t="s">
        <v>1935</v>
      </c>
      <c r="P3026" s="8">
        <v>796</v>
      </c>
      <c r="Q3026" s="8" t="s">
        <v>3196</v>
      </c>
      <c r="R3026" s="69">
        <v>10</v>
      </c>
      <c r="S3026" s="69">
        <v>175</v>
      </c>
      <c r="T3026" s="10">
        <v>0</v>
      </c>
      <c r="U3026" s="10">
        <f t="shared" si="1763"/>
        <v>0</v>
      </c>
      <c r="V3026" s="7"/>
      <c r="W3026" s="1">
        <v>2015</v>
      </c>
      <c r="X3026" s="62">
        <v>11</v>
      </c>
    </row>
    <row r="3027" spans="1:24" s="13" customFormat="1" ht="76.5" customHeight="1" outlineLevel="1" x14ac:dyDescent="0.2">
      <c r="A3027" s="1" t="s">
        <v>8027</v>
      </c>
      <c r="B3027" s="2" t="s">
        <v>5277</v>
      </c>
      <c r="C3027" s="2" t="s">
        <v>8799</v>
      </c>
      <c r="D3027" s="2" t="s">
        <v>3451</v>
      </c>
      <c r="E3027" s="2" t="s">
        <v>8800</v>
      </c>
      <c r="F3027" s="52" t="s">
        <v>17</v>
      </c>
      <c r="G3027" s="3" t="s">
        <v>3190</v>
      </c>
      <c r="H3027" s="5">
        <v>0</v>
      </c>
      <c r="I3027" s="6">
        <v>710000000</v>
      </c>
      <c r="J3027" s="4" t="s">
        <v>1931</v>
      </c>
      <c r="K3027" s="4" t="s">
        <v>756</v>
      </c>
      <c r="L3027" s="3" t="s">
        <v>1889</v>
      </c>
      <c r="M3027" s="8" t="s">
        <v>3195</v>
      </c>
      <c r="N3027" s="3" t="s">
        <v>1890</v>
      </c>
      <c r="O3027" s="8" t="s">
        <v>1935</v>
      </c>
      <c r="P3027" s="8">
        <v>796</v>
      </c>
      <c r="Q3027" s="8" t="s">
        <v>3196</v>
      </c>
      <c r="R3027" s="69">
        <v>10</v>
      </c>
      <c r="S3027" s="69">
        <v>175</v>
      </c>
      <c r="T3027" s="10">
        <f t="shared" ref="T3027" si="1885">S3027*R3027</f>
        <v>1750</v>
      </c>
      <c r="U3027" s="10">
        <f t="shared" ref="U3027" si="1886">T3027*1.12</f>
        <v>1960.0000000000002</v>
      </c>
      <c r="V3027" s="7"/>
      <c r="W3027" s="1">
        <v>2015</v>
      </c>
      <c r="X3027" s="62"/>
    </row>
    <row r="3028" spans="1:24" s="13" customFormat="1" ht="76.5" customHeight="1" outlineLevel="1" x14ac:dyDescent="0.2">
      <c r="A3028" s="1" t="s">
        <v>2893</v>
      </c>
      <c r="B3028" s="2" t="s">
        <v>5277</v>
      </c>
      <c r="C3028" s="2" t="s">
        <v>8799</v>
      </c>
      <c r="D3028" s="2" t="s">
        <v>3451</v>
      </c>
      <c r="E3028" s="2" t="s">
        <v>8800</v>
      </c>
      <c r="F3028" s="52" t="s">
        <v>16</v>
      </c>
      <c r="G3028" s="3" t="s">
        <v>3190</v>
      </c>
      <c r="H3028" s="5">
        <v>0</v>
      </c>
      <c r="I3028" s="6">
        <v>710000000</v>
      </c>
      <c r="J3028" s="4" t="s">
        <v>1931</v>
      </c>
      <c r="K3028" s="4" t="s">
        <v>5297</v>
      </c>
      <c r="L3028" s="3" t="s">
        <v>1889</v>
      </c>
      <c r="M3028" s="8" t="s">
        <v>3195</v>
      </c>
      <c r="N3028" s="3" t="s">
        <v>1890</v>
      </c>
      <c r="O3028" s="8" t="s">
        <v>1935</v>
      </c>
      <c r="P3028" s="8">
        <v>796</v>
      </c>
      <c r="Q3028" s="8" t="s">
        <v>3196</v>
      </c>
      <c r="R3028" s="69">
        <v>10</v>
      </c>
      <c r="S3028" s="69">
        <v>211.6</v>
      </c>
      <c r="T3028" s="10">
        <v>0</v>
      </c>
      <c r="U3028" s="10">
        <f t="shared" si="1763"/>
        <v>0</v>
      </c>
      <c r="V3028" s="7"/>
      <c r="W3028" s="1">
        <v>2015</v>
      </c>
      <c r="X3028" s="62">
        <v>11</v>
      </c>
    </row>
    <row r="3029" spans="1:24" s="13" customFormat="1" ht="76.5" outlineLevel="1" x14ac:dyDescent="0.2">
      <c r="A3029" s="1" t="s">
        <v>8028</v>
      </c>
      <c r="B3029" s="2" t="s">
        <v>5277</v>
      </c>
      <c r="C3029" s="2" t="s">
        <v>8799</v>
      </c>
      <c r="D3029" s="2" t="s">
        <v>3451</v>
      </c>
      <c r="E3029" s="2" t="s">
        <v>8800</v>
      </c>
      <c r="F3029" s="52" t="s">
        <v>16</v>
      </c>
      <c r="G3029" s="3" t="s">
        <v>3190</v>
      </c>
      <c r="H3029" s="5">
        <v>0</v>
      </c>
      <c r="I3029" s="6">
        <v>710000000</v>
      </c>
      <c r="J3029" s="4" t="s">
        <v>1931</v>
      </c>
      <c r="K3029" s="4" t="s">
        <v>756</v>
      </c>
      <c r="L3029" s="3" t="s">
        <v>1889</v>
      </c>
      <c r="M3029" s="8" t="s">
        <v>3195</v>
      </c>
      <c r="N3029" s="3" t="s">
        <v>1890</v>
      </c>
      <c r="O3029" s="8" t="s">
        <v>1935</v>
      </c>
      <c r="P3029" s="8">
        <v>796</v>
      </c>
      <c r="Q3029" s="8" t="s">
        <v>3196</v>
      </c>
      <c r="R3029" s="69">
        <v>10</v>
      </c>
      <c r="S3029" s="69">
        <v>211.6</v>
      </c>
      <c r="T3029" s="10">
        <v>0</v>
      </c>
      <c r="U3029" s="10">
        <f t="shared" ref="U3029" si="1887">T3029*1.12</f>
        <v>0</v>
      </c>
      <c r="V3029" s="7"/>
      <c r="W3029" s="1">
        <v>2015</v>
      </c>
      <c r="X3029" s="62" t="s">
        <v>7518</v>
      </c>
    </row>
    <row r="3030" spans="1:24" s="13" customFormat="1" ht="76.5" outlineLevel="1" x14ac:dyDescent="0.2">
      <c r="A3030" s="1" t="s">
        <v>9307</v>
      </c>
      <c r="B3030" s="2" t="s">
        <v>5277</v>
      </c>
      <c r="C3030" s="2" t="s">
        <v>8799</v>
      </c>
      <c r="D3030" s="2" t="s">
        <v>3451</v>
      </c>
      <c r="E3030" s="2" t="s">
        <v>8800</v>
      </c>
      <c r="F3030" s="52" t="s">
        <v>16</v>
      </c>
      <c r="G3030" s="3" t="s">
        <v>3190</v>
      </c>
      <c r="H3030" s="5">
        <v>0</v>
      </c>
      <c r="I3030" s="6">
        <v>710000000</v>
      </c>
      <c r="J3030" s="4" t="s">
        <v>1931</v>
      </c>
      <c r="K3030" s="4" t="s">
        <v>9276</v>
      </c>
      <c r="L3030" s="3" t="s">
        <v>1889</v>
      </c>
      <c r="M3030" s="8" t="s">
        <v>3195</v>
      </c>
      <c r="N3030" s="3" t="s">
        <v>1890</v>
      </c>
      <c r="O3030" s="8" t="s">
        <v>1935</v>
      </c>
      <c r="P3030" s="8">
        <v>796</v>
      </c>
      <c r="Q3030" s="8" t="s">
        <v>3196</v>
      </c>
      <c r="R3030" s="69">
        <f>10+10+29</f>
        <v>49</v>
      </c>
      <c r="S3030" s="69">
        <v>211.6</v>
      </c>
      <c r="T3030" s="10">
        <f t="shared" ref="T3030" si="1888">S3030*R3030</f>
        <v>10368.4</v>
      </c>
      <c r="U3030" s="10">
        <f t="shared" ref="U3030" si="1889">T3030*1.12</f>
        <v>11612.608</v>
      </c>
      <c r="V3030" s="7"/>
      <c r="W3030" s="1">
        <v>2015</v>
      </c>
      <c r="X3030" s="62"/>
    </row>
    <row r="3031" spans="1:24" s="13" customFormat="1" ht="76.5" customHeight="1" outlineLevel="1" x14ac:dyDescent="0.2">
      <c r="A3031" s="1" t="s">
        <v>2894</v>
      </c>
      <c r="B3031" s="2" t="s">
        <v>5277</v>
      </c>
      <c r="C3031" s="2" t="s">
        <v>8799</v>
      </c>
      <c r="D3031" s="2" t="s">
        <v>3451</v>
      </c>
      <c r="E3031" s="2" t="s">
        <v>8800</v>
      </c>
      <c r="F3031" s="52" t="s">
        <v>15</v>
      </c>
      <c r="G3031" s="3" t="s">
        <v>3190</v>
      </c>
      <c r="H3031" s="5">
        <v>0</v>
      </c>
      <c r="I3031" s="6">
        <v>710000000</v>
      </c>
      <c r="J3031" s="4" t="s">
        <v>1931</v>
      </c>
      <c r="K3031" s="4" t="s">
        <v>5297</v>
      </c>
      <c r="L3031" s="3" t="s">
        <v>1889</v>
      </c>
      <c r="M3031" s="8" t="s">
        <v>3195</v>
      </c>
      <c r="N3031" s="3" t="s">
        <v>1890</v>
      </c>
      <c r="O3031" s="8" t="s">
        <v>1935</v>
      </c>
      <c r="P3031" s="8">
        <v>796</v>
      </c>
      <c r="Q3031" s="8" t="s">
        <v>3196</v>
      </c>
      <c r="R3031" s="69">
        <v>40</v>
      </c>
      <c r="S3031" s="69">
        <v>245.53</v>
      </c>
      <c r="T3031" s="10">
        <v>0</v>
      </c>
      <c r="U3031" s="10">
        <f t="shared" si="1763"/>
        <v>0</v>
      </c>
      <c r="V3031" s="7"/>
      <c r="W3031" s="1">
        <v>2015</v>
      </c>
      <c r="X3031" s="62">
        <v>11</v>
      </c>
    </row>
    <row r="3032" spans="1:24" s="13" customFormat="1" ht="76.5" customHeight="1" outlineLevel="1" x14ac:dyDescent="0.2">
      <c r="A3032" s="1" t="s">
        <v>8029</v>
      </c>
      <c r="B3032" s="2" t="s">
        <v>5277</v>
      </c>
      <c r="C3032" s="2" t="s">
        <v>8799</v>
      </c>
      <c r="D3032" s="2" t="s">
        <v>3451</v>
      </c>
      <c r="E3032" s="2" t="s">
        <v>8800</v>
      </c>
      <c r="F3032" s="52" t="s">
        <v>15</v>
      </c>
      <c r="G3032" s="3" t="s">
        <v>3190</v>
      </c>
      <c r="H3032" s="5">
        <v>0</v>
      </c>
      <c r="I3032" s="6">
        <v>710000000</v>
      </c>
      <c r="J3032" s="4" t="s">
        <v>1931</v>
      </c>
      <c r="K3032" s="4" t="s">
        <v>756</v>
      </c>
      <c r="L3032" s="3" t="s">
        <v>1889</v>
      </c>
      <c r="M3032" s="8" t="s">
        <v>3195</v>
      </c>
      <c r="N3032" s="3" t="s">
        <v>1890</v>
      </c>
      <c r="O3032" s="8" t="s">
        <v>1935</v>
      </c>
      <c r="P3032" s="8">
        <v>796</v>
      </c>
      <c r="Q3032" s="8" t="s">
        <v>3196</v>
      </c>
      <c r="R3032" s="69">
        <v>40</v>
      </c>
      <c r="S3032" s="69">
        <v>245.53</v>
      </c>
      <c r="T3032" s="10">
        <v>0</v>
      </c>
      <c r="U3032" s="10">
        <f t="shared" ref="U3032" si="1890">T3032*1.12</f>
        <v>0</v>
      </c>
      <c r="V3032" s="7"/>
      <c r="W3032" s="1">
        <v>2015</v>
      </c>
      <c r="X3032" s="62" t="s">
        <v>7518</v>
      </c>
    </row>
    <row r="3033" spans="1:24" s="13" customFormat="1" ht="76.5" customHeight="1" outlineLevel="1" x14ac:dyDescent="0.2">
      <c r="A3033" s="1" t="s">
        <v>9409</v>
      </c>
      <c r="B3033" s="2" t="s">
        <v>5277</v>
      </c>
      <c r="C3033" s="2" t="s">
        <v>8799</v>
      </c>
      <c r="D3033" s="2" t="s">
        <v>3451</v>
      </c>
      <c r="E3033" s="2" t="s">
        <v>8800</v>
      </c>
      <c r="F3033" s="52" t="s">
        <v>15</v>
      </c>
      <c r="G3033" s="3" t="s">
        <v>3190</v>
      </c>
      <c r="H3033" s="5">
        <v>0</v>
      </c>
      <c r="I3033" s="6">
        <v>710000000</v>
      </c>
      <c r="J3033" s="4" t="s">
        <v>1931</v>
      </c>
      <c r="K3033" s="4" t="s">
        <v>9276</v>
      </c>
      <c r="L3033" s="3" t="s">
        <v>1889</v>
      </c>
      <c r="M3033" s="8" t="s">
        <v>3195</v>
      </c>
      <c r="N3033" s="3" t="s">
        <v>1890</v>
      </c>
      <c r="O3033" s="8" t="s">
        <v>1935</v>
      </c>
      <c r="P3033" s="8">
        <v>796</v>
      </c>
      <c r="Q3033" s="8" t="s">
        <v>3196</v>
      </c>
      <c r="R3033" s="69">
        <f>40+54</f>
        <v>94</v>
      </c>
      <c r="S3033" s="69">
        <v>245.53</v>
      </c>
      <c r="T3033" s="10">
        <f t="shared" ref="T3033" si="1891">S3033*R3033</f>
        <v>23079.82</v>
      </c>
      <c r="U3033" s="10">
        <f t="shared" ref="U3033" si="1892">T3033*1.12</f>
        <v>25849.398400000002</v>
      </c>
      <c r="V3033" s="7"/>
      <c r="W3033" s="1">
        <v>2015</v>
      </c>
      <c r="X3033" s="62"/>
    </row>
    <row r="3034" spans="1:24" s="13" customFormat="1" ht="76.5" customHeight="1" outlineLevel="1" x14ac:dyDescent="0.2">
      <c r="A3034" s="1" t="s">
        <v>2895</v>
      </c>
      <c r="B3034" s="2" t="s">
        <v>5277</v>
      </c>
      <c r="C3034" s="2" t="s">
        <v>14</v>
      </c>
      <c r="D3034" s="2" t="s">
        <v>6019</v>
      </c>
      <c r="E3034" s="2" t="s">
        <v>13</v>
      </c>
      <c r="F3034" s="2"/>
      <c r="G3034" s="3" t="s">
        <v>3190</v>
      </c>
      <c r="H3034" s="5">
        <v>0</v>
      </c>
      <c r="I3034" s="6">
        <v>710000000</v>
      </c>
      <c r="J3034" s="4" t="s">
        <v>1931</v>
      </c>
      <c r="K3034" s="4" t="s">
        <v>5297</v>
      </c>
      <c r="L3034" s="3" t="s">
        <v>1889</v>
      </c>
      <c r="M3034" s="8" t="s">
        <v>3195</v>
      </c>
      <c r="N3034" s="3" t="s">
        <v>1890</v>
      </c>
      <c r="O3034" s="8" t="s">
        <v>1935</v>
      </c>
      <c r="P3034" s="8">
        <v>796</v>
      </c>
      <c r="Q3034" s="8" t="s">
        <v>3196</v>
      </c>
      <c r="R3034" s="69">
        <v>5</v>
      </c>
      <c r="S3034" s="69">
        <v>1360.6</v>
      </c>
      <c r="T3034" s="10">
        <v>0</v>
      </c>
      <c r="U3034" s="10">
        <f t="shared" si="1763"/>
        <v>0</v>
      </c>
      <c r="V3034" s="7"/>
      <c r="W3034" s="1">
        <v>2015</v>
      </c>
      <c r="X3034" s="62">
        <v>11</v>
      </c>
    </row>
    <row r="3035" spans="1:24" s="13" customFormat="1" ht="76.5" customHeight="1" outlineLevel="1" x14ac:dyDescent="0.2">
      <c r="A3035" s="1" t="s">
        <v>8030</v>
      </c>
      <c r="B3035" s="2" t="s">
        <v>5277</v>
      </c>
      <c r="C3035" s="2" t="s">
        <v>14</v>
      </c>
      <c r="D3035" s="2" t="s">
        <v>6019</v>
      </c>
      <c r="E3035" s="2" t="s">
        <v>13</v>
      </c>
      <c r="F3035" s="2"/>
      <c r="G3035" s="3" t="s">
        <v>3190</v>
      </c>
      <c r="H3035" s="5">
        <v>0</v>
      </c>
      <c r="I3035" s="6">
        <v>710000000</v>
      </c>
      <c r="J3035" s="4" t="s">
        <v>1931</v>
      </c>
      <c r="K3035" s="4" t="s">
        <v>756</v>
      </c>
      <c r="L3035" s="3" t="s">
        <v>1889</v>
      </c>
      <c r="M3035" s="8" t="s">
        <v>3195</v>
      </c>
      <c r="N3035" s="3" t="s">
        <v>1890</v>
      </c>
      <c r="O3035" s="8" t="s">
        <v>1935</v>
      </c>
      <c r="P3035" s="8">
        <v>796</v>
      </c>
      <c r="Q3035" s="8" t="s">
        <v>3196</v>
      </c>
      <c r="R3035" s="69">
        <v>5</v>
      </c>
      <c r="S3035" s="69">
        <v>1360.6</v>
      </c>
      <c r="T3035" s="10">
        <f t="shared" ref="T3035" si="1893">S3035*R3035</f>
        <v>6803</v>
      </c>
      <c r="U3035" s="10">
        <f t="shared" ref="U3035" si="1894">T3035*1.12</f>
        <v>7619.3600000000006</v>
      </c>
      <c r="V3035" s="7"/>
      <c r="W3035" s="1">
        <v>2015</v>
      </c>
      <c r="X3035" s="62"/>
    </row>
    <row r="3036" spans="1:24" s="13" customFormat="1" ht="76.5" customHeight="1" outlineLevel="1" x14ac:dyDescent="0.2">
      <c r="A3036" s="1" t="s">
        <v>2896</v>
      </c>
      <c r="B3036" s="2" t="s">
        <v>5277</v>
      </c>
      <c r="C3036" s="2" t="s">
        <v>12</v>
      </c>
      <c r="D3036" s="2" t="s">
        <v>6019</v>
      </c>
      <c r="E3036" s="2" t="s">
        <v>11</v>
      </c>
      <c r="F3036" s="2"/>
      <c r="G3036" s="3" t="s">
        <v>3190</v>
      </c>
      <c r="H3036" s="5">
        <v>0</v>
      </c>
      <c r="I3036" s="6">
        <v>710000000</v>
      </c>
      <c r="J3036" s="4" t="s">
        <v>1931</v>
      </c>
      <c r="K3036" s="4" t="s">
        <v>5297</v>
      </c>
      <c r="L3036" s="3" t="s">
        <v>1889</v>
      </c>
      <c r="M3036" s="8" t="s">
        <v>3195</v>
      </c>
      <c r="N3036" s="3" t="s">
        <v>1890</v>
      </c>
      <c r="O3036" s="8" t="s">
        <v>1935</v>
      </c>
      <c r="P3036" s="8">
        <v>796</v>
      </c>
      <c r="Q3036" s="8" t="s">
        <v>3196</v>
      </c>
      <c r="R3036" s="69">
        <v>3</v>
      </c>
      <c r="S3036" s="69">
        <v>286.67</v>
      </c>
      <c r="T3036" s="10">
        <v>0</v>
      </c>
      <c r="U3036" s="10">
        <f t="shared" si="1763"/>
        <v>0</v>
      </c>
      <c r="V3036" s="7"/>
      <c r="W3036" s="1">
        <v>2015</v>
      </c>
      <c r="X3036" s="62">
        <v>11</v>
      </c>
    </row>
    <row r="3037" spans="1:24" s="13" customFormat="1" ht="76.5" outlineLevel="1" x14ac:dyDescent="0.2">
      <c r="A3037" s="1" t="s">
        <v>8031</v>
      </c>
      <c r="B3037" s="2" t="s">
        <v>5277</v>
      </c>
      <c r="C3037" s="2" t="s">
        <v>12</v>
      </c>
      <c r="D3037" s="2" t="s">
        <v>6019</v>
      </c>
      <c r="E3037" s="2" t="s">
        <v>11</v>
      </c>
      <c r="F3037" s="2"/>
      <c r="G3037" s="3" t="s">
        <v>3190</v>
      </c>
      <c r="H3037" s="5">
        <v>0</v>
      </c>
      <c r="I3037" s="6">
        <v>710000000</v>
      </c>
      <c r="J3037" s="4" t="s">
        <v>1931</v>
      </c>
      <c r="K3037" s="4" t="s">
        <v>756</v>
      </c>
      <c r="L3037" s="3" t="s">
        <v>1889</v>
      </c>
      <c r="M3037" s="8" t="s">
        <v>3195</v>
      </c>
      <c r="N3037" s="3" t="s">
        <v>1890</v>
      </c>
      <c r="O3037" s="8" t="s">
        <v>1935</v>
      </c>
      <c r="P3037" s="8">
        <v>796</v>
      </c>
      <c r="Q3037" s="8" t="s">
        <v>3196</v>
      </c>
      <c r="R3037" s="69">
        <v>3</v>
      </c>
      <c r="S3037" s="69">
        <v>286.67</v>
      </c>
      <c r="T3037" s="10">
        <v>0</v>
      </c>
      <c r="U3037" s="10">
        <f t="shared" ref="U3037" si="1895">T3037*1.12</f>
        <v>0</v>
      </c>
      <c r="V3037" s="7"/>
      <c r="W3037" s="1">
        <v>2015</v>
      </c>
      <c r="X3037" s="62" t="s">
        <v>7518</v>
      </c>
    </row>
    <row r="3038" spans="1:24" s="13" customFormat="1" ht="76.5" outlineLevel="1" x14ac:dyDescent="0.2">
      <c r="A3038" s="1" t="s">
        <v>9306</v>
      </c>
      <c r="B3038" s="2" t="s">
        <v>5277</v>
      </c>
      <c r="C3038" s="2" t="s">
        <v>12</v>
      </c>
      <c r="D3038" s="2" t="s">
        <v>6019</v>
      </c>
      <c r="E3038" s="2" t="s">
        <v>11</v>
      </c>
      <c r="F3038" s="2"/>
      <c r="G3038" s="3" t="s">
        <v>3190</v>
      </c>
      <c r="H3038" s="5">
        <v>0</v>
      </c>
      <c r="I3038" s="6">
        <v>710000000</v>
      </c>
      <c r="J3038" s="4" t="s">
        <v>1931</v>
      </c>
      <c r="K3038" s="4" t="s">
        <v>9276</v>
      </c>
      <c r="L3038" s="3" t="s">
        <v>1889</v>
      </c>
      <c r="M3038" s="8" t="s">
        <v>3195</v>
      </c>
      <c r="N3038" s="3" t="s">
        <v>1890</v>
      </c>
      <c r="O3038" s="8" t="s">
        <v>1935</v>
      </c>
      <c r="P3038" s="8">
        <v>796</v>
      </c>
      <c r="Q3038" s="8" t="s">
        <v>3196</v>
      </c>
      <c r="R3038" s="69">
        <f>3+42</f>
        <v>45</v>
      </c>
      <c r="S3038" s="69">
        <v>286.67</v>
      </c>
      <c r="T3038" s="10">
        <v>0</v>
      </c>
      <c r="U3038" s="10">
        <f t="shared" ref="U3038" si="1896">T3038*1.12</f>
        <v>0</v>
      </c>
      <c r="V3038" s="7"/>
      <c r="W3038" s="1">
        <v>2015</v>
      </c>
      <c r="X3038" s="62" t="s">
        <v>6562</v>
      </c>
    </row>
    <row r="3039" spans="1:24" s="13" customFormat="1" ht="76.5" outlineLevel="1" x14ac:dyDescent="0.2">
      <c r="A3039" s="1" t="s">
        <v>9410</v>
      </c>
      <c r="B3039" s="2" t="s">
        <v>5277</v>
      </c>
      <c r="C3039" s="2" t="s">
        <v>12</v>
      </c>
      <c r="D3039" s="2" t="s">
        <v>6019</v>
      </c>
      <c r="E3039" s="2" t="s">
        <v>11</v>
      </c>
      <c r="F3039" s="2"/>
      <c r="G3039" s="3" t="s">
        <v>3190</v>
      </c>
      <c r="H3039" s="5">
        <v>0</v>
      </c>
      <c r="I3039" s="6">
        <v>710000000</v>
      </c>
      <c r="J3039" s="4" t="s">
        <v>1931</v>
      </c>
      <c r="K3039" s="4" t="s">
        <v>9276</v>
      </c>
      <c r="L3039" s="3" t="s">
        <v>1889</v>
      </c>
      <c r="M3039" s="8" t="s">
        <v>3195</v>
      </c>
      <c r="N3039" s="3" t="s">
        <v>1890</v>
      </c>
      <c r="O3039" s="8" t="s">
        <v>1935</v>
      </c>
      <c r="P3039" s="8">
        <v>796</v>
      </c>
      <c r="Q3039" s="8" t="s">
        <v>3196</v>
      </c>
      <c r="R3039" s="69">
        <f>3+42+40</f>
        <v>85</v>
      </c>
      <c r="S3039" s="69">
        <v>286.67</v>
      </c>
      <c r="T3039" s="10">
        <f t="shared" ref="T3039" si="1897">S3039*R3039</f>
        <v>24366.95</v>
      </c>
      <c r="U3039" s="10">
        <f t="shared" ref="U3039" si="1898">T3039*1.12</f>
        <v>27290.984000000004</v>
      </c>
      <c r="V3039" s="7"/>
      <c r="W3039" s="1">
        <v>2015</v>
      </c>
      <c r="X3039" s="62"/>
    </row>
    <row r="3040" spans="1:24" s="13" customFormat="1" ht="76.5" customHeight="1" outlineLevel="1" x14ac:dyDescent="0.2">
      <c r="A3040" s="1" t="s">
        <v>2897</v>
      </c>
      <c r="B3040" s="2" t="s">
        <v>5277</v>
      </c>
      <c r="C3040" s="2" t="s">
        <v>10</v>
      </c>
      <c r="D3040" s="2" t="s">
        <v>6019</v>
      </c>
      <c r="E3040" s="2" t="s">
        <v>9</v>
      </c>
      <c r="F3040" s="2"/>
      <c r="G3040" s="3" t="s">
        <v>3190</v>
      </c>
      <c r="H3040" s="5">
        <v>0</v>
      </c>
      <c r="I3040" s="6">
        <v>710000000</v>
      </c>
      <c r="J3040" s="4" t="s">
        <v>1931</v>
      </c>
      <c r="K3040" s="4" t="s">
        <v>5297</v>
      </c>
      <c r="L3040" s="3" t="s">
        <v>1889</v>
      </c>
      <c r="M3040" s="8" t="s">
        <v>3195</v>
      </c>
      <c r="N3040" s="3" t="s">
        <v>1890</v>
      </c>
      <c r="O3040" s="8" t="s">
        <v>1935</v>
      </c>
      <c r="P3040" s="8">
        <v>796</v>
      </c>
      <c r="Q3040" s="8" t="s">
        <v>3196</v>
      </c>
      <c r="R3040" s="69">
        <v>3</v>
      </c>
      <c r="S3040" s="69">
        <v>440</v>
      </c>
      <c r="T3040" s="10">
        <v>0</v>
      </c>
      <c r="U3040" s="10">
        <f t="shared" si="1763"/>
        <v>0</v>
      </c>
      <c r="V3040" s="7"/>
      <c r="W3040" s="1">
        <v>2015</v>
      </c>
      <c r="X3040" s="62">
        <v>11</v>
      </c>
    </row>
    <row r="3041" spans="1:24" s="13" customFormat="1" ht="76.5" customHeight="1" outlineLevel="1" x14ac:dyDescent="0.2">
      <c r="A3041" s="1" t="s">
        <v>8032</v>
      </c>
      <c r="B3041" s="2" t="s">
        <v>5277</v>
      </c>
      <c r="C3041" s="2" t="s">
        <v>10</v>
      </c>
      <c r="D3041" s="2" t="s">
        <v>6019</v>
      </c>
      <c r="E3041" s="2" t="s">
        <v>9</v>
      </c>
      <c r="F3041" s="2"/>
      <c r="G3041" s="3" t="s">
        <v>3190</v>
      </c>
      <c r="H3041" s="5">
        <v>0</v>
      </c>
      <c r="I3041" s="6">
        <v>710000000</v>
      </c>
      <c r="J3041" s="4" t="s">
        <v>1931</v>
      </c>
      <c r="K3041" s="4" t="s">
        <v>756</v>
      </c>
      <c r="L3041" s="3" t="s">
        <v>1889</v>
      </c>
      <c r="M3041" s="8" t="s">
        <v>3195</v>
      </c>
      <c r="N3041" s="3" t="s">
        <v>1890</v>
      </c>
      <c r="O3041" s="8" t="s">
        <v>1935</v>
      </c>
      <c r="P3041" s="8">
        <v>796</v>
      </c>
      <c r="Q3041" s="8" t="s">
        <v>3196</v>
      </c>
      <c r="R3041" s="69">
        <v>3</v>
      </c>
      <c r="S3041" s="69">
        <v>440</v>
      </c>
      <c r="T3041" s="10">
        <f t="shared" ref="T3041" si="1899">S3041*R3041</f>
        <v>1320</v>
      </c>
      <c r="U3041" s="10">
        <f t="shared" ref="U3041" si="1900">T3041*1.12</f>
        <v>1478.4</v>
      </c>
      <c r="V3041" s="7"/>
      <c r="W3041" s="1">
        <v>2015</v>
      </c>
      <c r="X3041" s="62"/>
    </row>
    <row r="3042" spans="1:24" s="13" customFormat="1" ht="76.5" customHeight="1" outlineLevel="1" x14ac:dyDescent="0.2">
      <c r="A3042" s="1" t="s">
        <v>2898</v>
      </c>
      <c r="B3042" s="2" t="s">
        <v>5277</v>
      </c>
      <c r="C3042" s="2" t="s">
        <v>8</v>
      </c>
      <c r="D3042" s="2" t="s">
        <v>6019</v>
      </c>
      <c r="E3042" s="2" t="s">
        <v>7</v>
      </c>
      <c r="F3042" s="2"/>
      <c r="G3042" s="3" t="s">
        <v>3190</v>
      </c>
      <c r="H3042" s="5">
        <v>0</v>
      </c>
      <c r="I3042" s="6">
        <v>710000000</v>
      </c>
      <c r="J3042" s="4" t="s">
        <v>1931</v>
      </c>
      <c r="K3042" s="4" t="s">
        <v>5297</v>
      </c>
      <c r="L3042" s="3" t="s">
        <v>1889</v>
      </c>
      <c r="M3042" s="8" t="s">
        <v>3195</v>
      </c>
      <c r="N3042" s="3" t="s">
        <v>1890</v>
      </c>
      <c r="O3042" s="8" t="s">
        <v>1935</v>
      </c>
      <c r="P3042" s="8">
        <v>796</v>
      </c>
      <c r="Q3042" s="8" t="s">
        <v>3196</v>
      </c>
      <c r="R3042" s="69">
        <v>5</v>
      </c>
      <c r="S3042" s="69">
        <v>108</v>
      </c>
      <c r="T3042" s="10">
        <v>0</v>
      </c>
      <c r="U3042" s="10">
        <f t="shared" ref="U3042:U3157" si="1901">T3042*1.12</f>
        <v>0</v>
      </c>
      <c r="V3042" s="7"/>
      <c r="W3042" s="1">
        <v>2015</v>
      </c>
      <c r="X3042" s="62">
        <v>11</v>
      </c>
    </row>
    <row r="3043" spans="1:24" s="13" customFormat="1" ht="76.5" customHeight="1" outlineLevel="1" x14ac:dyDescent="0.2">
      <c r="A3043" s="1" t="s">
        <v>8033</v>
      </c>
      <c r="B3043" s="2" t="s">
        <v>5277</v>
      </c>
      <c r="C3043" s="2" t="s">
        <v>8</v>
      </c>
      <c r="D3043" s="2" t="s">
        <v>6019</v>
      </c>
      <c r="E3043" s="2" t="s">
        <v>7</v>
      </c>
      <c r="F3043" s="2"/>
      <c r="G3043" s="3" t="s">
        <v>3190</v>
      </c>
      <c r="H3043" s="5">
        <v>0</v>
      </c>
      <c r="I3043" s="6">
        <v>710000000</v>
      </c>
      <c r="J3043" s="4" t="s">
        <v>1931</v>
      </c>
      <c r="K3043" s="4" t="s">
        <v>756</v>
      </c>
      <c r="L3043" s="3" t="s">
        <v>1889</v>
      </c>
      <c r="M3043" s="8" t="s">
        <v>3195</v>
      </c>
      <c r="N3043" s="3" t="s">
        <v>1890</v>
      </c>
      <c r="O3043" s="8" t="s">
        <v>1935</v>
      </c>
      <c r="P3043" s="8">
        <v>796</v>
      </c>
      <c r="Q3043" s="8" t="s">
        <v>3196</v>
      </c>
      <c r="R3043" s="69">
        <v>5</v>
      </c>
      <c r="S3043" s="69">
        <v>108</v>
      </c>
      <c r="T3043" s="10">
        <f t="shared" ref="T3043" si="1902">S3043*R3043</f>
        <v>540</v>
      </c>
      <c r="U3043" s="10">
        <f t="shared" ref="U3043" si="1903">T3043*1.12</f>
        <v>604.80000000000007</v>
      </c>
      <c r="V3043" s="7"/>
      <c r="W3043" s="1">
        <v>2015</v>
      </c>
      <c r="X3043" s="62"/>
    </row>
    <row r="3044" spans="1:24" s="13" customFormat="1" ht="76.5" customHeight="1" outlineLevel="1" x14ac:dyDescent="0.2">
      <c r="A3044" s="1" t="s">
        <v>2899</v>
      </c>
      <c r="B3044" s="2" t="s">
        <v>5277</v>
      </c>
      <c r="C3044" s="2" t="s">
        <v>6</v>
      </c>
      <c r="D3044" s="2" t="s">
        <v>6019</v>
      </c>
      <c r="E3044" s="2" t="s">
        <v>5</v>
      </c>
      <c r="F3044" s="2"/>
      <c r="G3044" s="3" t="s">
        <v>3190</v>
      </c>
      <c r="H3044" s="5">
        <v>0</v>
      </c>
      <c r="I3044" s="6">
        <v>710000000</v>
      </c>
      <c r="J3044" s="4" t="s">
        <v>1931</v>
      </c>
      <c r="K3044" s="4" t="s">
        <v>5297</v>
      </c>
      <c r="L3044" s="3" t="s">
        <v>1889</v>
      </c>
      <c r="M3044" s="8" t="s">
        <v>3195</v>
      </c>
      <c r="N3044" s="3" t="s">
        <v>1890</v>
      </c>
      <c r="O3044" s="8" t="s">
        <v>1935</v>
      </c>
      <c r="P3044" s="8">
        <v>796</v>
      </c>
      <c r="Q3044" s="8" t="s">
        <v>3196</v>
      </c>
      <c r="R3044" s="69">
        <v>3</v>
      </c>
      <c r="S3044" s="69">
        <v>108</v>
      </c>
      <c r="T3044" s="10">
        <v>0</v>
      </c>
      <c r="U3044" s="10">
        <f t="shared" si="1901"/>
        <v>0</v>
      </c>
      <c r="V3044" s="7"/>
      <c r="W3044" s="1">
        <v>2015</v>
      </c>
      <c r="X3044" s="62">
        <v>11</v>
      </c>
    </row>
    <row r="3045" spans="1:24" s="13" customFormat="1" ht="76.5" outlineLevel="1" x14ac:dyDescent="0.2">
      <c r="A3045" s="1" t="s">
        <v>8034</v>
      </c>
      <c r="B3045" s="2" t="s">
        <v>5277</v>
      </c>
      <c r="C3045" s="2" t="s">
        <v>6</v>
      </c>
      <c r="D3045" s="2" t="s">
        <v>6019</v>
      </c>
      <c r="E3045" s="2" t="s">
        <v>5</v>
      </c>
      <c r="F3045" s="2"/>
      <c r="G3045" s="3" t="s">
        <v>3190</v>
      </c>
      <c r="H3045" s="5">
        <v>0</v>
      </c>
      <c r="I3045" s="6">
        <v>710000000</v>
      </c>
      <c r="J3045" s="4" t="s">
        <v>1931</v>
      </c>
      <c r="K3045" s="4" t="s">
        <v>756</v>
      </c>
      <c r="L3045" s="3" t="s">
        <v>1889</v>
      </c>
      <c r="M3045" s="8" t="s">
        <v>3195</v>
      </c>
      <c r="N3045" s="3" t="s">
        <v>1890</v>
      </c>
      <c r="O3045" s="8" t="s">
        <v>1935</v>
      </c>
      <c r="P3045" s="8">
        <v>796</v>
      </c>
      <c r="Q3045" s="8" t="s">
        <v>3196</v>
      </c>
      <c r="R3045" s="69">
        <v>3</v>
      </c>
      <c r="S3045" s="69">
        <v>108</v>
      </c>
      <c r="T3045" s="10">
        <v>0</v>
      </c>
      <c r="U3045" s="10">
        <f t="shared" ref="U3045" si="1904">T3045*1.12</f>
        <v>0</v>
      </c>
      <c r="V3045" s="7"/>
      <c r="W3045" s="1">
        <v>2015</v>
      </c>
      <c r="X3045" s="62" t="s">
        <v>7518</v>
      </c>
    </row>
    <row r="3046" spans="1:24" s="13" customFormat="1" ht="76.5" outlineLevel="1" x14ac:dyDescent="0.2">
      <c r="A3046" s="1" t="s">
        <v>9494</v>
      </c>
      <c r="B3046" s="2" t="s">
        <v>5277</v>
      </c>
      <c r="C3046" s="2" t="s">
        <v>6</v>
      </c>
      <c r="D3046" s="2" t="s">
        <v>6019</v>
      </c>
      <c r="E3046" s="2" t="s">
        <v>5</v>
      </c>
      <c r="F3046" s="2"/>
      <c r="G3046" s="3" t="s">
        <v>3190</v>
      </c>
      <c r="H3046" s="5">
        <v>0</v>
      </c>
      <c r="I3046" s="6">
        <v>710000000</v>
      </c>
      <c r="J3046" s="4" t="s">
        <v>1931</v>
      </c>
      <c r="K3046" s="4" t="s">
        <v>9276</v>
      </c>
      <c r="L3046" s="3" t="s">
        <v>1889</v>
      </c>
      <c r="M3046" s="8" t="s">
        <v>3195</v>
      </c>
      <c r="N3046" s="3" t="s">
        <v>1890</v>
      </c>
      <c r="O3046" s="8" t="s">
        <v>1935</v>
      </c>
      <c r="P3046" s="8">
        <v>796</v>
      </c>
      <c r="Q3046" s="8" t="s">
        <v>3196</v>
      </c>
      <c r="R3046" s="69">
        <f>3+12</f>
        <v>15</v>
      </c>
      <c r="S3046" s="69">
        <v>108</v>
      </c>
      <c r="T3046" s="10">
        <f t="shared" ref="T3046" si="1905">S3046*R3046</f>
        <v>1620</v>
      </c>
      <c r="U3046" s="10">
        <f t="shared" ref="U3046" si="1906">T3046*1.12</f>
        <v>1814.4</v>
      </c>
      <c r="V3046" s="7"/>
      <c r="W3046" s="1">
        <v>2015</v>
      </c>
      <c r="X3046" s="62"/>
    </row>
    <row r="3047" spans="1:24" s="13" customFormat="1" ht="76.5" customHeight="1" outlineLevel="1" x14ac:dyDescent="0.2">
      <c r="A3047" s="1" t="s">
        <v>2900</v>
      </c>
      <c r="B3047" s="2" t="s">
        <v>5277</v>
      </c>
      <c r="C3047" s="2" t="s">
        <v>4</v>
      </c>
      <c r="D3047" s="2" t="s">
        <v>1302</v>
      </c>
      <c r="E3047" s="2" t="s">
        <v>3</v>
      </c>
      <c r="F3047" s="2"/>
      <c r="G3047" s="3" t="s">
        <v>3190</v>
      </c>
      <c r="H3047" s="5">
        <v>0</v>
      </c>
      <c r="I3047" s="6">
        <v>710000000</v>
      </c>
      <c r="J3047" s="4" t="s">
        <v>1931</v>
      </c>
      <c r="K3047" s="4" t="s">
        <v>5297</v>
      </c>
      <c r="L3047" s="3" t="s">
        <v>1889</v>
      </c>
      <c r="M3047" s="8" t="s">
        <v>3195</v>
      </c>
      <c r="N3047" s="3" t="s">
        <v>1890</v>
      </c>
      <c r="O3047" s="8" t="s">
        <v>1935</v>
      </c>
      <c r="P3047" s="8">
        <v>796</v>
      </c>
      <c r="Q3047" s="8" t="s">
        <v>3196</v>
      </c>
      <c r="R3047" s="69">
        <v>10</v>
      </c>
      <c r="S3047" s="69">
        <v>67.900000000000006</v>
      </c>
      <c r="T3047" s="10">
        <v>0</v>
      </c>
      <c r="U3047" s="10">
        <f t="shared" si="1901"/>
        <v>0</v>
      </c>
      <c r="V3047" s="7"/>
      <c r="W3047" s="1">
        <v>2015</v>
      </c>
      <c r="X3047" s="62">
        <v>11</v>
      </c>
    </row>
    <row r="3048" spans="1:24" s="13" customFormat="1" ht="76.5" customHeight="1" outlineLevel="1" x14ac:dyDescent="0.2">
      <c r="A3048" s="1" t="s">
        <v>8035</v>
      </c>
      <c r="B3048" s="2" t="s">
        <v>5277</v>
      </c>
      <c r="C3048" s="2" t="s">
        <v>4</v>
      </c>
      <c r="D3048" s="2" t="s">
        <v>1302</v>
      </c>
      <c r="E3048" s="2" t="s">
        <v>3</v>
      </c>
      <c r="F3048" s="2"/>
      <c r="G3048" s="3" t="s">
        <v>3190</v>
      </c>
      <c r="H3048" s="5">
        <v>0</v>
      </c>
      <c r="I3048" s="6">
        <v>710000000</v>
      </c>
      <c r="J3048" s="4" t="s">
        <v>1931</v>
      </c>
      <c r="K3048" s="4" t="s">
        <v>756</v>
      </c>
      <c r="L3048" s="3" t="s">
        <v>1889</v>
      </c>
      <c r="M3048" s="8" t="s">
        <v>3195</v>
      </c>
      <c r="N3048" s="3" t="s">
        <v>1890</v>
      </c>
      <c r="O3048" s="8" t="s">
        <v>1935</v>
      </c>
      <c r="P3048" s="8">
        <v>796</v>
      </c>
      <c r="Q3048" s="8" t="s">
        <v>3196</v>
      </c>
      <c r="R3048" s="69">
        <v>10</v>
      </c>
      <c r="S3048" s="69">
        <v>67.900000000000006</v>
      </c>
      <c r="T3048" s="10">
        <f t="shared" ref="T3048" si="1907">S3048*R3048</f>
        <v>679</v>
      </c>
      <c r="U3048" s="10">
        <f t="shared" ref="U3048" si="1908">T3048*1.12</f>
        <v>760.48</v>
      </c>
      <c r="V3048" s="7"/>
      <c r="W3048" s="1">
        <v>2015</v>
      </c>
      <c r="X3048" s="62"/>
    </row>
    <row r="3049" spans="1:24" s="13" customFormat="1" ht="76.5" customHeight="1" outlineLevel="1" x14ac:dyDescent="0.2">
      <c r="A3049" s="1" t="s">
        <v>2901</v>
      </c>
      <c r="B3049" s="2" t="s">
        <v>5277</v>
      </c>
      <c r="C3049" s="2" t="s">
        <v>2</v>
      </c>
      <c r="D3049" s="2" t="s">
        <v>1302</v>
      </c>
      <c r="E3049" s="2" t="s">
        <v>1</v>
      </c>
      <c r="F3049" s="2"/>
      <c r="G3049" s="3" t="s">
        <v>3190</v>
      </c>
      <c r="H3049" s="5">
        <v>0</v>
      </c>
      <c r="I3049" s="6">
        <v>710000000</v>
      </c>
      <c r="J3049" s="4" t="s">
        <v>1931</v>
      </c>
      <c r="K3049" s="4" t="s">
        <v>5297</v>
      </c>
      <c r="L3049" s="3" t="s">
        <v>1889</v>
      </c>
      <c r="M3049" s="8" t="s">
        <v>3195</v>
      </c>
      <c r="N3049" s="3" t="s">
        <v>1890</v>
      </c>
      <c r="O3049" s="8" t="s">
        <v>1935</v>
      </c>
      <c r="P3049" s="8">
        <v>796</v>
      </c>
      <c r="Q3049" s="8" t="s">
        <v>3196</v>
      </c>
      <c r="R3049" s="69">
        <v>10</v>
      </c>
      <c r="S3049" s="69">
        <v>70</v>
      </c>
      <c r="T3049" s="10">
        <v>0</v>
      </c>
      <c r="U3049" s="10">
        <f t="shared" si="1901"/>
        <v>0</v>
      </c>
      <c r="V3049" s="7"/>
      <c r="W3049" s="1">
        <v>2015</v>
      </c>
      <c r="X3049" s="62">
        <v>11</v>
      </c>
    </row>
    <row r="3050" spans="1:24" s="13" customFormat="1" ht="76.5" customHeight="1" outlineLevel="1" x14ac:dyDescent="0.2">
      <c r="A3050" s="1" t="s">
        <v>8036</v>
      </c>
      <c r="B3050" s="2" t="s">
        <v>5277</v>
      </c>
      <c r="C3050" s="2" t="s">
        <v>2</v>
      </c>
      <c r="D3050" s="2" t="s">
        <v>1302</v>
      </c>
      <c r="E3050" s="2" t="s">
        <v>1</v>
      </c>
      <c r="F3050" s="2"/>
      <c r="G3050" s="3" t="s">
        <v>3190</v>
      </c>
      <c r="H3050" s="5">
        <v>0</v>
      </c>
      <c r="I3050" s="6">
        <v>710000000</v>
      </c>
      <c r="J3050" s="4" t="s">
        <v>1931</v>
      </c>
      <c r="K3050" s="4" t="s">
        <v>756</v>
      </c>
      <c r="L3050" s="3" t="s">
        <v>1889</v>
      </c>
      <c r="M3050" s="8" t="s">
        <v>3195</v>
      </c>
      <c r="N3050" s="3" t="s">
        <v>1890</v>
      </c>
      <c r="O3050" s="8" t="s">
        <v>1935</v>
      </c>
      <c r="P3050" s="8">
        <v>796</v>
      </c>
      <c r="Q3050" s="8" t="s">
        <v>3196</v>
      </c>
      <c r="R3050" s="69">
        <v>10</v>
      </c>
      <c r="S3050" s="69">
        <v>70</v>
      </c>
      <c r="T3050" s="10">
        <f t="shared" ref="T3050" si="1909">S3050*R3050</f>
        <v>700</v>
      </c>
      <c r="U3050" s="10">
        <f t="shared" ref="U3050" si="1910">T3050*1.12</f>
        <v>784.00000000000011</v>
      </c>
      <c r="V3050" s="7"/>
      <c r="W3050" s="1">
        <v>2015</v>
      </c>
      <c r="X3050" s="62"/>
    </row>
    <row r="3051" spans="1:24" s="13" customFormat="1" ht="76.5" customHeight="1" outlineLevel="1" x14ac:dyDescent="0.2">
      <c r="A3051" s="1" t="s">
        <v>2902</v>
      </c>
      <c r="B3051" s="2" t="s">
        <v>5277</v>
      </c>
      <c r="C3051" s="2" t="s">
        <v>0</v>
      </c>
      <c r="D3051" s="2" t="s">
        <v>1302</v>
      </c>
      <c r="E3051" s="2" t="s">
        <v>1301</v>
      </c>
      <c r="F3051" s="2"/>
      <c r="G3051" s="3" t="s">
        <v>3190</v>
      </c>
      <c r="H3051" s="5">
        <v>0</v>
      </c>
      <c r="I3051" s="6">
        <v>710000000</v>
      </c>
      <c r="J3051" s="4" t="s">
        <v>1931</v>
      </c>
      <c r="K3051" s="4" t="s">
        <v>5297</v>
      </c>
      <c r="L3051" s="3" t="s">
        <v>1889</v>
      </c>
      <c r="M3051" s="8" t="s">
        <v>3195</v>
      </c>
      <c r="N3051" s="3" t="s">
        <v>1890</v>
      </c>
      <c r="O3051" s="8" t="s">
        <v>1935</v>
      </c>
      <c r="P3051" s="8">
        <v>796</v>
      </c>
      <c r="Q3051" s="8" t="s">
        <v>3196</v>
      </c>
      <c r="R3051" s="69">
        <v>20</v>
      </c>
      <c r="S3051" s="69">
        <v>32.15</v>
      </c>
      <c r="T3051" s="10">
        <v>0</v>
      </c>
      <c r="U3051" s="10">
        <f t="shared" si="1901"/>
        <v>0</v>
      </c>
      <c r="V3051" s="7"/>
      <c r="W3051" s="1">
        <v>2015</v>
      </c>
      <c r="X3051" s="62">
        <v>11</v>
      </c>
    </row>
    <row r="3052" spans="1:24" s="13" customFormat="1" ht="76.5" customHeight="1" outlineLevel="1" x14ac:dyDescent="0.2">
      <c r="A3052" s="1" t="s">
        <v>8037</v>
      </c>
      <c r="B3052" s="2" t="s">
        <v>5277</v>
      </c>
      <c r="C3052" s="2" t="s">
        <v>0</v>
      </c>
      <c r="D3052" s="2" t="s">
        <v>1302</v>
      </c>
      <c r="E3052" s="2" t="s">
        <v>1301</v>
      </c>
      <c r="F3052" s="2"/>
      <c r="G3052" s="3" t="s">
        <v>3190</v>
      </c>
      <c r="H3052" s="5">
        <v>0</v>
      </c>
      <c r="I3052" s="6">
        <v>710000000</v>
      </c>
      <c r="J3052" s="4" t="s">
        <v>1931</v>
      </c>
      <c r="K3052" s="4" t="s">
        <v>756</v>
      </c>
      <c r="L3052" s="3" t="s">
        <v>1889</v>
      </c>
      <c r="M3052" s="8" t="s">
        <v>3195</v>
      </c>
      <c r="N3052" s="3" t="s">
        <v>1890</v>
      </c>
      <c r="O3052" s="8" t="s">
        <v>1935</v>
      </c>
      <c r="P3052" s="8">
        <v>796</v>
      </c>
      <c r="Q3052" s="8" t="s">
        <v>3196</v>
      </c>
      <c r="R3052" s="69">
        <v>20</v>
      </c>
      <c r="S3052" s="69">
        <v>32.15</v>
      </c>
      <c r="T3052" s="10">
        <f t="shared" ref="T3052" si="1911">S3052*R3052</f>
        <v>643</v>
      </c>
      <c r="U3052" s="10">
        <f t="shared" ref="U3052" si="1912">T3052*1.12</f>
        <v>720.16000000000008</v>
      </c>
      <c r="V3052" s="7"/>
      <c r="W3052" s="1">
        <v>2015</v>
      </c>
      <c r="X3052" s="62"/>
    </row>
    <row r="3053" spans="1:24" s="13" customFormat="1" ht="76.5" customHeight="1" outlineLevel="1" x14ac:dyDescent="0.2">
      <c r="A3053" s="1" t="s">
        <v>2903</v>
      </c>
      <c r="B3053" s="2" t="s">
        <v>5277</v>
      </c>
      <c r="C3053" s="2" t="s">
        <v>1300</v>
      </c>
      <c r="D3053" s="2" t="s">
        <v>1299</v>
      </c>
      <c r="E3053" s="6" t="s">
        <v>1299</v>
      </c>
      <c r="F3053" s="2"/>
      <c r="G3053" s="3" t="s">
        <v>3190</v>
      </c>
      <c r="H3053" s="5">
        <v>0</v>
      </c>
      <c r="I3053" s="6">
        <v>710000000</v>
      </c>
      <c r="J3053" s="4" t="s">
        <v>1931</v>
      </c>
      <c r="K3053" s="4" t="s">
        <v>5297</v>
      </c>
      <c r="L3053" s="3" t="s">
        <v>1889</v>
      </c>
      <c r="M3053" s="8" t="s">
        <v>3195</v>
      </c>
      <c r="N3053" s="3" t="s">
        <v>1890</v>
      </c>
      <c r="O3053" s="8" t="s">
        <v>1935</v>
      </c>
      <c r="P3053" s="8">
        <v>796</v>
      </c>
      <c r="Q3053" s="8" t="s">
        <v>3196</v>
      </c>
      <c r="R3053" s="69">
        <v>7</v>
      </c>
      <c r="S3053" s="69">
        <v>5690.43</v>
      </c>
      <c r="T3053" s="10">
        <v>0</v>
      </c>
      <c r="U3053" s="10">
        <f t="shared" si="1901"/>
        <v>0</v>
      </c>
      <c r="V3053" s="7"/>
      <c r="W3053" s="1">
        <v>2015</v>
      </c>
      <c r="X3053" s="62">
        <v>11</v>
      </c>
    </row>
    <row r="3054" spans="1:24" s="13" customFormat="1" ht="76.5" customHeight="1" outlineLevel="1" x14ac:dyDescent="0.2">
      <c r="A3054" s="1" t="s">
        <v>8038</v>
      </c>
      <c r="B3054" s="2" t="s">
        <v>5277</v>
      </c>
      <c r="C3054" s="2" t="s">
        <v>1300</v>
      </c>
      <c r="D3054" s="2" t="s">
        <v>1299</v>
      </c>
      <c r="E3054" s="6" t="s">
        <v>1299</v>
      </c>
      <c r="F3054" s="2"/>
      <c r="G3054" s="3" t="s">
        <v>3190</v>
      </c>
      <c r="H3054" s="5">
        <v>0</v>
      </c>
      <c r="I3054" s="6">
        <v>710000000</v>
      </c>
      <c r="J3054" s="4" t="s">
        <v>1931</v>
      </c>
      <c r="K3054" s="4" t="s">
        <v>756</v>
      </c>
      <c r="L3054" s="3" t="s">
        <v>1889</v>
      </c>
      <c r="M3054" s="8" t="s">
        <v>3195</v>
      </c>
      <c r="N3054" s="3" t="s">
        <v>1890</v>
      </c>
      <c r="O3054" s="8" t="s">
        <v>1935</v>
      </c>
      <c r="P3054" s="8">
        <v>796</v>
      </c>
      <c r="Q3054" s="8" t="s">
        <v>3196</v>
      </c>
      <c r="R3054" s="69">
        <v>7</v>
      </c>
      <c r="S3054" s="69">
        <v>5690.43</v>
      </c>
      <c r="T3054" s="10">
        <f t="shared" ref="T3054" si="1913">S3054*R3054</f>
        <v>39833.01</v>
      </c>
      <c r="U3054" s="10">
        <f t="shared" ref="U3054" si="1914">T3054*1.12</f>
        <v>44612.971200000007</v>
      </c>
      <c r="V3054" s="7"/>
      <c r="W3054" s="1">
        <v>2015</v>
      </c>
      <c r="X3054" s="62"/>
    </row>
    <row r="3055" spans="1:24" s="13" customFormat="1" ht="76.5" customHeight="1" outlineLevel="1" x14ac:dyDescent="0.2">
      <c r="A3055" s="1" t="s">
        <v>2904</v>
      </c>
      <c r="B3055" s="2" t="s">
        <v>5277</v>
      </c>
      <c r="C3055" s="2" t="s">
        <v>1298</v>
      </c>
      <c r="D3055" s="2" t="s">
        <v>1287</v>
      </c>
      <c r="E3055" s="6" t="s">
        <v>1297</v>
      </c>
      <c r="F3055" s="2"/>
      <c r="G3055" s="3" t="s">
        <v>3190</v>
      </c>
      <c r="H3055" s="5">
        <v>0</v>
      </c>
      <c r="I3055" s="6">
        <v>710000000</v>
      </c>
      <c r="J3055" s="4" t="s">
        <v>1931</v>
      </c>
      <c r="K3055" s="4" t="s">
        <v>5297</v>
      </c>
      <c r="L3055" s="3" t="s">
        <v>1889</v>
      </c>
      <c r="M3055" s="8" t="s">
        <v>3195</v>
      </c>
      <c r="N3055" s="3" t="s">
        <v>1890</v>
      </c>
      <c r="O3055" s="8" t="s">
        <v>1935</v>
      </c>
      <c r="P3055" s="8">
        <v>796</v>
      </c>
      <c r="Q3055" s="8" t="s">
        <v>3196</v>
      </c>
      <c r="R3055" s="69">
        <v>20</v>
      </c>
      <c r="S3055" s="69">
        <v>79.45</v>
      </c>
      <c r="T3055" s="10">
        <v>0</v>
      </c>
      <c r="U3055" s="10">
        <f t="shared" si="1901"/>
        <v>0</v>
      </c>
      <c r="V3055" s="7"/>
      <c r="W3055" s="1">
        <v>2015</v>
      </c>
      <c r="X3055" s="62">
        <v>11</v>
      </c>
    </row>
    <row r="3056" spans="1:24" s="13" customFormat="1" ht="76.5" customHeight="1" outlineLevel="1" x14ac:dyDescent="0.2">
      <c r="A3056" s="1" t="s">
        <v>8039</v>
      </c>
      <c r="B3056" s="2" t="s">
        <v>5277</v>
      </c>
      <c r="C3056" s="2" t="s">
        <v>1298</v>
      </c>
      <c r="D3056" s="2" t="s">
        <v>1287</v>
      </c>
      <c r="E3056" s="6" t="s">
        <v>1297</v>
      </c>
      <c r="F3056" s="2"/>
      <c r="G3056" s="3" t="s">
        <v>3190</v>
      </c>
      <c r="H3056" s="5">
        <v>0</v>
      </c>
      <c r="I3056" s="6">
        <v>710000000</v>
      </c>
      <c r="J3056" s="4" t="s">
        <v>1931</v>
      </c>
      <c r="K3056" s="4" t="s">
        <v>756</v>
      </c>
      <c r="L3056" s="3" t="s">
        <v>1889</v>
      </c>
      <c r="M3056" s="8" t="s">
        <v>3195</v>
      </c>
      <c r="N3056" s="3" t="s">
        <v>1890</v>
      </c>
      <c r="O3056" s="8" t="s">
        <v>1935</v>
      </c>
      <c r="P3056" s="8">
        <v>796</v>
      </c>
      <c r="Q3056" s="8" t="s">
        <v>3196</v>
      </c>
      <c r="R3056" s="69">
        <v>20</v>
      </c>
      <c r="S3056" s="69">
        <v>79.45</v>
      </c>
      <c r="T3056" s="10">
        <f t="shared" ref="T3056" si="1915">S3056*R3056</f>
        <v>1589</v>
      </c>
      <c r="U3056" s="10">
        <f t="shared" ref="U3056" si="1916">T3056*1.12</f>
        <v>1779.68</v>
      </c>
      <c r="V3056" s="7"/>
      <c r="W3056" s="1">
        <v>2015</v>
      </c>
      <c r="X3056" s="62"/>
    </row>
    <row r="3057" spans="1:24" s="13" customFormat="1" ht="76.5" customHeight="1" outlineLevel="1" x14ac:dyDescent="0.2">
      <c r="A3057" s="1" t="s">
        <v>2905</v>
      </c>
      <c r="B3057" s="2" t="s">
        <v>5277</v>
      </c>
      <c r="C3057" s="2" t="s">
        <v>1296</v>
      </c>
      <c r="D3057" s="2" t="s">
        <v>1287</v>
      </c>
      <c r="E3057" s="6" t="s">
        <v>1295</v>
      </c>
      <c r="F3057" s="2"/>
      <c r="G3057" s="3" t="s">
        <v>3190</v>
      </c>
      <c r="H3057" s="5">
        <v>0</v>
      </c>
      <c r="I3057" s="6">
        <v>710000000</v>
      </c>
      <c r="J3057" s="4" t="s">
        <v>1931</v>
      </c>
      <c r="K3057" s="4" t="s">
        <v>5297</v>
      </c>
      <c r="L3057" s="3" t="s">
        <v>1889</v>
      </c>
      <c r="M3057" s="8" t="s">
        <v>3195</v>
      </c>
      <c r="N3057" s="3" t="s">
        <v>1890</v>
      </c>
      <c r="O3057" s="8" t="s">
        <v>1935</v>
      </c>
      <c r="P3057" s="8">
        <v>796</v>
      </c>
      <c r="Q3057" s="8" t="s">
        <v>3196</v>
      </c>
      <c r="R3057" s="69">
        <v>20</v>
      </c>
      <c r="S3057" s="69">
        <v>97.3</v>
      </c>
      <c r="T3057" s="10">
        <v>0</v>
      </c>
      <c r="U3057" s="10">
        <f t="shared" si="1901"/>
        <v>0</v>
      </c>
      <c r="V3057" s="7"/>
      <c r="W3057" s="1">
        <v>2015</v>
      </c>
      <c r="X3057" s="62">
        <v>11</v>
      </c>
    </row>
    <row r="3058" spans="1:24" s="13" customFormat="1" ht="76.5" customHeight="1" outlineLevel="1" x14ac:dyDescent="0.2">
      <c r="A3058" s="1" t="s">
        <v>8040</v>
      </c>
      <c r="B3058" s="2" t="s">
        <v>5277</v>
      </c>
      <c r="C3058" s="2" t="s">
        <v>1296</v>
      </c>
      <c r="D3058" s="2" t="s">
        <v>1287</v>
      </c>
      <c r="E3058" s="6" t="s">
        <v>1295</v>
      </c>
      <c r="F3058" s="2"/>
      <c r="G3058" s="3" t="s">
        <v>3190</v>
      </c>
      <c r="H3058" s="5">
        <v>0</v>
      </c>
      <c r="I3058" s="6">
        <v>710000000</v>
      </c>
      <c r="J3058" s="4" t="s">
        <v>1931</v>
      </c>
      <c r="K3058" s="4" t="s">
        <v>756</v>
      </c>
      <c r="L3058" s="3" t="s">
        <v>1889</v>
      </c>
      <c r="M3058" s="8" t="s">
        <v>3195</v>
      </c>
      <c r="N3058" s="3" t="s">
        <v>1890</v>
      </c>
      <c r="O3058" s="8" t="s">
        <v>1935</v>
      </c>
      <c r="P3058" s="8">
        <v>796</v>
      </c>
      <c r="Q3058" s="8" t="s">
        <v>3196</v>
      </c>
      <c r="R3058" s="69">
        <v>20</v>
      </c>
      <c r="S3058" s="69">
        <v>97.3</v>
      </c>
      <c r="T3058" s="10">
        <f t="shared" ref="T3058" si="1917">S3058*R3058</f>
        <v>1946</v>
      </c>
      <c r="U3058" s="10">
        <f t="shared" ref="U3058" si="1918">T3058*1.12</f>
        <v>2179.52</v>
      </c>
      <c r="V3058" s="7"/>
      <c r="W3058" s="1">
        <v>2015</v>
      </c>
      <c r="X3058" s="62"/>
    </row>
    <row r="3059" spans="1:24" s="13" customFormat="1" ht="76.5" customHeight="1" outlineLevel="1" x14ac:dyDescent="0.2">
      <c r="A3059" s="1" t="s">
        <v>2906</v>
      </c>
      <c r="B3059" s="2" t="s">
        <v>5277</v>
      </c>
      <c r="C3059" s="2" t="s">
        <v>1294</v>
      </c>
      <c r="D3059" s="2" t="s">
        <v>1287</v>
      </c>
      <c r="E3059" s="6" t="s">
        <v>1293</v>
      </c>
      <c r="F3059" s="2"/>
      <c r="G3059" s="3" t="s">
        <v>3190</v>
      </c>
      <c r="H3059" s="5">
        <v>0</v>
      </c>
      <c r="I3059" s="6">
        <v>710000000</v>
      </c>
      <c r="J3059" s="4" t="s">
        <v>1931</v>
      </c>
      <c r="K3059" s="4" t="s">
        <v>5297</v>
      </c>
      <c r="L3059" s="3" t="s">
        <v>1889</v>
      </c>
      <c r="M3059" s="8" t="s">
        <v>3195</v>
      </c>
      <c r="N3059" s="3" t="s">
        <v>1890</v>
      </c>
      <c r="O3059" s="8" t="s">
        <v>1935</v>
      </c>
      <c r="P3059" s="8">
        <v>796</v>
      </c>
      <c r="Q3059" s="8" t="s">
        <v>3196</v>
      </c>
      <c r="R3059" s="69">
        <v>20</v>
      </c>
      <c r="S3059" s="69">
        <v>125.9</v>
      </c>
      <c r="T3059" s="10">
        <v>0</v>
      </c>
      <c r="U3059" s="10">
        <f t="shared" si="1901"/>
        <v>0</v>
      </c>
      <c r="V3059" s="7"/>
      <c r="W3059" s="1">
        <v>2015</v>
      </c>
      <c r="X3059" s="62">
        <v>11</v>
      </c>
    </row>
    <row r="3060" spans="1:24" s="13" customFormat="1" ht="76.5" customHeight="1" outlineLevel="1" x14ac:dyDescent="0.2">
      <c r="A3060" s="1" t="s">
        <v>8041</v>
      </c>
      <c r="B3060" s="2" t="s">
        <v>5277</v>
      </c>
      <c r="C3060" s="2" t="s">
        <v>1294</v>
      </c>
      <c r="D3060" s="2" t="s">
        <v>1287</v>
      </c>
      <c r="E3060" s="6" t="s">
        <v>1293</v>
      </c>
      <c r="F3060" s="2"/>
      <c r="G3060" s="3" t="s">
        <v>3190</v>
      </c>
      <c r="H3060" s="5">
        <v>0</v>
      </c>
      <c r="I3060" s="6">
        <v>710000000</v>
      </c>
      <c r="J3060" s="4" t="s">
        <v>1931</v>
      </c>
      <c r="K3060" s="4" t="s">
        <v>756</v>
      </c>
      <c r="L3060" s="3" t="s">
        <v>1889</v>
      </c>
      <c r="M3060" s="8" t="s">
        <v>3195</v>
      </c>
      <c r="N3060" s="3" t="s">
        <v>1890</v>
      </c>
      <c r="O3060" s="8" t="s">
        <v>1935</v>
      </c>
      <c r="P3060" s="8">
        <v>796</v>
      </c>
      <c r="Q3060" s="8" t="s">
        <v>3196</v>
      </c>
      <c r="R3060" s="69">
        <v>20</v>
      </c>
      <c r="S3060" s="69">
        <v>125.9</v>
      </c>
      <c r="T3060" s="10">
        <f t="shared" ref="T3060" si="1919">S3060*R3060</f>
        <v>2518</v>
      </c>
      <c r="U3060" s="10">
        <f t="shared" ref="U3060" si="1920">T3060*1.12</f>
        <v>2820.1600000000003</v>
      </c>
      <c r="V3060" s="7"/>
      <c r="W3060" s="1">
        <v>2015</v>
      </c>
      <c r="X3060" s="62"/>
    </row>
    <row r="3061" spans="1:24" s="13" customFormat="1" ht="76.5" customHeight="1" outlineLevel="1" x14ac:dyDescent="0.2">
      <c r="A3061" s="1" t="s">
        <v>2907</v>
      </c>
      <c r="B3061" s="2" t="s">
        <v>5277</v>
      </c>
      <c r="C3061" s="2" t="s">
        <v>1292</v>
      </c>
      <c r="D3061" s="2" t="s">
        <v>1287</v>
      </c>
      <c r="E3061" s="6" t="s">
        <v>1291</v>
      </c>
      <c r="F3061" s="2"/>
      <c r="G3061" s="3" t="s">
        <v>3190</v>
      </c>
      <c r="H3061" s="5">
        <v>0</v>
      </c>
      <c r="I3061" s="6">
        <v>710000000</v>
      </c>
      <c r="J3061" s="4" t="s">
        <v>1931</v>
      </c>
      <c r="K3061" s="4" t="s">
        <v>5297</v>
      </c>
      <c r="L3061" s="3" t="s">
        <v>1889</v>
      </c>
      <c r="M3061" s="8" t="s">
        <v>3195</v>
      </c>
      <c r="N3061" s="3" t="s">
        <v>1890</v>
      </c>
      <c r="O3061" s="8" t="s">
        <v>1935</v>
      </c>
      <c r="P3061" s="8">
        <v>796</v>
      </c>
      <c r="Q3061" s="8" t="s">
        <v>3196</v>
      </c>
      <c r="R3061" s="69">
        <v>20</v>
      </c>
      <c r="S3061" s="69">
        <v>189.3</v>
      </c>
      <c r="T3061" s="10">
        <v>0</v>
      </c>
      <c r="U3061" s="10">
        <f t="shared" si="1901"/>
        <v>0</v>
      </c>
      <c r="V3061" s="7"/>
      <c r="W3061" s="1">
        <v>2015</v>
      </c>
      <c r="X3061" s="62">
        <v>11</v>
      </c>
    </row>
    <row r="3062" spans="1:24" s="13" customFormat="1" ht="76.5" customHeight="1" outlineLevel="1" x14ac:dyDescent="0.2">
      <c r="A3062" s="1" t="s">
        <v>8043</v>
      </c>
      <c r="B3062" s="2" t="s">
        <v>5277</v>
      </c>
      <c r="C3062" s="2" t="s">
        <v>1292</v>
      </c>
      <c r="D3062" s="2" t="s">
        <v>1287</v>
      </c>
      <c r="E3062" s="6" t="s">
        <v>1291</v>
      </c>
      <c r="F3062" s="2"/>
      <c r="G3062" s="3" t="s">
        <v>3190</v>
      </c>
      <c r="H3062" s="5">
        <v>0</v>
      </c>
      <c r="I3062" s="6">
        <v>710000000</v>
      </c>
      <c r="J3062" s="4" t="s">
        <v>1931</v>
      </c>
      <c r="K3062" s="4" t="s">
        <v>756</v>
      </c>
      <c r="L3062" s="3" t="s">
        <v>1889</v>
      </c>
      <c r="M3062" s="8" t="s">
        <v>3195</v>
      </c>
      <c r="N3062" s="3" t="s">
        <v>1890</v>
      </c>
      <c r="O3062" s="8" t="s">
        <v>1935</v>
      </c>
      <c r="P3062" s="8">
        <v>796</v>
      </c>
      <c r="Q3062" s="8" t="s">
        <v>3196</v>
      </c>
      <c r="R3062" s="69">
        <v>20</v>
      </c>
      <c r="S3062" s="69">
        <v>189.3</v>
      </c>
      <c r="T3062" s="10">
        <v>0</v>
      </c>
      <c r="U3062" s="10">
        <f t="shared" ref="U3062" si="1921">T3062*1.12</f>
        <v>0</v>
      </c>
      <c r="V3062" s="7"/>
      <c r="W3062" s="1">
        <v>2015</v>
      </c>
      <c r="X3062" s="62" t="s">
        <v>7518</v>
      </c>
    </row>
    <row r="3063" spans="1:24" s="13" customFormat="1" ht="76.5" customHeight="1" outlineLevel="1" x14ac:dyDescent="0.2">
      <c r="A3063" s="1" t="s">
        <v>9411</v>
      </c>
      <c r="B3063" s="2" t="s">
        <v>5277</v>
      </c>
      <c r="C3063" s="2" t="s">
        <v>1292</v>
      </c>
      <c r="D3063" s="2" t="s">
        <v>1287</v>
      </c>
      <c r="E3063" s="6" t="s">
        <v>1291</v>
      </c>
      <c r="F3063" s="2"/>
      <c r="G3063" s="3" t="s">
        <v>3190</v>
      </c>
      <c r="H3063" s="5">
        <v>0</v>
      </c>
      <c r="I3063" s="6">
        <v>710000000</v>
      </c>
      <c r="J3063" s="4" t="s">
        <v>1931</v>
      </c>
      <c r="K3063" s="4" t="s">
        <v>9276</v>
      </c>
      <c r="L3063" s="3" t="s">
        <v>1889</v>
      </c>
      <c r="M3063" s="8" t="s">
        <v>3195</v>
      </c>
      <c r="N3063" s="3" t="s">
        <v>1890</v>
      </c>
      <c r="O3063" s="8" t="s">
        <v>1935</v>
      </c>
      <c r="P3063" s="8">
        <v>796</v>
      </c>
      <c r="Q3063" s="8" t="s">
        <v>3196</v>
      </c>
      <c r="R3063" s="69">
        <f>20+2</f>
        <v>22</v>
      </c>
      <c r="S3063" s="69">
        <v>189.3</v>
      </c>
      <c r="T3063" s="10">
        <f t="shared" ref="T3063" si="1922">S3063*R3063</f>
        <v>4164.6000000000004</v>
      </c>
      <c r="U3063" s="10">
        <f t="shared" ref="U3063" si="1923">T3063*1.12</f>
        <v>4664.3520000000008</v>
      </c>
      <c r="V3063" s="7"/>
      <c r="W3063" s="1">
        <v>2015</v>
      </c>
      <c r="X3063" s="62"/>
    </row>
    <row r="3064" spans="1:24" s="13" customFormat="1" ht="76.5" customHeight="1" outlineLevel="1" x14ac:dyDescent="0.2">
      <c r="A3064" s="1" t="s">
        <v>2908</v>
      </c>
      <c r="B3064" s="2" t="s">
        <v>5277</v>
      </c>
      <c r="C3064" s="2" t="s">
        <v>1290</v>
      </c>
      <c r="D3064" s="2" t="s">
        <v>1287</v>
      </c>
      <c r="E3064" s="6" t="s">
        <v>1289</v>
      </c>
      <c r="F3064" s="2"/>
      <c r="G3064" s="3" t="s">
        <v>3190</v>
      </c>
      <c r="H3064" s="5">
        <v>0</v>
      </c>
      <c r="I3064" s="6">
        <v>710000000</v>
      </c>
      <c r="J3064" s="4" t="s">
        <v>1931</v>
      </c>
      <c r="K3064" s="4" t="s">
        <v>5297</v>
      </c>
      <c r="L3064" s="3" t="s">
        <v>1889</v>
      </c>
      <c r="M3064" s="8" t="s">
        <v>3195</v>
      </c>
      <c r="N3064" s="3" t="s">
        <v>1890</v>
      </c>
      <c r="O3064" s="8" t="s">
        <v>1935</v>
      </c>
      <c r="P3064" s="8">
        <v>796</v>
      </c>
      <c r="Q3064" s="8" t="s">
        <v>3196</v>
      </c>
      <c r="R3064" s="69">
        <v>20</v>
      </c>
      <c r="S3064" s="69">
        <v>354.45</v>
      </c>
      <c r="T3064" s="10">
        <v>0</v>
      </c>
      <c r="U3064" s="10">
        <f t="shared" si="1901"/>
        <v>0</v>
      </c>
      <c r="V3064" s="7"/>
      <c r="W3064" s="1">
        <v>2015</v>
      </c>
      <c r="X3064" s="62">
        <v>11</v>
      </c>
    </row>
    <row r="3065" spans="1:24" s="13" customFormat="1" ht="76.5" customHeight="1" outlineLevel="1" x14ac:dyDescent="0.2">
      <c r="A3065" s="1" t="s">
        <v>8042</v>
      </c>
      <c r="B3065" s="2" t="s">
        <v>5277</v>
      </c>
      <c r="C3065" s="2" t="s">
        <v>1290</v>
      </c>
      <c r="D3065" s="2" t="s">
        <v>1287</v>
      </c>
      <c r="E3065" s="6" t="s">
        <v>1289</v>
      </c>
      <c r="F3065" s="2"/>
      <c r="G3065" s="3" t="s">
        <v>3190</v>
      </c>
      <c r="H3065" s="5">
        <v>0</v>
      </c>
      <c r="I3065" s="6">
        <v>710000000</v>
      </c>
      <c r="J3065" s="4" t="s">
        <v>1931</v>
      </c>
      <c r="K3065" s="4" t="s">
        <v>756</v>
      </c>
      <c r="L3065" s="3" t="s">
        <v>1889</v>
      </c>
      <c r="M3065" s="8" t="s">
        <v>3195</v>
      </c>
      <c r="N3065" s="3" t="s">
        <v>1890</v>
      </c>
      <c r="O3065" s="8" t="s">
        <v>1935</v>
      </c>
      <c r="P3065" s="8">
        <v>796</v>
      </c>
      <c r="Q3065" s="8" t="s">
        <v>3196</v>
      </c>
      <c r="R3065" s="69">
        <v>20</v>
      </c>
      <c r="S3065" s="69">
        <v>354.45</v>
      </c>
      <c r="T3065" s="10">
        <f t="shared" ref="T3065" si="1924">S3065*R3065</f>
        <v>7089</v>
      </c>
      <c r="U3065" s="10">
        <f t="shared" ref="U3065" si="1925">T3065*1.12</f>
        <v>7939.6800000000012</v>
      </c>
      <c r="V3065" s="7"/>
      <c r="W3065" s="1">
        <v>2015</v>
      </c>
      <c r="X3065" s="62"/>
    </row>
    <row r="3066" spans="1:24" s="13" customFormat="1" ht="76.5" customHeight="1" outlineLevel="1" x14ac:dyDescent="0.2">
      <c r="A3066" s="1" t="s">
        <v>2909</v>
      </c>
      <c r="B3066" s="2" t="s">
        <v>5277</v>
      </c>
      <c r="C3066" s="2" t="s">
        <v>1288</v>
      </c>
      <c r="D3066" s="2" t="s">
        <v>1287</v>
      </c>
      <c r="E3066" s="6" t="s">
        <v>1286</v>
      </c>
      <c r="F3066" s="2"/>
      <c r="G3066" s="3" t="s">
        <v>3190</v>
      </c>
      <c r="H3066" s="5">
        <v>0</v>
      </c>
      <c r="I3066" s="6">
        <v>710000000</v>
      </c>
      <c r="J3066" s="4" t="s">
        <v>1931</v>
      </c>
      <c r="K3066" s="4" t="s">
        <v>5297</v>
      </c>
      <c r="L3066" s="3" t="s">
        <v>1889</v>
      </c>
      <c r="M3066" s="8" t="s">
        <v>3195</v>
      </c>
      <c r="N3066" s="3" t="s">
        <v>1890</v>
      </c>
      <c r="O3066" s="8" t="s">
        <v>1935</v>
      </c>
      <c r="P3066" s="8">
        <v>796</v>
      </c>
      <c r="Q3066" s="8" t="s">
        <v>3196</v>
      </c>
      <c r="R3066" s="69">
        <v>20</v>
      </c>
      <c r="S3066" s="69">
        <v>241.05</v>
      </c>
      <c r="T3066" s="10">
        <v>0</v>
      </c>
      <c r="U3066" s="10">
        <f t="shared" si="1901"/>
        <v>0</v>
      </c>
      <c r="V3066" s="7"/>
      <c r="W3066" s="1">
        <v>2015</v>
      </c>
      <c r="X3066" s="62">
        <v>11</v>
      </c>
    </row>
    <row r="3067" spans="1:24" s="13" customFormat="1" ht="76.5" customHeight="1" outlineLevel="1" x14ac:dyDescent="0.2">
      <c r="A3067" s="1" t="s">
        <v>8044</v>
      </c>
      <c r="B3067" s="2" t="s">
        <v>5277</v>
      </c>
      <c r="C3067" s="2" t="s">
        <v>1288</v>
      </c>
      <c r="D3067" s="2" t="s">
        <v>1287</v>
      </c>
      <c r="E3067" s="6" t="s">
        <v>1286</v>
      </c>
      <c r="F3067" s="2"/>
      <c r="G3067" s="3" t="s">
        <v>3190</v>
      </c>
      <c r="H3067" s="5">
        <v>0</v>
      </c>
      <c r="I3067" s="6">
        <v>710000000</v>
      </c>
      <c r="J3067" s="4" t="s">
        <v>1931</v>
      </c>
      <c r="K3067" s="4" t="s">
        <v>756</v>
      </c>
      <c r="L3067" s="3" t="s">
        <v>1889</v>
      </c>
      <c r="M3067" s="8" t="s">
        <v>3195</v>
      </c>
      <c r="N3067" s="3" t="s">
        <v>1890</v>
      </c>
      <c r="O3067" s="8" t="s">
        <v>1935</v>
      </c>
      <c r="P3067" s="8">
        <v>796</v>
      </c>
      <c r="Q3067" s="8" t="s">
        <v>3196</v>
      </c>
      <c r="R3067" s="69">
        <v>20</v>
      </c>
      <c r="S3067" s="69">
        <v>241.05</v>
      </c>
      <c r="T3067" s="10">
        <f t="shared" ref="T3067" si="1926">S3067*R3067</f>
        <v>4821</v>
      </c>
      <c r="U3067" s="10">
        <f t="shared" ref="U3067" si="1927">T3067*1.12</f>
        <v>5399.52</v>
      </c>
      <c r="V3067" s="7"/>
      <c r="W3067" s="1">
        <v>2015</v>
      </c>
      <c r="X3067" s="62"/>
    </row>
    <row r="3068" spans="1:24" s="13" customFormat="1" ht="76.5" customHeight="1" outlineLevel="1" x14ac:dyDescent="0.2">
      <c r="A3068" s="1" t="s">
        <v>2910</v>
      </c>
      <c r="B3068" s="2" t="s">
        <v>5277</v>
      </c>
      <c r="C3068" s="2" t="s">
        <v>1285</v>
      </c>
      <c r="D3068" s="2" t="s">
        <v>5511</v>
      </c>
      <c r="E3068" s="2" t="s">
        <v>1284</v>
      </c>
      <c r="F3068" s="2"/>
      <c r="G3068" s="3" t="s">
        <v>3190</v>
      </c>
      <c r="H3068" s="5">
        <v>0</v>
      </c>
      <c r="I3068" s="6">
        <v>710000000</v>
      </c>
      <c r="J3068" s="4" t="s">
        <v>1931</v>
      </c>
      <c r="K3068" s="4" t="s">
        <v>5297</v>
      </c>
      <c r="L3068" s="3" t="s">
        <v>1889</v>
      </c>
      <c r="M3068" s="8" t="s">
        <v>3195</v>
      </c>
      <c r="N3068" s="3" t="s">
        <v>1890</v>
      </c>
      <c r="O3068" s="8" t="s">
        <v>1935</v>
      </c>
      <c r="P3068" s="60" t="s">
        <v>3443</v>
      </c>
      <c r="Q3068" s="3" t="s">
        <v>5676</v>
      </c>
      <c r="R3068" s="69">
        <v>210</v>
      </c>
      <c r="S3068" s="69">
        <v>500</v>
      </c>
      <c r="T3068" s="10">
        <v>0</v>
      </c>
      <c r="U3068" s="10">
        <f t="shared" si="1901"/>
        <v>0</v>
      </c>
      <c r="V3068" s="7"/>
      <c r="W3068" s="1">
        <v>2015</v>
      </c>
      <c r="X3068" s="62">
        <v>11</v>
      </c>
    </row>
    <row r="3069" spans="1:24" s="13" customFormat="1" ht="76.5" customHeight="1" outlineLevel="1" x14ac:dyDescent="0.2">
      <c r="A3069" s="1" t="s">
        <v>8045</v>
      </c>
      <c r="B3069" s="2" t="s">
        <v>5277</v>
      </c>
      <c r="C3069" s="2" t="s">
        <v>1285</v>
      </c>
      <c r="D3069" s="2" t="s">
        <v>5511</v>
      </c>
      <c r="E3069" s="2" t="s">
        <v>1284</v>
      </c>
      <c r="F3069" s="2"/>
      <c r="G3069" s="3" t="s">
        <v>3190</v>
      </c>
      <c r="H3069" s="5">
        <v>0</v>
      </c>
      <c r="I3069" s="6">
        <v>710000000</v>
      </c>
      <c r="J3069" s="4" t="s">
        <v>1931</v>
      </c>
      <c r="K3069" s="4" t="s">
        <v>756</v>
      </c>
      <c r="L3069" s="3" t="s">
        <v>1889</v>
      </c>
      <c r="M3069" s="8" t="s">
        <v>3195</v>
      </c>
      <c r="N3069" s="3" t="s">
        <v>1890</v>
      </c>
      <c r="O3069" s="8" t="s">
        <v>1935</v>
      </c>
      <c r="P3069" s="60" t="s">
        <v>3443</v>
      </c>
      <c r="Q3069" s="3" t="s">
        <v>5676</v>
      </c>
      <c r="R3069" s="69">
        <v>210</v>
      </c>
      <c r="S3069" s="69">
        <v>500</v>
      </c>
      <c r="T3069" s="10">
        <f t="shared" ref="T3069" si="1928">S3069*R3069</f>
        <v>105000</v>
      </c>
      <c r="U3069" s="10">
        <f t="shared" ref="U3069" si="1929">T3069*1.12</f>
        <v>117600.00000000001</v>
      </c>
      <c r="V3069" s="7"/>
      <c r="W3069" s="1">
        <v>2015</v>
      </c>
      <c r="X3069" s="62"/>
    </row>
    <row r="3070" spans="1:24" s="13" customFormat="1" ht="76.5" customHeight="1" outlineLevel="1" x14ac:dyDescent="0.2">
      <c r="A3070" s="1" t="s">
        <v>2911</v>
      </c>
      <c r="B3070" s="2" t="s">
        <v>5277</v>
      </c>
      <c r="C3070" s="2" t="s">
        <v>3831</v>
      </c>
      <c r="D3070" s="2" t="s">
        <v>5511</v>
      </c>
      <c r="E3070" s="6" t="s">
        <v>5512</v>
      </c>
      <c r="F3070" s="2"/>
      <c r="G3070" s="3" t="s">
        <v>3190</v>
      </c>
      <c r="H3070" s="5">
        <v>0</v>
      </c>
      <c r="I3070" s="6">
        <v>710000000</v>
      </c>
      <c r="J3070" s="4" t="s">
        <v>1931</v>
      </c>
      <c r="K3070" s="4" t="s">
        <v>5297</v>
      </c>
      <c r="L3070" s="3" t="s">
        <v>1889</v>
      </c>
      <c r="M3070" s="8" t="s">
        <v>3195</v>
      </c>
      <c r="N3070" s="3" t="s">
        <v>1890</v>
      </c>
      <c r="O3070" s="8" t="s">
        <v>1935</v>
      </c>
      <c r="P3070" s="60" t="s">
        <v>3443</v>
      </c>
      <c r="Q3070" s="3" t="s">
        <v>5676</v>
      </c>
      <c r="R3070" s="69">
        <v>50</v>
      </c>
      <c r="S3070" s="69">
        <v>300</v>
      </c>
      <c r="T3070" s="10">
        <v>0</v>
      </c>
      <c r="U3070" s="10">
        <f t="shared" si="1901"/>
        <v>0</v>
      </c>
      <c r="V3070" s="7"/>
      <c r="W3070" s="1">
        <v>2015</v>
      </c>
      <c r="X3070" s="62">
        <v>11</v>
      </c>
    </row>
    <row r="3071" spans="1:24" s="13" customFormat="1" ht="76.5" customHeight="1" outlineLevel="1" x14ac:dyDescent="0.2">
      <c r="A3071" s="1" t="s">
        <v>8046</v>
      </c>
      <c r="B3071" s="2" t="s">
        <v>5277</v>
      </c>
      <c r="C3071" s="2" t="s">
        <v>3831</v>
      </c>
      <c r="D3071" s="2" t="s">
        <v>5511</v>
      </c>
      <c r="E3071" s="6" t="s">
        <v>5512</v>
      </c>
      <c r="F3071" s="2"/>
      <c r="G3071" s="3" t="s">
        <v>3190</v>
      </c>
      <c r="H3071" s="5">
        <v>0</v>
      </c>
      <c r="I3071" s="6">
        <v>710000000</v>
      </c>
      <c r="J3071" s="4" t="s">
        <v>1931</v>
      </c>
      <c r="K3071" s="4" t="s">
        <v>756</v>
      </c>
      <c r="L3071" s="3" t="s">
        <v>1889</v>
      </c>
      <c r="M3071" s="8" t="s">
        <v>3195</v>
      </c>
      <c r="N3071" s="3" t="s">
        <v>1890</v>
      </c>
      <c r="O3071" s="8" t="s">
        <v>1935</v>
      </c>
      <c r="P3071" s="60" t="s">
        <v>3443</v>
      </c>
      <c r="Q3071" s="3" t="s">
        <v>5676</v>
      </c>
      <c r="R3071" s="69">
        <v>50</v>
      </c>
      <c r="S3071" s="69">
        <v>300</v>
      </c>
      <c r="T3071" s="10">
        <f t="shared" ref="T3071" si="1930">S3071*R3071</f>
        <v>15000</v>
      </c>
      <c r="U3071" s="10">
        <f t="shared" ref="U3071" si="1931">T3071*1.12</f>
        <v>16800</v>
      </c>
      <c r="V3071" s="7"/>
      <c r="W3071" s="1">
        <v>2015</v>
      </c>
      <c r="X3071" s="62"/>
    </row>
    <row r="3072" spans="1:24" s="13" customFormat="1" ht="76.5" customHeight="1" outlineLevel="1" x14ac:dyDescent="0.2">
      <c r="A3072" s="1" t="s">
        <v>2912</v>
      </c>
      <c r="B3072" s="2" t="s">
        <v>5277</v>
      </c>
      <c r="C3072" s="2" t="s">
        <v>3830</v>
      </c>
      <c r="D3072" s="2" t="s">
        <v>5511</v>
      </c>
      <c r="E3072" s="6" t="s">
        <v>5513</v>
      </c>
      <c r="F3072" s="2"/>
      <c r="G3072" s="3" t="s">
        <v>3190</v>
      </c>
      <c r="H3072" s="5">
        <v>0</v>
      </c>
      <c r="I3072" s="6">
        <v>710000000</v>
      </c>
      <c r="J3072" s="4" t="s">
        <v>1931</v>
      </c>
      <c r="K3072" s="4" t="s">
        <v>5297</v>
      </c>
      <c r="L3072" s="3" t="s">
        <v>1889</v>
      </c>
      <c r="M3072" s="8" t="s">
        <v>3195</v>
      </c>
      <c r="N3072" s="3" t="s">
        <v>1890</v>
      </c>
      <c r="O3072" s="8" t="s">
        <v>1935</v>
      </c>
      <c r="P3072" s="60" t="s">
        <v>3443</v>
      </c>
      <c r="Q3072" s="3" t="s">
        <v>5676</v>
      </c>
      <c r="R3072" s="69">
        <v>50</v>
      </c>
      <c r="S3072" s="69">
        <v>333.92</v>
      </c>
      <c r="T3072" s="10">
        <v>0</v>
      </c>
      <c r="U3072" s="10">
        <f t="shared" si="1901"/>
        <v>0</v>
      </c>
      <c r="V3072" s="7"/>
      <c r="W3072" s="1">
        <v>2015</v>
      </c>
      <c r="X3072" s="62">
        <v>11</v>
      </c>
    </row>
    <row r="3073" spans="1:24" s="13" customFormat="1" ht="76.5" customHeight="1" outlineLevel="1" x14ac:dyDescent="0.2">
      <c r="A3073" s="1" t="s">
        <v>8047</v>
      </c>
      <c r="B3073" s="2" t="s">
        <v>5277</v>
      </c>
      <c r="C3073" s="2" t="s">
        <v>3830</v>
      </c>
      <c r="D3073" s="2" t="s">
        <v>5511</v>
      </c>
      <c r="E3073" s="6" t="s">
        <v>5513</v>
      </c>
      <c r="F3073" s="2"/>
      <c r="G3073" s="3" t="s">
        <v>3190</v>
      </c>
      <c r="H3073" s="5">
        <v>0</v>
      </c>
      <c r="I3073" s="6">
        <v>710000000</v>
      </c>
      <c r="J3073" s="4" t="s">
        <v>1931</v>
      </c>
      <c r="K3073" s="4" t="s">
        <v>756</v>
      </c>
      <c r="L3073" s="3" t="s">
        <v>1889</v>
      </c>
      <c r="M3073" s="8" t="s">
        <v>3195</v>
      </c>
      <c r="N3073" s="3" t="s">
        <v>1890</v>
      </c>
      <c r="O3073" s="8" t="s">
        <v>1935</v>
      </c>
      <c r="P3073" s="60" t="s">
        <v>3443</v>
      </c>
      <c r="Q3073" s="3" t="s">
        <v>5676</v>
      </c>
      <c r="R3073" s="69">
        <v>50</v>
      </c>
      <c r="S3073" s="69">
        <v>333.92</v>
      </c>
      <c r="T3073" s="10">
        <f t="shared" ref="T3073" si="1932">S3073*R3073</f>
        <v>16696</v>
      </c>
      <c r="U3073" s="10">
        <f t="shared" ref="U3073" si="1933">T3073*1.12</f>
        <v>18699.52</v>
      </c>
      <c r="V3073" s="7"/>
      <c r="W3073" s="1">
        <v>2015</v>
      </c>
      <c r="X3073" s="62"/>
    </row>
    <row r="3074" spans="1:24" s="13" customFormat="1" ht="76.5" customHeight="1" outlineLevel="1" x14ac:dyDescent="0.2">
      <c r="A3074" s="1" t="s">
        <v>2913</v>
      </c>
      <c r="B3074" s="2" t="s">
        <v>5277</v>
      </c>
      <c r="C3074" s="2" t="s">
        <v>1283</v>
      </c>
      <c r="D3074" s="2" t="s">
        <v>5511</v>
      </c>
      <c r="E3074" s="6" t="s">
        <v>1282</v>
      </c>
      <c r="F3074" s="2"/>
      <c r="G3074" s="3" t="s">
        <v>3190</v>
      </c>
      <c r="H3074" s="5">
        <v>0</v>
      </c>
      <c r="I3074" s="6">
        <v>710000000</v>
      </c>
      <c r="J3074" s="4" t="s">
        <v>1931</v>
      </c>
      <c r="K3074" s="4" t="s">
        <v>5297</v>
      </c>
      <c r="L3074" s="3" t="s">
        <v>1889</v>
      </c>
      <c r="M3074" s="8" t="s">
        <v>3195</v>
      </c>
      <c r="N3074" s="3" t="s">
        <v>1890</v>
      </c>
      <c r="O3074" s="8" t="s">
        <v>1935</v>
      </c>
      <c r="P3074" s="60" t="s">
        <v>3010</v>
      </c>
      <c r="Q3074" s="3" t="s">
        <v>5142</v>
      </c>
      <c r="R3074" s="69">
        <v>40</v>
      </c>
      <c r="S3074" s="69">
        <v>191.08</v>
      </c>
      <c r="T3074" s="10">
        <v>0</v>
      </c>
      <c r="U3074" s="10">
        <f t="shared" si="1901"/>
        <v>0</v>
      </c>
      <c r="V3074" s="7"/>
      <c r="W3074" s="1">
        <v>2015</v>
      </c>
      <c r="X3074" s="62">
        <v>11</v>
      </c>
    </row>
    <row r="3075" spans="1:24" s="13" customFormat="1" ht="76.5" outlineLevel="1" x14ac:dyDescent="0.2">
      <c r="A3075" s="1" t="s">
        <v>8048</v>
      </c>
      <c r="B3075" s="2" t="s">
        <v>5277</v>
      </c>
      <c r="C3075" s="2" t="s">
        <v>1283</v>
      </c>
      <c r="D3075" s="2" t="s">
        <v>5511</v>
      </c>
      <c r="E3075" s="6" t="s">
        <v>1282</v>
      </c>
      <c r="F3075" s="2"/>
      <c r="G3075" s="3" t="s">
        <v>3190</v>
      </c>
      <c r="H3075" s="5">
        <v>0</v>
      </c>
      <c r="I3075" s="6">
        <v>710000000</v>
      </c>
      <c r="J3075" s="4" t="s">
        <v>1931</v>
      </c>
      <c r="K3075" s="4" t="s">
        <v>756</v>
      </c>
      <c r="L3075" s="3" t="s">
        <v>1889</v>
      </c>
      <c r="M3075" s="8" t="s">
        <v>3195</v>
      </c>
      <c r="N3075" s="3" t="s">
        <v>1890</v>
      </c>
      <c r="O3075" s="8" t="s">
        <v>1935</v>
      </c>
      <c r="P3075" s="60" t="s">
        <v>3010</v>
      </c>
      <c r="Q3075" s="3" t="s">
        <v>5142</v>
      </c>
      <c r="R3075" s="69">
        <v>40</v>
      </c>
      <c r="S3075" s="69">
        <v>191.08</v>
      </c>
      <c r="T3075" s="10">
        <v>0</v>
      </c>
      <c r="U3075" s="10">
        <f t="shared" ref="U3075" si="1934">T3075*1.12</f>
        <v>0</v>
      </c>
      <c r="V3075" s="7"/>
      <c r="W3075" s="1">
        <v>2015</v>
      </c>
      <c r="X3075" s="62" t="s">
        <v>7518</v>
      </c>
    </row>
    <row r="3076" spans="1:24" s="13" customFormat="1" ht="76.5" outlineLevel="1" x14ac:dyDescent="0.2">
      <c r="A3076" s="1" t="s">
        <v>9308</v>
      </c>
      <c r="B3076" s="2" t="s">
        <v>5277</v>
      </c>
      <c r="C3076" s="2" t="s">
        <v>1283</v>
      </c>
      <c r="D3076" s="2" t="s">
        <v>5511</v>
      </c>
      <c r="E3076" s="6" t="s">
        <v>1282</v>
      </c>
      <c r="F3076" s="2"/>
      <c r="G3076" s="3" t="s">
        <v>3190</v>
      </c>
      <c r="H3076" s="5">
        <v>0</v>
      </c>
      <c r="I3076" s="6">
        <v>710000000</v>
      </c>
      <c r="J3076" s="4" t="s">
        <v>1931</v>
      </c>
      <c r="K3076" s="4" t="s">
        <v>9276</v>
      </c>
      <c r="L3076" s="3" t="s">
        <v>1889</v>
      </c>
      <c r="M3076" s="8" t="s">
        <v>3195</v>
      </c>
      <c r="N3076" s="3" t="s">
        <v>1890</v>
      </c>
      <c r="O3076" s="8" t="s">
        <v>1935</v>
      </c>
      <c r="P3076" s="60" t="s">
        <v>3010</v>
      </c>
      <c r="Q3076" s="3" t="s">
        <v>5142</v>
      </c>
      <c r="R3076" s="69">
        <f>40+50</f>
        <v>90</v>
      </c>
      <c r="S3076" s="69">
        <v>191.08</v>
      </c>
      <c r="T3076" s="10">
        <f t="shared" ref="T3076" si="1935">S3076*R3076</f>
        <v>17197.2</v>
      </c>
      <c r="U3076" s="10">
        <f t="shared" ref="U3076" si="1936">T3076*1.12</f>
        <v>19260.864000000001</v>
      </c>
      <c r="V3076" s="7"/>
      <c r="W3076" s="1">
        <v>2015</v>
      </c>
      <c r="X3076" s="62"/>
    </row>
    <row r="3077" spans="1:24" s="13" customFormat="1" ht="76.5" customHeight="1" outlineLevel="1" x14ac:dyDescent="0.2">
      <c r="A3077" s="1" t="s">
        <v>2914</v>
      </c>
      <c r="B3077" s="2" t="s">
        <v>5277</v>
      </c>
      <c r="C3077" s="2" t="s">
        <v>1281</v>
      </c>
      <c r="D3077" s="2" t="s">
        <v>5511</v>
      </c>
      <c r="E3077" s="6" t="s">
        <v>1280</v>
      </c>
      <c r="F3077" s="2"/>
      <c r="G3077" s="3" t="s">
        <v>3190</v>
      </c>
      <c r="H3077" s="5">
        <v>0</v>
      </c>
      <c r="I3077" s="6">
        <v>710000000</v>
      </c>
      <c r="J3077" s="4" t="s">
        <v>1931</v>
      </c>
      <c r="K3077" s="4" t="s">
        <v>5297</v>
      </c>
      <c r="L3077" s="3" t="s">
        <v>1889</v>
      </c>
      <c r="M3077" s="8" t="s">
        <v>3195</v>
      </c>
      <c r="N3077" s="3" t="s">
        <v>1890</v>
      </c>
      <c r="O3077" s="8" t="s">
        <v>1935</v>
      </c>
      <c r="P3077" s="60" t="s">
        <v>3010</v>
      </c>
      <c r="Q3077" s="3" t="s">
        <v>5142</v>
      </c>
      <c r="R3077" s="69">
        <v>40</v>
      </c>
      <c r="S3077" s="69">
        <v>617.85</v>
      </c>
      <c r="T3077" s="10">
        <v>0</v>
      </c>
      <c r="U3077" s="10">
        <f t="shared" si="1901"/>
        <v>0</v>
      </c>
      <c r="V3077" s="7"/>
      <c r="W3077" s="1">
        <v>2015</v>
      </c>
      <c r="X3077" s="62">
        <v>11</v>
      </c>
    </row>
    <row r="3078" spans="1:24" s="13" customFormat="1" ht="76.5" customHeight="1" outlineLevel="1" x14ac:dyDescent="0.2">
      <c r="A3078" s="1" t="s">
        <v>8049</v>
      </c>
      <c r="B3078" s="2" t="s">
        <v>5277</v>
      </c>
      <c r="C3078" s="2" t="s">
        <v>1281</v>
      </c>
      <c r="D3078" s="2" t="s">
        <v>5511</v>
      </c>
      <c r="E3078" s="6" t="s">
        <v>1280</v>
      </c>
      <c r="F3078" s="2"/>
      <c r="G3078" s="3" t="s">
        <v>3190</v>
      </c>
      <c r="H3078" s="5">
        <v>0</v>
      </c>
      <c r="I3078" s="6">
        <v>710000000</v>
      </c>
      <c r="J3078" s="4" t="s">
        <v>1931</v>
      </c>
      <c r="K3078" s="4" t="s">
        <v>756</v>
      </c>
      <c r="L3078" s="3" t="s">
        <v>1889</v>
      </c>
      <c r="M3078" s="8" t="s">
        <v>3195</v>
      </c>
      <c r="N3078" s="3" t="s">
        <v>1890</v>
      </c>
      <c r="O3078" s="8" t="s">
        <v>1935</v>
      </c>
      <c r="P3078" s="60" t="s">
        <v>3010</v>
      </c>
      <c r="Q3078" s="3" t="s">
        <v>5142</v>
      </c>
      <c r="R3078" s="69">
        <v>40</v>
      </c>
      <c r="S3078" s="69">
        <v>617.85</v>
      </c>
      <c r="T3078" s="10">
        <v>0</v>
      </c>
      <c r="U3078" s="10">
        <f t="shared" ref="U3078" si="1937">T3078*1.12</f>
        <v>0</v>
      </c>
      <c r="V3078" s="7"/>
      <c r="W3078" s="1">
        <v>2015</v>
      </c>
      <c r="X3078" s="62" t="s">
        <v>7518</v>
      </c>
    </row>
    <row r="3079" spans="1:24" s="13" customFormat="1" ht="76.5" customHeight="1" outlineLevel="1" x14ac:dyDescent="0.2">
      <c r="A3079" s="1" t="s">
        <v>9412</v>
      </c>
      <c r="B3079" s="2" t="s">
        <v>5277</v>
      </c>
      <c r="C3079" s="2" t="s">
        <v>1281</v>
      </c>
      <c r="D3079" s="2" t="s">
        <v>5511</v>
      </c>
      <c r="E3079" s="6" t="s">
        <v>1280</v>
      </c>
      <c r="F3079" s="2"/>
      <c r="G3079" s="3" t="s">
        <v>3190</v>
      </c>
      <c r="H3079" s="5">
        <v>0</v>
      </c>
      <c r="I3079" s="6">
        <v>710000000</v>
      </c>
      <c r="J3079" s="4" t="s">
        <v>1931</v>
      </c>
      <c r="K3079" s="4" t="s">
        <v>9276</v>
      </c>
      <c r="L3079" s="3" t="s">
        <v>1889</v>
      </c>
      <c r="M3079" s="8" t="s">
        <v>3195</v>
      </c>
      <c r="N3079" s="3" t="s">
        <v>1890</v>
      </c>
      <c r="O3079" s="8" t="s">
        <v>1935</v>
      </c>
      <c r="P3079" s="60" t="s">
        <v>3010</v>
      </c>
      <c r="Q3079" s="3" t="s">
        <v>5142</v>
      </c>
      <c r="R3079" s="69">
        <f>40+280</f>
        <v>320</v>
      </c>
      <c r="S3079" s="69">
        <v>617.85</v>
      </c>
      <c r="T3079" s="10">
        <f t="shared" ref="T3079" si="1938">S3079*R3079</f>
        <v>197712</v>
      </c>
      <c r="U3079" s="10">
        <f t="shared" ref="U3079" si="1939">T3079*1.12</f>
        <v>221437.44000000003</v>
      </c>
      <c r="V3079" s="7"/>
      <c r="W3079" s="1">
        <v>2015</v>
      </c>
      <c r="X3079" s="62"/>
    </row>
    <row r="3080" spans="1:24" s="13" customFormat="1" ht="76.5" customHeight="1" outlineLevel="1" x14ac:dyDescent="0.2">
      <c r="A3080" s="1" t="s">
        <v>2915</v>
      </c>
      <c r="B3080" s="2" t="s">
        <v>5277</v>
      </c>
      <c r="C3080" s="2" t="s">
        <v>1279</v>
      </c>
      <c r="D3080" s="2" t="s">
        <v>5511</v>
      </c>
      <c r="E3080" s="6" t="s">
        <v>1278</v>
      </c>
      <c r="F3080" s="2"/>
      <c r="G3080" s="3" t="s">
        <v>3190</v>
      </c>
      <c r="H3080" s="5">
        <v>0</v>
      </c>
      <c r="I3080" s="6">
        <v>710000000</v>
      </c>
      <c r="J3080" s="4" t="s">
        <v>1931</v>
      </c>
      <c r="K3080" s="4" t="s">
        <v>5297</v>
      </c>
      <c r="L3080" s="3" t="s">
        <v>1889</v>
      </c>
      <c r="M3080" s="8" t="s">
        <v>3195</v>
      </c>
      <c r="N3080" s="3" t="s">
        <v>1890</v>
      </c>
      <c r="O3080" s="8" t="s">
        <v>1935</v>
      </c>
      <c r="P3080" s="60" t="s">
        <v>3010</v>
      </c>
      <c r="Q3080" s="3" t="s">
        <v>5142</v>
      </c>
      <c r="R3080" s="69">
        <v>40</v>
      </c>
      <c r="S3080" s="69">
        <v>151.78</v>
      </c>
      <c r="T3080" s="10">
        <v>0</v>
      </c>
      <c r="U3080" s="10">
        <f t="shared" si="1901"/>
        <v>0</v>
      </c>
      <c r="V3080" s="7"/>
      <c r="W3080" s="1">
        <v>2015</v>
      </c>
      <c r="X3080" s="62">
        <v>11</v>
      </c>
    </row>
    <row r="3081" spans="1:24" s="13" customFormat="1" ht="76.5" customHeight="1" outlineLevel="1" x14ac:dyDescent="0.2">
      <c r="A3081" s="1" t="s">
        <v>8050</v>
      </c>
      <c r="B3081" s="2" t="s">
        <v>5277</v>
      </c>
      <c r="C3081" s="2" t="s">
        <v>1279</v>
      </c>
      <c r="D3081" s="2" t="s">
        <v>5511</v>
      </c>
      <c r="E3081" s="6" t="s">
        <v>1278</v>
      </c>
      <c r="F3081" s="2"/>
      <c r="G3081" s="3" t="s">
        <v>3190</v>
      </c>
      <c r="H3081" s="5">
        <v>0</v>
      </c>
      <c r="I3081" s="6">
        <v>710000000</v>
      </c>
      <c r="J3081" s="4" t="s">
        <v>1931</v>
      </c>
      <c r="K3081" s="4" t="s">
        <v>756</v>
      </c>
      <c r="L3081" s="3" t="s">
        <v>1889</v>
      </c>
      <c r="M3081" s="8" t="s">
        <v>3195</v>
      </c>
      <c r="N3081" s="3" t="s">
        <v>1890</v>
      </c>
      <c r="O3081" s="8" t="s">
        <v>1935</v>
      </c>
      <c r="P3081" s="60" t="s">
        <v>3010</v>
      </c>
      <c r="Q3081" s="3" t="s">
        <v>5142</v>
      </c>
      <c r="R3081" s="69">
        <v>40</v>
      </c>
      <c r="S3081" s="69">
        <v>151.78</v>
      </c>
      <c r="T3081" s="10">
        <f t="shared" ref="T3081" si="1940">S3081*R3081</f>
        <v>6071.2</v>
      </c>
      <c r="U3081" s="10">
        <f t="shared" ref="U3081" si="1941">T3081*1.12</f>
        <v>6799.7440000000006</v>
      </c>
      <c r="V3081" s="7"/>
      <c r="W3081" s="1">
        <v>2015</v>
      </c>
      <c r="X3081" s="62"/>
    </row>
    <row r="3082" spans="1:24" s="13" customFormat="1" ht="76.5" customHeight="1" outlineLevel="1" x14ac:dyDescent="0.2">
      <c r="A3082" s="1" t="s">
        <v>2916</v>
      </c>
      <c r="B3082" s="2" t="s">
        <v>5277</v>
      </c>
      <c r="C3082" s="2" t="s">
        <v>1277</v>
      </c>
      <c r="D3082" s="2" t="s">
        <v>1276</v>
      </c>
      <c r="E3082" s="6" t="s">
        <v>1275</v>
      </c>
      <c r="F3082" s="52" t="s">
        <v>1274</v>
      </c>
      <c r="G3082" s="3" t="s">
        <v>3190</v>
      </c>
      <c r="H3082" s="5">
        <v>0</v>
      </c>
      <c r="I3082" s="6">
        <v>710000000</v>
      </c>
      <c r="J3082" s="4" t="s">
        <v>1931</v>
      </c>
      <c r="K3082" s="4" t="s">
        <v>5297</v>
      </c>
      <c r="L3082" s="3" t="s">
        <v>1889</v>
      </c>
      <c r="M3082" s="8" t="s">
        <v>3195</v>
      </c>
      <c r="N3082" s="3" t="s">
        <v>1890</v>
      </c>
      <c r="O3082" s="8" t="s">
        <v>1935</v>
      </c>
      <c r="P3082" s="8">
        <v>796</v>
      </c>
      <c r="Q3082" s="8" t="s">
        <v>3196</v>
      </c>
      <c r="R3082" s="69">
        <v>8</v>
      </c>
      <c r="S3082" s="69">
        <v>443.25</v>
      </c>
      <c r="T3082" s="10">
        <v>0</v>
      </c>
      <c r="U3082" s="10">
        <f t="shared" si="1901"/>
        <v>0</v>
      </c>
      <c r="V3082" s="7"/>
      <c r="W3082" s="1">
        <v>2015</v>
      </c>
      <c r="X3082" s="62">
        <v>11</v>
      </c>
    </row>
    <row r="3083" spans="1:24" s="13" customFormat="1" ht="76.5" customHeight="1" outlineLevel="1" x14ac:dyDescent="0.2">
      <c r="A3083" s="1" t="s">
        <v>8051</v>
      </c>
      <c r="B3083" s="2" t="s">
        <v>5277</v>
      </c>
      <c r="C3083" s="2" t="s">
        <v>1277</v>
      </c>
      <c r="D3083" s="2" t="s">
        <v>1276</v>
      </c>
      <c r="E3083" s="6" t="s">
        <v>1275</v>
      </c>
      <c r="F3083" s="52" t="s">
        <v>1274</v>
      </c>
      <c r="G3083" s="3" t="s">
        <v>3190</v>
      </c>
      <c r="H3083" s="5">
        <v>0</v>
      </c>
      <c r="I3083" s="6">
        <v>710000000</v>
      </c>
      <c r="J3083" s="4" t="s">
        <v>1931</v>
      </c>
      <c r="K3083" s="4" t="s">
        <v>756</v>
      </c>
      <c r="L3083" s="3" t="s">
        <v>1889</v>
      </c>
      <c r="M3083" s="8" t="s">
        <v>3195</v>
      </c>
      <c r="N3083" s="3" t="s">
        <v>1890</v>
      </c>
      <c r="O3083" s="8" t="s">
        <v>1935</v>
      </c>
      <c r="P3083" s="8">
        <v>796</v>
      </c>
      <c r="Q3083" s="8" t="s">
        <v>3196</v>
      </c>
      <c r="R3083" s="69">
        <v>8</v>
      </c>
      <c r="S3083" s="69">
        <v>443.25</v>
      </c>
      <c r="T3083" s="10">
        <f t="shared" ref="T3083" si="1942">S3083*R3083</f>
        <v>3546</v>
      </c>
      <c r="U3083" s="10">
        <f t="shared" ref="U3083" si="1943">T3083*1.12</f>
        <v>3971.5200000000004</v>
      </c>
      <c r="V3083" s="7"/>
      <c r="W3083" s="1">
        <v>2015</v>
      </c>
      <c r="X3083" s="62"/>
    </row>
    <row r="3084" spans="1:24" s="13" customFormat="1" ht="76.5" customHeight="1" outlineLevel="1" x14ac:dyDescent="0.2">
      <c r="A3084" s="1" t="s">
        <v>2917</v>
      </c>
      <c r="B3084" s="2" t="s">
        <v>5277</v>
      </c>
      <c r="C3084" s="2" t="s">
        <v>3802</v>
      </c>
      <c r="D3084" s="2" t="s">
        <v>3803</v>
      </c>
      <c r="E3084" s="2" t="s">
        <v>5549</v>
      </c>
      <c r="F3084" s="2" t="s">
        <v>1274</v>
      </c>
      <c r="G3084" s="3" t="s">
        <v>3190</v>
      </c>
      <c r="H3084" s="5">
        <v>0</v>
      </c>
      <c r="I3084" s="6">
        <v>710000000</v>
      </c>
      <c r="J3084" s="4" t="s">
        <v>1931</v>
      </c>
      <c r="K3084" s="4" t="s">
        <v>5297</v>
      </c>
      <c r="L3084" s="3" t="s">
        <v>1889</v>
      </c>
      <c r="M3084" s="8" t="s">
        <v>3195</v>
      </c>
      <c r="N3084" s="3" t="s">
        <v>1890</v>
      </c>
      <c r="O3084" s="8" t="s">
        <v>1935</v>
      </c>
      <c r="P3084" s="8">
        <v>796</v>
      </c>
      <c r="Q3084" s="8" t="s">
        <v>3196</v>
      </c>
      <c r="R3084" s="69">
        <v>5</v>
      </c>
      <c r="S3084" s="69">
        <v>1500</v>
      </c>
      <c r="T3084" s="10">
        <v>0</v>
      </c>
      <c r="U3084" s="10">
        <f t="shared" si="1901"/>
        <v>0</v>
      </c>
      <c r="V3084" s="7"/>
      <c r="W3084" s="1">
        <v>2015</v>
      </c>
      <c r="X3084" s="62">
        <v>11</v>
      </c>
    </row>
    <row r="3085" spans="1:24" s="13" customFormat="1" ht="76.5" customHeight="1" outlineLevel="1" x14ac:dyDescent="0.2">
      <c r="A3085" s="1" t="s">
        <v>8052</v>
      </c>
      <c r="B3085" s="2" t="s">
        <v>5277</v>
      </c>
      <c r="C3085" s="2" t="s">
        <v>3802</v>
      </c>
      <c r="D3085" s="2" t="s">
        <v>3803</v>
      </c>
      <c r="E3085" s="2" t="s">
        <v>5549</v>
      </c>
      <c r="F3085" s="2" t="s">
        <v>1274</v>
      </c>
      <c r="G3085" s="3" t="s">
        <v>3190</v>
      </c>
      <c r="H3085" s="5">
        <v>0</v>
      </c>
      <c r="I3085" s="6">
        <v>710000000</v>
      </c>
      <c r="J3085" s="4" t="s">
        <v>1931</v>
      </c>
      <c r="K3085" s="4" t="s">
        <v>756</v>
      </c>
      <c r="L3085" s="3" t="s">
        <v>1889</v>
      </c>
      <c r="M3085" s="8" t="s">
        <v>3195</v>
      </c>
      <c r="N3085" s="3" t="s">
        <v>1890</v>
      </c>
      <c r="O3085" s="8" t="s">
        <v>1935</v>
      </c>
      <c r="P3085" s="8">
        <v>796</v>
      </c>
      <c r="Q3085" s="8" t="s">
        <v>3196</v>
      </c>
      <c r="R3085" s="69">
        <v>5</v>
      </c>
      <c r="S3085" s="69">
        <v>1500</v>
      </c>
      <c r="T3085" s="10">
        <f t="shared" ref="T3085" si="1944">S3085*R3085</f>
        <v>7500</v>
      </c>
      <c r="U3085" s="10">
        <f t="shared" ref="U3085" si="1945">T3085*1.12</f>
        <v>8400</v>
      </c>
      <c r="V3085" s="7"/>
      <c r="W3085" s="1">
        <v>2015</v>
      </c>
      <c r="X3085" s="62"/>
    </row>
    <row r="3086" spans="1:24" s="13" customFormat="1" ht="76.5" customHeight="1" outlineLevel="1" x14ac:dyDescent="0.2">
      <c r="A3086" s="1" t="s">
        <v>2918</v>
      </c>
      <c r="B3086" s="2" t="s">
        <v>5277</v>
      </c>
      <c r="C3086" s="2" t="s">
        <v>3447</v>
      </c>
      <c r="D3086" s="2" t="s">
        <v>6023</v>
      </c>
      <c r="E3086" s="6" t="s">
        <v>6025</v>
      </c>
      <c r="F3086" s="2"/>
      <c r="G3086" s="3" t="s">
        <v>3190</v>
      </c>
      <c r="H3086" s="5">
        <v>0</v>
      </c>
      <c r="I3086" s="6">
        <v>710000000</v>
      </c>
      <c r="J3086" s="4" t="s">
        <v>1931</v>
      </c>
      <c r="K3086" s="4" t="s">
        <v>5297</v>
      </c>
      <c r="L3086" s="3" t="s">
        <v>1889</v>
      </c>
      <c r="M3086" s="8" t="s">
        <v>3195</v>
      </c>
      <c r="N3086" s="3" t="s">
        <v>1890</v>
      </c>
      <c r="O3086" s="8" t="s">
        <v>1935</v>
      </c>
      <c r="P3086" s="8">
        <v>796</v>
      </c>
      <c r="Q3086" s="8" t="s">
        <v>3196</v>
      </c>
      <c r="R3086" s="69">
        <v>34</v>
      </c>
      <c r="S3086" s="69">
        <v>613.74</v>
      </c>
      <c r="T3086" s="10">
        <v>0</v>
      </c>
      <c r="U3086" s="10">
        <f t="shared" si="1901"/>
        <v>0</v>
      </c>
      <c r="V3086" s="7"/>
      <c r="W3086" s="1">
        <v>2015</v>
      </c>
      <c r="X3086" s="62">
        <v>11</v>
      </c>
    </row>
    <row r="3087" spans="1:24" s="13" customFormat="1" ht="76.5" customHeight="1" outlineLevel="1" x14ac:dyDescent="0.2">
      <c r="A3087" s="1" t="s">
        <v>8053</v>
      </c>
      <c r="B3087" s="2" t="s">
        <v>5277</v>
      </c>
      <c r="C3087" s="2" t="s">
        <v>3447</v>
      </c>
      <c r="D3087" s="2" t="s">
        <v>6023</v>
      </c>
      <c r="E3087" s="6" t="s">
        <v>6025</v>
      </c>
      <c r="F3087" s="2"/>
      <c r="G3087" s="3" t="s">
        <v>3190</v>
      </c>
      <c r="H3087" s="5">
        <v>0</v>
      </c>
      <c r="I3087" s="6">
        <v>710000000</v>
      </c>
      <c r="J3087" s="4" t="s">
        <v>1931</v>
      </c>
      <c r="K3087" s="4" t="s">
        <v>756</v>
      </c>
      <c r="L3087" s="3" t="s">
        <v>1889</v>
      </c>
      <c r="M3087" s="8" t="s">
        <v>3195</v>
      </c>
      <c r="N3087" s="3" t="s">
        <v>1890</v>
      </c>
      <c r="O3087" s="8" t="s">
        <v>1935</v>
      </c>
      <c r="P3087" s="8">
        <v>796</v>
      </c>
      <c r="Q3087" s="8" t="s">
        <v>3196</v>
      </c>
      <c r="R3087" s="69">
        <v>34</v>
      </c>
      <c r="S3087" s="69">
        <v>613.74</v>
      </c>
      <c r="T3087" s="10">
        <f t="shared" ref="T3087" si="1946">S3087*R3087</f>
        <v>20867.16</v>
      </c>
      <c r="U3087" s="10">
        <f t="shared" ref="U3087" si="1947">T3087*1.12</f>
        <v>23371.219200000003</v>
      </c>
      <c r="V3087" s="7"/>
      <c r="W3087" s="1">
        <v>2015</v>
      </c>
      <c r="X3087" s="62"/>
    </row>
    <row r="3088" spans="1:24" s="13" customFormat="1" ht="76.5" customHeight="1" outlineLevel="1" x14ac:dyDescent="0.2">
      <c r="A3088" s="1" t="s">
        <v>2919</v>
      </c>
      <c r="B3088" s="2" t="s">
        <v>5277</v>
      </c>
      <c r="C3088" s="2" t="s">
        <v>1273</v>
      </c>
      <c r="D3088" s="2" t="s">
        <v>1269</v>
      </c>
      <c r="E3088" s="2" t="s">
        <v>1272</v>
      </c>
      <c r="F3088" s="52" t="s">
        <v>1271</v>
      </c>
      <c r="G3088" s="3" t="s">
        <v>3190</v>
      </c>
      <c r="H3088" s="5">
        <v>0</v>
      </c>
      <c r="I3088" s="6">
        <v>710000000</v>
      </c>
      <c r="J3088" s="4" t="s">
        <v>1931</v>
      </c>
      <c r="K3088" s="4" t="s">
        <v>5297</v>
      </c>
      <c r="L3088" s="3" t="s">
        <v>1889</v>
      </c>
      <c r="M3088" s="8" t="s">
        <v>3195</v>
      </c>
      <c r="N3088" s="3" t="s">
        <v>1890</v>
      </c>
      <c r="O3088" s="8" t="s">
        <v>1935</v>
      </c>
      <c r="P3088" s="8">
        <v>796</v>
      </c>
      <c r="Q3088" s="8" t="s">
        <v>3196</v>
      </c>
      <c r="R3088" s="69">
        <v>30</v>
      </c>
      <c r="S3088" s="69">
        <v>108</v>
      </c>
      <c r="T3088" s="10">
        <v>0</v>
      </c>
      <c r="U3088" s="10">
        <f t="shared" si="1901"/>
        <v>0</v>
      </c>
      <c r="V3088" s="7"/>
      <c r="W3088" s="1">
        <v>2015</v>
      </c>
      <c r="X3088" s="62">
        <v>11</v>
      </c>
    </row>
    <row r="3089" spans="1:24" s="13" customFormat="1" ht="76.5" customHeight="1" outlineLevel="1" x14ac:dyDescent="0.2">
      <c r="A3089" s="1" t="s">
        <v>8054</v>
      </c>
      <c r="B3089" s="2" t="s">
        <v>5277</v>
      </c>
      <c r="C3089" s="2" t="s">
        <v>1273</v>
      </c>
      <c r="D3089" s="2" t="s">
        <v>1269</v>
      </c>
      <c r="E3089" s="2" t="s">
        <v>1272</v>
      </c>
      <c r="F3089" s="52" t="s">
        <v>1271</v>
      </c>
      <c r="G3089" s="3" t="s">
        <v>3190</v>
      </c>
      <c r="H3089" s="5">
        <v>0</v>
      </c>
      <c r="I3089" s="6">
        <v>710000000</v>
      </c>
      <c r="J3089" s="4" t="s">
        <v>1931</v>
      </c>
      <c r="K3089" s="4" t="s">
        <v>756</v>
      </c>
      <c r="L3089" s="3" t="s">
        <v>1889</v>
      </c>
      <c r="M3089" s="8" t="s">
        <v>3195</v>
      </c>
      <c r="N3089" s="3" t="s">
        <v>1890</v>
      </c>
      <c r="O3089" s="8" t="s">
        <v>1935</v>
      </c>
      <c r="P3089" s="8">
        <v>796</v>
      </c>
      <c r="Q3089" s="8" t="s">
        <v>3196</v>
      </c>
      <c r="R3089" s="69">
        <v>30</v>
      </c>
      <c r="S3089" s="69">
        <v>108</v>
      </c>
      <c r="T3089" s="10">
        <f t="shared" ref="T3089" si="1948">S3089*R3089</f>
        <v>3240</v>
      </c>
      <c r="U3089" s="10">
        <f t="shared" ref="U3089" si="1949">T3089*1.12</f>
        <v>3628.8</v>
      </c>
      <c r="V3089" s="7"/>
      <c r="W3089" s="1">
        <v>2015</v>
      </c>
      <c r="X3089" s="62"/>
    </row>
    <row r="3090" spans="1:24" s="13" customFormat="1" ht="76.5" customHeight="1" outlineLevel="1" x14ac:dyDescent="0.2">
      <c r="A3090" s="1" t="s">
        <v>2920</v>
      </c>
      <c r="B3090" s="2" t="s">
        <v>5277</v>
      </c>
      <c r="C3090" s="2" t="s">
        <v>1270</v>
      </c>
      <c r="D3090" s="2" t="s">
        <v>1269</v>
      </c>
      <c r="E3090" s="2" t="s">
        <v>1268</v>
      </c>
      <c r="F3090" s="52" t="s">
        <v>1267</v>
      </c>
      <c r="G3090" s="3" t="s">
        <v>3190</v>
      </c>
      <c r="H3090" s="5">
        <v>0</v>
      </c>
      <c r="I3090" s="6">
        <v>710000000</v>
      </c>
      <c r="J3090" s="4" t="s">
        <v>1931</v>
      </c>
      <c r="K3090" s="4" t="s">
        <v>5297</v>
      </c>
      <c r="L3090" s="3" t="s">
        <v>1889</v>
      </c>
      <c r="M3090" s="8" t="s">
        <v>3195</v>
      </c>
      <c r="N3090" s="3" t="s">
        <v>1890</v>
      </c>
      <c r="O3090" s="8" t="s">
        <v>1935</v>
      </c>
      <c r="P3090" s="8">
        <v>796</v>
      </c>
      <c r="Q3090" s="8" t="s">
        <v>3196</v>
      </c>
      <c r="R3090" s="69">
        <v>30</v>
      </c>
      <c r="S3090" s="69">
        <v>108</v>
      </c>
      <c r="T3090" s="10">
        <v>0</v>
      </c>
      <c r="U3090" s="10">
        <f t="shared" si="1901"/>
        <v>0</v>
      </c>
      <c r="V3090" s="7"/>
      <c r="W3090" s="1">
        <v>2015</v>
      </c>
      <c r="X3090" s="62">
        <v>11</v>
      </c>
    </row>
    <row r="3091" spans="1:24" s="13" customFormat="1" ht="76.5" customHeight="1" outlineLevel="1" x14ac:dyDescent="0.2">
      <c r="A3091" s="1" t="s">
        <v>8055</v>
      </c>
      <c r="B3091" s="2" t="s">
        <v>5277</v>
      </c>
      <c r="C3091" s="2" t="s">
        <v>1270</v>
      </c>
      <c r="D3091" s="2" t="s">
        <v>1269</v>
      </c>
      <c r="E3091" s="2" t="s">
        <v>1268</v>
      </c>
      <c r="F3091" s="52" t="s">
        <v>1267</v>
      </c>
      <c r="G3091" s="3" t="s">
        <v>3190</v>
      </c>
      <c r="H3091" s="5">
        <v>0</v>
      </c>
      <c r="I3091" s="6">
        <v>710000000</v>
      </c>
      <c r="J3091" s="4" t="s">
        <v>1931</v>
      </c>
      <c r="K3091" s="4" t="s">
        <v>756</v>
      </c>
      <c r="L3091" s="3" t="s">
        <v>1889</v>
      </c>
      <c r="M3091" s="8" t="s">
        <v>3195</v>
      </c>
      <c r="N3091" s="3" t="s">
        <v>1890</v>
      </c>
      <c r="O3091" s="8" t="s">
        <v>1935</v>
      </c>
      <c r="P3091" s="8">
        <v>796</v>
      </c>
      <c r="Q3091" s="8" t="s">
        <v>3196</v>
      </c>
      <c r="R3091" s="69">
        <v>30</v>
      </c>
      <c r="S3091" s="69">
        <v>108</v>
      </c>
      <c r="T3091" s="10">
        <f t="shared" ref="T3091" si="1950">S3091*R3091</f>
        <v>3240</v>
      </c>
      <c r="U3091" s="10">
        <f t="shared" ref="U3091" si="1951">T3091*1.12</f>
        <v>3628.8</v>
      </c>
      <c r="V3091" s="7"/>
      <c r="W3091" s="1">
        <v>2015</v>
      </c>
      <c r="X3091" s="62"/>
    </row>
    <row r="3092" spans="1:24" s="13" customFormat="1" ht="76.5" customHeight="1" outlineLevel="1" x14ac:dyDescent="0.2">
      <c r="A3092" s="1" t="s">
        <v>2921</v>
      </c>
      <c r="B3092" s="38" t="s">
        <v>5277</v>
      </c>
      <c r="C3092" s="2" t="s">
        <v>1266</v>
      </c>
      <c r="D3092" s="2" t="s">
        <v>6018</v>
      </c>
      <c r="E3092" s="2" t="s">
        <v>1265</v>
      </c>
      <c r="F3092" s="39"/>
      <c r="G3092" s="50" t="s">
        <v>3190</v>
      </c>
      <c r="H3092" s="5">
        <v>0</v>
      </c>
      <c r="I3092" s="6">
        <v>710000000</v>
      </c>
      <c r="J3092" s="4" t="s">
        <v>1931</v>
      </c>
      <c r="K3092" s="4" t="s">
        <v>5297</v>
      </c>
      <c r="L3092" s="7" t="s">
        <v>1027</v>
      </c>
      <c r="M3092" s="8" t="s">
        <v>3195</v>
      </c>
      <c r="N3092" s="3" t="s">
        <v>1890</v>
      </c>
      <c r="O3092" s="8" t="s">
        <v>1935</v>
      </c>
      <c r="P3092" s="8">
        <v>796</v>
      </c>
      <c r="Q3092" s="8" t="s">
        <v>3196</v>
      </c>
      <c r="R3092" s="9">
        <v>17</v>
      </c>
      <c r="S3092" s="9">
        <v>2500</v>
      </c>
      <c r="T3092" s="10">
        <v>0</v>
      </c>
      <c r="U3092" s="10">
        <f t="shared" si="1901"/>
        <v>0</v>
      </c>
      <c r="V3092" s="7"/>
      <c r="W3092" s="11">
        <v>2015</v>
      </c>
      <c r="X3092" s="12">
        <v>11</v>
      </c>
    </row>
    <row r="3093" spans="1:24" s="13" customFormat="1" ht="76.5" customHeight="1" outlineLevel="1" x14ac:dyDescent="0.2">
      <c r="A3093" s="1" t="s">
        <v>7538</v>
      </c>
      <c r="B3093" s="38" t="s">
        <v>5277</v>
      </c>
      <c r="C3093" s="2" t="s">
        <v>1266</v>
      </c>
      <c r="D3093" s="2" t="s">
        <v>6018</v>
      </c>
      <c r="E3093" s="2" t="s">
        <v>1265</v>
      </c>
      <c r="F3093" s="39"/>
      <c r="G3093" s="50" t="s">
        <v>3190</v>
      </c>
      <c r="H3093" s="5">
        <v>0</v>
      </c>
      <c r="I3093" s="6">
        <v>710000000</v>
      </c>
      <c r="J3093" s="4" t="s">
        <v>1931</v>
      </c>
      <c r="K3093" s="4" t="s">
        <v>5292</v>
      </c>
      <c r="L3093" s="7" t="s">
        <v>1027</v>
      </c>
      <c r="M3093" s="8" t="s">
        <v>3195</v>
      </c>
      <c r="N3093" s="3" t="s">
        <v>1890</v>
      </c>
      <c r="O3093" s="8" t="s">
        <v>1935</v>
      </c>
      <c r="P3093" s="8">
        <v>796</v>
      </c>
      <c r="Q3093" s="8" t="s">
        <v>3196</v>
      </c>
      <c r="R3093" s="9">
        <v>17</v>
      </c>
      <c r="S3093" s="9">
        <v>2500</v>
      </c>
      <c r="T3093" s="10">
        <f t="shared" ref="T3093" si="1952">S3093*R3093</f>
        <v>42500</v>
      </c>
      <c r="U3093" s="10">
        <f t="shared" ref="U3093" si="1953">T3093*1.12</f>
        <v>47600.000000000007</v>
      </c>
      <c r="V3093" s="7"/>
      <c r="W3093" s="11">
        <v>2015</v>
      </c>
      <c r="X3093" s="12"/>
    </row>
    <row r="3094" spans="1:24" s="13" customFormat="1" ht="76.5" customHeight="1" outlineLevel="1" x14ac:dyDescent="0.2">
      <c r="A3094" s="1" t="s">
        <v>2922</v>
      </c>
      <c r="B3094" s="38" t="s">
        <v>5277</v>
      </c>
      <c r="C3094" s="2" t="s">
        <v>3157</v>
      </c>
      <c r="D3094" s="2" t="s">
        <v>6001</v>
      </c>
      <c r="E3094" s="2" t="s">
        <v>6003</v>
      </c>
      <c r="F3094" s="39" t="s">
        <v>1264</v>
      </c>
      <c r="G3094" s="50" t="s">
        <v>3190</v>
      </c>
      <c r="H3094" s="5">
        <v>0</v>
      </c>
      <c r="I3094" s="6">
        <v>710000000</v>
      </c>
      <c r="J3094" s="4" t="s">
        <v>1931</v>
      </c>
      <c r="K3094" s="4" t="s">
        <v>5297</v>
      </c>
      <c r="L3094" s="7" t="s">
        <v>1027</v>
      </c>
      <c r="M3094" s="8" t="s">
        <v>3195</v>
      </c>
      <c r="N3094" s="3" t="s">
        <v>1890</v>
      </c>
      <c r="O3094" s="8" t="s">
        <v>1935</v>
      </c>
      <c r="P3094" s="8">
        <v>796</v>
      </c>
      <c r="Q3094" s="8" t="s">
        <v>3196</v>
      </c>
      <c r="R3094" s="9">
        <v>59</v>
      </c>
      <c r="S3094" s="9">
        <v>350</v>
      </c>
      <c r="T3094" s="10">
        <v>0</v>
      </c>
      <c r="U3094" s="10">
        <f t="shared" si="1901"/>
        <v>0</v>
      </c>
      <c r="V3094" s="7"/>
      <c r="W3094" s="11">
        <v>2015</v>
      </c>
      <c r="X3094" s="12">
        <v>11</v>
      </c>
    </row>
    <row r="3095" spans="1:24" s="13" customFormat="1" ht="76.5" customHeight="1" outlineLevel="1" x14ac:dyDescent="0.2">
      <c r="A3095" s="1" t="s">
        <v>7539</v>
      </c>
      <c r="B3095" s="38" t="s">
        <v>5277</v>
      </c>
      <c r="C3095" s="2" t="s">
        <v>3157</v>
      </c>
      <c r="D3095" s="2" t="s">
        <v>6001</v>
      </c>
      <c r="E3095" s="2" t="s">
        <v>6003</v>
      </c>
      <c r="F3095" s="39" t="s">
        <v>1264</v>
      </c>
      <c r="G3095" s="50" t="s">
        <v>3190</v>
      </c>
      <c r="H3095" s="5">
        <v>0</v>
      </c>
      <c r="I3095" s="6">
        <v>710000000</v>
      </c>
      <c r="J3095" s="4" t="s">
        <v>1931</v>
      </c>
      <c r="K3095" s="4" t="s">
        <v>5292</v>
      </c>
      <c r="L3095" s="7" t="s">
        <v>1027</v>
      </c>
      <c r="M3095" s="8" t="s">
        <v>3195</v>
      </c>
      <c r="N3095" s="3" t="s">
        <v>1890</v>
      </c>
      <c r="O3095" s="8" t="s">
        <v>1935</v>
      </c>
      <c r="P3095" s="8">
        <v>796</v>
      </c>
      <c r="Q3095" s="8" t="s">
        <v>3196</v>
      </c>
      <c r="R3095" s="9">
        <v>59</v>
      </c>
      <c r="S3095" s="9">
        <v>350</v>
      </c>
      <c r="T3095" s="10">
        <f t="shared" ref="T3095" si="1954">S3095*R3095</f>
        <v>20650</v>
      </c>
      <c r="U3095" s="10">
        <f t="shared" ref="U3095" si="1955">T3095*1.12</f>
        <v>23128.000000000004</v>
      </c>
      <c r="V3095" s="7"/>
      <c r="W3095" s="11">
        <v>2015</v>
      </c>
      <c r="X3095" s="12"/>
    </row>
    <row r="3096" spans="1:24" s="13" customFormat="1" ht="76.5" customHeight="1" outlineLevel="1" x14ac:dyDescent="0.2">
      <c r="A3096" s="1" t="s">
        <v>2923</v>
      </c>
      <c r="B3096" s="38" t="s">
        <v>5277</v>
      </c>
      <c r="C3096" s="2" t="s">
        <v>3155</v>
      </c>
      <c r="D3096" s="2" t="s">
        <v>6001</v>
      </c>
      <c r="E3096" s="2" t="s">
        <v>1263</v>
      </c>
      <c r="F3096" s="39" t="s">
        <v>1262</v>
      </c>
      <c r="G3096" s="50" t="s">
        <v>3190</v>
      </c>
      <c r="H3096" s="5">
        <v>0</v>
      </c>
      <c r="I3096" s="6">
        <v>710000000</v>
      </c>
      <c r="J3096" s="4" t="s">
        <v>1931</v>
      </c>
      <c r="K3096" s="4" t="s">
        <v>5297</v>
      </c>
      <c r="L3096" s="7" t="s">
        <v>1027</v>
      </c>
      <c r="M3096" s="8" t="s">
        <v>3195</v>
      </c>
      <c r="N3096" s="3" t="s">
        <v>1890</v>
      </c>
      <c r="O3096" s="8" t="s">
        <v>1935</v>
      </c>
      <c r="P3096" s="8">
        <v>796</v>
      </c>
      <c r="Q3096" s="8" t="s">
        <v>3196</v>
      </c>
      <c r="R3096" s="9">
        <v>24</v>
      </c>
      <c r="S3096" s="9">
        <v>350</v>
      </c>
      <c r="T3096" s="10">
        <v>0</v>
      </c>
      <c r="U3096" s="10">
        <f t="shared" si="1901"/>
        <v>0</v>
      </c>
      <c r="V3096" s="7"/>
      <c r="W3096" s="11">
        <v>2015</v>
      </c>
      <c r="X3096" s="12">
        <v>11</v>
      </c>
    </row>
    <row r="3097" spans="1:24" s="13" customFormat="1" ht="76.5" customHeight="1" outlineLevel="1" x14ac:dyDescent="0.2">
      <c r="A3097" s="1" t="s">
        <v>7540</v>
      </c>
      <c r="B3097" s="38" t="s">
        <v>5277</v>
      </c>
      <c r="C3097" s="2" t="s">
        <v>3155</v>
      </c>
      <c r="D3097" s="2" t="s">
        <v>6001</v>
      </c>
      <c r="E3097" s="2" t="s">
        <v>1263</v>
      </c>
      <c r="F3097" s="39" t="s">
        <v>1262</v>
      </c>
      <c r="G3097" s="50" t="s">
        <v>3190</v>
      </c>
      <c r="H3097" s="5">
        <v>0</v>
      </c>
      <c r="I3097" s="6">
        <v>710000000</v>
      </c>
      <c r="J3097" s="4" t="s">
        <v>1931</v>
      </c>
      <c r="K3097" s="4" t="s">
        <v>5292</v>
      </c>
      <c r="L3097" s="7" t="s">
        <v>1027</v>
      </c>
      <c r="M3097" s="8" t="s">
        <v>3195</v>
      </c>
      <c r="N3097" s="3" t="s">
        <v>1890</v>
      </c>
      <c r="O3097" s="8" t="s">
        <v>1935</v>
      </c>
      <c r="P3097" s="8">
        <v>796</v>
      </c>
      <c r="Q3097" s="8" t="s">
        <v>3196</v>
      </c>
      <c r="R3097" s="9">
        <v>24</v>
      </c>
      <c r="S3097" s="9">
        <v>350</v>
      </c>
      <c r="T3097" s="10">
        <f t="shared" ref="T3097" si="1956">S3097*R3097</f>
        <v>8400</v>
      </c>
      <c r="U3097" s="10">
        <f t="shared" ref="U3097" si="1957">T3097*1.12</f>
        <v>9408</v>
      </c>
      <c r="V3097" s="7"/>
      <c r="W3097" s="11">
        <v>2015</v>
      </c>
      <c r="X3097" s="12"/>
    </row>
    <row r="3098" spans="1:24" s="13" customFormat="1" ht="76.5" customHeight="1" outlineLevel="1" x14ac:dyDescent="0.2">
      <c r="A3098" s="1" t="s">
        <v>2924</v>
      </c>
      <c r="B3098" s="38" t="s">
        <v>5277</v>
      </c>
      <c r="C3098" s="2" t="s">
        <v>3159</v>
      </c>
      <c r="D3098" s="2" t="s">
        <v>6001</v>
      </c>
      <c r="E3098" s="2" t="s">
        <v>6002</v>
      </c>
      <c r="F3098" s="39" t="s">
        <v>3158</v>
      </c>
      <c r="G3098" s="50" t="s">
        <v>3190</v>
      </c>
      <c r="H3098" s="5">
        <v>0</v>
      </c>
      <c r="I3098" s="6">
        <v>710000000</v>
      </c>
      <c r="J3098" s="4" t="s">
        <v>1931</v>
      </c>
      <c r="K3098" s="4" t="s">
        <v>5297</v>
      </c>
      <c r="L3098" s="7" t="s">
        <v>1027</v>
      </c>
      <c r="M3098" s="8" t="s">
        <v>3195</v>
      </c>
      <c r="N3098" s="3" t="s">
        <v>1890</v>
      </c>
      <c r="O3098" s="8" t="s">
        <v>1935</v>
      </c>
      <c r="P3098" s="8">
        <v>796</v>
      </c>
      <c r="Q3098" s="8" t="s">
        <v>3196</v>
      </c>
      <c r="R3098" s="9">
        <v>34</v>
      </c>
      <c r="S3098" s="9">
        <v>0</v>
      </c>
      <c r="T3098" s="10">
        <f t="shared" ref="T3098:T3152" si="1958">S3098*R3098</f>
        <v>0</v>
      </c>
      <c r="U3098" s="10">
        <f t="shared" si="1901"/>
        <v>0</v>
      </c>
      <c r="V3098" s="7"/>
      <c r="W3098" s="11">
        <v>2015</v>
      </c>
      <c r="X3098" s="12">
        <v>11</v>
      </c>
    </row>
    <row r="3099" spans="1:24" s="13" customFormat="1" ht="76.5" customHeight="1" outlineLevel="1" x14ac:dyDescent="0.2">
      <c r="A3099" s="1" t="s">
        <v>7541</v>
      </c>
      <c r="B3099" s="38" t="s">
        <v>5277</v>
      </c>
      <c r="C3099" s="2" t="s">
        <v>3159</v>
      </c>
      <c r="D3099" s="2" t="s">
        <v>6001</v>
      </c>
      <c r="E3099" s="2" t="s">
        <v>6002</v>
      </c>
      <c r="F3099" s="39" t="s">
        <v>3158</v>
      </c>
      <c r="G3099" s="50" t="s">
        <v>3190</v>
      </c>
      <c r="H3099" s="5">
        <v>0</v>
      </c>
      <c r="I3099" s="6">
        <v>710000000</v>
      </c>
      <c r="J3099" s="4" t="s">
        <v>1931</v>
      </c>
      <c r="K3099" s="4" t="s">
        <v>5292</v>
      </c>
      <c r="L3099" s="7" t="s">
        <v>1027</v>
      </c>
      <c r="M3099" s="8" t="s">
        <v>3195</v>
      </c>
      <c r="N3099" s="3" t="s">
        <v>1890</v>
      </c>
      <c r="O3099" s="8" t="s">
        <v>1935</v>
      </c>
      <c r="P3099" s="8">
        <v>796</v>
      </c>
      <c r="Q3099" s="8" t="s">
        <v>3196</v>
      </c>
      <c r="R3099" s="9">
        <v>34</v>
      </c>
      <c r="S3099" s="9">
        <v>446</v>
      </c>
      <c r="T3099" s="10">
        <f t="shared" ref="T3099" si="1959">S3099*R3099</f>
        <v>15164</v>
      </c>
      <c r="U3099" s="10">
        <f t="shared" ref="U3099" si="1960">T3099*1.12</f>
        <v>16983.68</v>
      </c>
      <c r="V3099" s="7"/>
      <c r="W3099" s="11">
        <v>2015</v>
      </c>
      <c r="X3099" s="12"/>
    </row>
    <row r="3100" spans="1:24" s="13" customFormat="1" ht="76.5" customHeight="1" outlineLevel="1" x14ac:dyDescent="0.2">
      <c r="A3100" s="1" t="s">
        <v>2925</v>
      </c>
      <c r="B3100" s="38" t="s">
        <v>5277</v>
      </c>
      <c r="C3100" s="2" t="s">
        <v>3447</v>
      </c>
      <c r="D3100" s="2" t="s">
        <v>6023</v>
      </c>
      <c r="E3100" s="6" t="s">
        <v>6025</v>
      </c>
      <c r="F3100" s="39"/>
      <c r="G3100" s="50" t="s">
        <v>3190</v>
      </c>
      <c r="H3100" s="5">
        <v>0</v>
      </c>
      <c r="I3100" s="6">
        <v>710000000</v>
      </c>
      <c r="J3100" s="4" t="s">
        <v>1931</v>
      </c>
      <c r="K3100" s="4" t="s">
        <v>5297</v>
      </c>
      <c r="L3100" s="7" t="s">
        <v>1027</v>
      </c>
      <c r="M3100" s="8" t="s">
        <v>3195</v>
      </c>
      <c r="N3100" s="3" t="s">
        <v>1890</v>
      </c>
      <c r="O3100" s="8" t="s">
        <v>1935</v>
      </c>
      <c r="P3100" s="8">
        <v>796</v>
      </c>
      <c r="Q3100" s="8" t="s">
        <v>3196</v>
      </c>
      <c r="R3100" s="9">
        <v>34</v>
      </c>
      <c r="S3100" s="9">
        <v>446</v>
      </c>
      <c r="T3100" s="10">
        <v>0</v>
      </c>
      <c r="U3100" s="10">
        <f t="shared" si="1901"/>
        <v>0</v>
      </c>
      <c r="V3100" s="7"/>
      <c r="W3100" s="11">
        <v>2015</v>
      </c>
      <c r="X3100" s="12">
        <v>11</v>
      </c>
    </row>
    <row r="3101" spans="1:24" s="13" customFormat="1" ht="76.5" customHeight="1" outlineLevel="1" x14ac:dyDescent="0.2">
      <c r="A3101" s="1" t="s">
        <v>7542</v>
      </c>
      <c r="B3101" s="38" t="s">
        <v>5277</v>
      </c>
      <c r="C3101" s="2" t="s">
        <v>3447</v>
      </c>
      <c r="D3101" s="2" t="s">
        <v>6023</v>
      </c>
      <c r="E3101" s="6" t="s">
        <v>6025</v>
      </c>
      <c r="F3101" s="39"/>
      <c r="G3101" s="50" t="s">
        <v>3190</v>
      </c>
      <c r="H3101" s="5">
        <v>0</v>
      </c>
      <c r="I3101" s="6">
        <v>710000000</v>
      </c>
      <c r="J3101" s="4" t="s">
        <v>1931</v>
      </c>
      <c r="K3101" s="4" t="s">
        <v>5292</v>
      </c>
      <c r="L3101" s="7" t="s">
        <v>1027</v>
      </c>
      <c r="M3101" s="8" t="s">
        <v>3195</v>
      </c>
      <c r="N3101" s="3" t="s">
        <v>1890</v>
      </c>
      <c r="O3101" s="8" t="s">
        <v>1935</v>
      </c>
      <c r="P3101" s="8">
        <v>796</v>
      </c>
      <c r="Q3101" s="8" t="s">
        <v>3196</v>
      </c>
      <c r="R3101" s="9">
        <v>34</v>
      </c>
      <c r="S3101" s="9">
        <v>446</v>
      </c>
      <c r="T3101" s="10">
        <f t="shared" ref="T3101" si="1961">S3101*R3101</f>
        <v>15164</v>
      </c>
      <c r="U3101" s="10">
        <f t="shared" ref="U3101" si="1962">T3101*1.12</f>
        <v>16983.68</v>
      </c>
      <c r="V3101" s="7"/>
      <c r="W3101" s="11">
        <v>2015</v>
      </c>
      <c r="X3101" s="12"/>
    </row>
    <row r="3102" spans="1:24" ht="76.5" customHeight="1" outlineLevel="1" x14ac:dyDescent="0.2">
      <c r="A3102" s="1" t="s">
        <v>2926</v>
      </c>
      <c r="B3102" s="38" t="s">
        <v>5277</v>
      </c>
      <c r="C3102" s="2" t="s">
        <v>1261</v>
      </c>
      <c r="D3102" s="2" t="s">
        <v>6010</v>
      </c>
      <c r="E3102" s="2" t="s">
        <v>1260</v>
      </c>
      <c r="F3102" s="51"/>
      <c r="G3102" s="50" t="s">
        <v>3190</v>
      </c>
      <c r="H3102" s="5">
        <v>0</v>
      </c>
      <c r="I3102" s="6">
        <v>710000000</v>
      </c>
      <c r="J3102" s="4" t="s">
        <v>1931</v>
      </c>
      <c r="K3102" s="4" t="s">
        <v>5297</v>
      </c>
      <c r="L3102" s="7" t="s">
        <v>1027</v>
      </c>
      <c r="M3102" s="8" t="s">
        <v>3195</v>
      </c>
      <c r="N3102" s="3" t="s">
        <v>1890</v>
      </c>
      <c r="O3102" s="8" t="s">
        <v>1935</v>
      </c>
      <c r="P3102" s="8">
        <v>796</v>
      </c>
      <c r="Q3102" s="8" t="s">
        <v>3196</v>
      </c>
      <c r="R3102" s="10">
        <v>8</v>
      </c>
      <c r="S3102" s="10">
        <v>12000</v>
      </c>
      <c r="T3102" s="10">
        <v>0</v>
      </c>
      <c r="U3102" s="10">
        <f t="shared" si="1901"/>
        <v>0</v>
      </c>
      <c r="V3102" s="7"/>
      <c r="W3102" s="11">
        <v>2015</v>
      </c>
      <c r="X3102" s="1">
        <v>11</v>
      </c>
    </row>
    <row r="3103" spans="1:24" ht="76.5" customHeight="1" outlineLevel="1" x14ac:dyDescent="0.2">
      <c r="A3103" s="1" t="s">
        <v>7543</v>
      </c>
      <c r="B3103" s="38" t="s">
        <v>5277</v>
      </c>
      <c r="C3103" s="2" t="s">
        <v>1261</v>
      </c>
      <c r="D3103" s="2" t="s">
        <v>6010</v>
      </c>
      <c r="E3103" s="2" t="s">
        <v>1260</v>
      </c>
      <c r="F3103" s="51"/>
      <c r="G3103" s="50" t="s">
        <v>3190</v>
      </c>
      <c r="H3103" s="5">
        <v>0</v>
      </c>
      <c r="I3103" s="6">
        <v>710000000</v>
      </c>
      <c r="J3103" s="4" t="s">
        <v>1931</v>
      </c>
      <c r="K3103" s="4" t="s">
        <v>5292</v>
      </c>
      <c r="L3103" s="7" t="s">
        <v>1027</v>
      </c>
      <c r="M3103" s="8" t="s">
        <v>3195</v>
      </c>
      <c r="N3103" s="3" t="s">
        <v>1890</v>
      </c>
      <c r="O3103" s="8" t="s">
        <v>1935</v>
      </c>
      <c r="P3103" s="8">
        <v>796</v>
      </c>
      <c r="Q3103" s="8" t="s">
        <v>3196</v>
      </c>
      <c r="R3103" s="10">
        <v>8</v>
      </c>
      <c r="S3103" s="10">
        <v>12000</v>
      </c>
      <c r="T3103" s="10">
        <f t="shared" ref="T3103" si="1963">S3103*R3103</f>
        <v>96000</v>
      </c>
      <c r="U3103" s="10">
        <f t="shared" ref="U3103" si="1964">T3103*1.12</f>
        <v>107520.00000000001</v>
      </c>
      <c r="V3103" s="7"/>
      <c r="W3103" s="11">
        <v>2015</v>
      </c>
      <c r="X3103" s="1"/>
    </row>
    <row r="3104" spans="1:24" s="13" customFormat="1" ht="76.5" customHeight="1" outlineLevel="1" x14ac:dyDescent="0.2">
      <c r="A3104" s="1" t="s">
        <v>2927</v>
      </c>
      <c r="B3104" s="38" t="s">
        <v>5277</v>
      </c>
      <c r="C3104" s="2" t="s">
        <v>3460</v>
      </c>
      <c r="D3104" s="2" t="s">
        <v>5998</v>
      </c>
      <c r="E3104" s="6" t="s">
        <v>5999</v>
      </c>
      <c r="F3104" s="2" t="s">
        <v>1259</v>
      </c>
      <c r="G3104" s="50" t="s">
        <v>3190</v>
      </c>
      <c r="H3104" s="5">
        <v>0</v>
      </c>
      <c r="I3104" s="6">
        <v>710000000</v>
      </c>
      <c r="J3104" s="4" t="s">
        <v>1931</v>
      </c>
      <c r="K3104" s="4" t="s">
        <v>5297</v>
      </c>
      <c r="L3104" s="7" t="s">
        <v>1027</v>
      </c>
      <c r="M3104" s="8" t="s">
        <v>3195</v>
      </c>
      <c r="N3104" s="3" t="s">
        <v>1890</v>
      </c>
      <c r="O3104" s="8" t="s">
        <v>1935</v>
      </c>
      <c r="P3104" s="8">
        <v>796</v>
      </c>
      <c r="Q3104" s="8" t="s">
        <v>3196</v>
      </c>
      <c r="R3104" s="9">
        <v>34</v>
      </c>
      <c r="S3104" s="9">
        <v>800</v>
      </c>
      <c r="T3104" s="10">
        <v>0</v>
      </c>
      <c r="U3104" s="10">
        <f t="shared" si="1901"/>
        <v>0</v>
      </c>
      <c r="V3104" s="7"/>
      <c r="W3104" s="11">
        <v>2015</v>
      </c>
      <c r="X3104" s="12">
        <v>11</v>
      </c>
    </row>
    <row r="3105" spans="1:24" s="13" customFormat="1" ht="76.5" customHeight="1" outlineLevel="1" x14ac:dyDescent="0.2">
      <c r="A3105" s="1" t="s">
        <v>7544</v>
      </c>
      <c r="B3105" s="38" t="s">
        <v>5277</v>
      </c>
      <c r="C3105" s="2" t="s">
        <v>3460</v>
      </c>
      <c r="D3105" s="2" t="s">
        <v>5998</v>
      </c>
      <c r="E3105" s="2" t="s">
        <v>5999</v>
      </c>
      <c r="F3105" s="2" t="s">
        <v>1259</v>
      </c>
      <c r="G3105" s="50" t="s">
        <v>3190</v>
      </c>
      <c r="H3105" s="5">
        <v>0</v>
      </c>
      <c r="I3105" s="6">
        <v>710000000</v>
      </c>
      <c r="J3105" s="4" t="s">
        <v>1931</v>
      </c>
      <c r="K3105" s="4" t="s">
        <v>5292</v>
      </c>
      <c r="L3105" s="7" t="s">
        <v>1027</v>
      </c>
      <c r="M3105" s="8" t="s">
        <v>3195</v>
      </c>
      <c r="N3105" s="3" t="s">
        <v>1890</v>
      </c>
      <c r="O3105" s="8" t="s">
        <v>1935</v>
      </c>
      <c r="P3105" s="8">
        <v>796</v>
      </c>
      <c r="Q3105" s="8" t="s">
        <v>3196</v>
      </c>
      <c r="R3105" s="9">
        <v>34</v>
      </c>
      <c r="S3105" s="9">
        <v>800</v>
      </c>
      <c r="T3105" s="10">
        <f t="shared" ref="T3105" si="1965">S3105*R3105</f>
        <v>27200</v>
      </c>
      <c r="U3105" s="10">
        <f t="shared" ref="U3105" si="1966">T3105*1.12</f>
        <v>30464.000000000004</v>
      </c>
      <c r="V3105" s="7"/>
      <c r="W3105" s="11">
        <v>2015</v>
      </c>
      <c r="X3105" s="12"/>
    </row>
    <row r="3106" spans="1:24" s="13" customFormat="1" ht="76.5" customHeight="1" outlineLevel="1" x14ac:dyDescent="0.2">
      <c r="A3106" s="1" t="s">
        <v>2928</v>
      </c>
      <c r="B3106" s="38" t="s">
        <v>5277</v>
      </c>
      <c r="C3106" s="6" t="s">
        <v>3146</v>
      </c>
      <c r="D3106" s="2" t="s">
        <v>6013</v>
      </c>
      <c r="E3106" s="6" t="s">
        <v>6013</v>
      </c>
      <c r="F3106" s="39"/>
      <c r="G3106" s="50" t="s">
        <v>3190</v>
      </c>
      <c r="H3106" s="5">
        <v>0</v>
      </c>
      <c r="I3106" s="6">
        <v>710000000</v>
      </c>
      <c r="J3106" s="4" t="s">
        <v>1931</v>
      </c>
      <c r="K3106" s="4" t="s">
        <v>5297</v>
      </c>
      <c r="L3106" s="7" t="s">
        <v>1027</v>
      </c>
      <c r="M3106" s="8" t="s">
        <v>3195</v>
      </c>
      <c r="N3106" s="3" t="s">
        <v>1890</v>
      </c>
      <c r="O3106" s="8" t="s">
        <v>1935</v>
      </c>
      <c r="P3106" s="8">
        <v>796</v>
      </c>
      <c r="Q3106" s="8" t="s">
        <v>3196</v>
      </c>
      <c r="R3106" s="9">
        <v>24</v>
      </c>
      <c r="S3106" s="9">
        <v>5000</v>
      </c>
      <c r="T3106" s="10">
        <v>0</v>
      </c>
      <c r="U3106" s="10">
        <f t="shared" si="1901"/>
        <v>0</v>
      </c>
      <c r="V3106" s="7"/>
      <c r="W3106" s="11">
        <v>2015</v>
      </c>
      <c r="X3106" s="12">
        <v>11</v>
      </c>
    </row>
    <row r="3107" spans="1:24" s="13" customFormat="1" ht="76.5" customHeight="1" outlineLevel="1" x14ac:dyDescent="0.2">
      <c r="A3107" s="1" t="s">
        <v>7545</v>
      </c>
      <c r="B3107" s="38" t="s">
        <v>5277</v>
      </c>
      <c r="C3107" s="6" t="s">
        <v>3146</v>
      </c>
      <c r="D3107" s="2" t="s">
        <v>6013</v>
      </c>
      <c r="E3107" s="6" t="s">
        <v>6013</v>
      </c>
      <c r="F3107" s="39"/>
      <c r="G3107" s="50" t="s">
        <v>3190</v>
      </c>
      <c r="H3107" s="5">
        <v>0</v>
      </c>
      <c r="I3107" s="6">
        <v>710000000</v>
      </c>
      <c r="J3107" s="4" t="s">
        <v>1931</v>
      </c>
      <c r="K3107" s="4" t="s">
        <v>5292</v>
      </c>
      <c r="L3107" s="7" t="s">
        <v>1027</v>
      </c>
      <c r="M3107" s="8" t="s">
        <v>3195</v>
      </c>
      <c r="N3107" s="3" t="s">
        <v>1890</v>
      </c>
      <c r="O3107" s="8" t="s">
        <v>1935</v>
      </c>
      <c r="P3107" s="8">
        <v>796</v>
      </c>
      <c r="Q3107" s="8" t="s">
        <v>3196</v>
      </c>
      <c r="R3107" s="9">
        <v>24</v>
      </c>
      <c r="S3107" s="9">
        <v>5000</v>
      </c>
      <c r="T3107" s="10">
        <f t="shared" ref="T3107" si="1967">S3107*R3107</f>
        <v>120000</v>
      </c>
      <c r="U3107" s="10">
        <f t="shared" ref="U3107" si="1968">T3107*1.12</f>
        <v>134400</v>
      </c>
      <c r="V3107" s="7"/>
      <c r="W3107" s="11">
        <v>2015</v>
      </c>
      <c r="X3107" s="12"/>
    </row>
    <row r="3108" spans="1:24" s="13" customFormat="1" ht="76.5" customHeight="1" outlineLevel="1" x14ac:dyDescent="0.2">
      <c r="A3108" s="1" t="s">
        <v>2929</v>
      </c>
      <c r="B3108" s="38" t="s">
        <v>5277</v>
      </c>
      <c r="C3108" s="2" t="s">
        <v>1258</v>
      </c>
      <c r="D3108" s="2" t="s">
        <v>1257</v>
      </c>
      <c r="E3108" s="2" t="s">
        <v>1256</v>
      </c>
      <c r="F3108" s="39"/>
      <c r="G3108" s="50" t="s">
        <v>3190</v>
      </c>
      <c r="H3108" s="5">
        <v>0</v>
      </c>
      <c r="I3108" s="6">
        <v>710000000</v>
      </c>
      <c r="J3108" s="4" t="s">
        <v>1931</v>
      </c>
      <c r="K3108" s="4" t="s">
        <v>5297</v>
      </c>
      <c r="L3108" s="7" t="s">
        <v>1027</v>
      </c>
      <c r="M3108" s="8" t="s">
        <v>3195</v>
      </c>
      <c r="N3108" s="3" t="s">
        <v>1890</v>
      </c>
      <c r="O3108" s="8" t="s">
        <v>1935</v>
      </c>
      <c r="P3108" s="8">
        <v>796</v>
      </c>
      <c r="Q3108" s="8" t="s">
        <v>3196</v>
      </c>
      <c r="R3108" s="9">
        <v>18</v>
      </c>
      <c r="S3108" s="9">
        <v>2500</v>
      </c>
      <c r="T3108" s="10">
        <v>0</v>
      </c>
      <c r="U3108" s="10">
        <f t="shared" si="1901"/>
        <v>0</v>
      </c>
      <c r="V3108" s="7"/>
      <c r="W3108" s="11">
        <v>2015</v>
      </c>
      <c r="X3108" s="12">
        <v>11</v>
      </c>
    </row>
    <row r="3109" spans="1:24" s="13" customFormat="1" ht="76.5" customHeight="1" outlineLevel="1" x14ac:dyDescent="0.2">
      <c r="A3109" s="1" t="s">
        <v>7546</v>
      </c>
      <c r="B3109" s="38" t="s">
        <v>5277</v>
      </c>
      <c r="C3109" s="2" t="s">
        <v>1258</v>
      </c>
      <c r="D3109" s="2" t="s">
        <v>1257</v>
      </c>
      <c r="E3109" s="2" t="s">
        <v>1256</v>
      </c>
      <c r="F3109" s="39"/>
      <c r="G3109" s="50" t="s">
        <v>3190</v>
      </c>
      <c r="H3109" s="5">
        <v>0</v>
      </c>
      <c r="I3109" s="6">
        <v>710000000</v>
      </c>
      <c r="J3109" s="4" t="s">
        <v>1931</v>
      </c>
      <c r="K3109" s="4" t="s">
        <v>5292</v>
      </c>
      <c r="L3109" s="7" t="s">
        <v>1027</v>
      </c>
      <c r="M3109" s="8" t="s">
        <v>3195</v>
      </c>
      <c r="N3109" s="3" t="s">
        <v>1890</v>
      </c>
      <c r="O3109" s="8" t="s">
        <v>1935</v>
      </c>
      <c r="P3109" s="8">
        <v>796</v>
      </c>
      <c r="Q3109" s="8" t="s">
        <v>3196</v>
      </c>
      <c r="R3109" s="9">
        <v>18</v>
      </c>
      <c r="S3109" s="9">
        <v>2500</v>
      </c>
      <c r="T3109" s="10">
        <f t="shared" ref="T3109" si="1969">S3109*R3109</f>
        <v>45000</v>
      </c>
      <c r="U3109" s="10">
        <f t="shared" ref="U3109" si="1970">T3109*1.12</f>
        <v>50400.000000000007</v>
      </c>
      <c r="V3109" s="7"/>
      <c r="W3109" s="11">
        <v>2015</v>
      </c>
      <c r="X3109" s="12"/>
    </row>
    <row r="3110" spans="1:24" s="13" customFormat="1" ht="76.5" customHeight="1" outlineLevel="1" x14ac:dyDescent="0.2">
      <c r="A3110" s="1" t="s">
        <v>2930</v>
      </c>
      <c r="B3110" s="38" t="s">
        <v>5277</v>
      </c>
      <c r="C3110" s="2" t="s">
        <v>3845</v>
      </c>
      <c r="D3110" s="2" t="s">
        <v>5953</v>
      </c>
      <c r="E3110" s="6" t="s">
        <v>5496</v>
      </c>
      <c r="F3110" s="52" t="s">
        <v>3844</v>
      </c>
      <c r="G3110" s="50" t="s">
        <v>3190</v>
      </c>
      <c r="H3110" s="5">
        <v>0</v>
      </c>
      <c r="I3110" s="6">
        <v>710000000</v>
      </c>
      <c r="J3110" s="4" t="s">
        <v>1931</v>
      </c>
      <c r="K3110" s="4" t="s">
        <v>5297</v>
      </c>
      <c r="L3110" s="7" t="s">
        <v>1027</v>
      </c>
      <c r="M3110" s="8" t="s">
        <v>3195</v>
      </c>
      <c r="N3110" s="3" t="s">
        <v>1890</v>
      </c>
      <c r="O3110" s="8" t="s">
        <v>1935</v>
      </c>
      <c r="P3110" s="8">
        <v>796</v>
      </c>
      <c r="Q3110" s="8" t="s">
        <v>3196</v>
      </c>
      <c r="R3110" s="9">
        <v>23</v>
      </c>
      <c r="S3110" s="9">
        <v>1300</v>
      </c>
      <c r="T3110" s="10">
        <v>0</v>
      </c>
      <c r="U3110" s="10">
        <f t="shared" si="1901"/>
        <v>0</v>
      </c>
      <c r="V3110" s="7"/>
      <c r="W3110" s="11">
        <v>2015</v>
      </c>
      <c r="X3110" s="12">
        <v>11</v>
      </c>
    </row>
    <row r="3111" spans="1:24" s="13" customFormat="1" ht="76.5" customHeight="1" outlineLevel="1" x14ac:dyDescent="0.2">
      <c r="A3111" s="1" t="s">
        <v>7547</v>
      </c>
      <c r="B3111" s="38" t="s">
        <v>5277</v>
      </c>
      <c r="C3111" s="2" t="s">
        <v>3845</v>
      </c>
      <c r="D3111" s="2" t="s">
        <v>5953</v>
      </c>
      <c r="E3111" s="6" t="s">
        <v>5496</v>
      </c>
      <c r="F3111" s="52" t="s">
        <v>3844</v>
      </c>
      <c r="G3111" s="50" t="s">
        <v>3190</v>
      </c>
      <c r="H3111" s="5">
        <v>0</v>
      </c>
      <c r="I3111" s="6">
        <v>710000000</v>
      </c>
      <c r="J3111" s="4" t="s">
        <v>1931</v>
      </c>
      <c r="K3111" s="4" t="s">
        <v>5292</v>
      </c>
      <c r="L3111" s="7" t="s">
        <v>1027</v>
      </c>
      <c r="M3111" s="8" t="s">
        <v>3195</v>
      </c>
      <c r="N3111" s="3" t="s">
        <v>1890</v>
      </c>
      <c r="O3111" s="8" t="s">
        <v>1935</v>
      </c>
      <c r="P3111" s="8">
        <v>796</v>
      </c>
      <c r="Q3111" s="8" t="s">
        <v>3196</v>
      </c>
      <c r="R3111" s="9">
        <v>23</v>
      </c>
      <c r="S3111" s="9">
        <v>1300</v>
      </c>
      <c r="T3111" s="10">
        <f t="shared" ref="T3111" si="1971">S3111*R3111</f>
        <v>29900</v>
      </c>
      <c r="U3111" s="10">
        <f t="shared" ref="U3111" si="1972">T3111*1.12</f>
        <v>33488</v>
      </c>
      <c r="V3111" s="7"/>
      <c r="W3111" s="11">
        <v>2015</v>
      </c>
      <c r="X3111" s="12"/>
    </row>
    <row r="3112" spans="1:24" s="13" customFormat="1" ht="76.5" customHeight="1" outlineLevel="1" x14ac:dyDescent="0.2">
      <c r="A3112" s="1" t="s">
        <v>2931</v>
      </c>
      <c r="B3112" s="38" t="s">
        <v>5277</v>
      </c>
      <c r="C3112" s="2" t="s">
        <v>1254</v>
      </c>
      <c r="D3112" s="2" t="s">
        <v>1253</v>
      </c>
      <c r="E3112" s="6" t="s">
        <v>1252</v>
      </c>
      <c r="F3112" s="6" t="s">
        <v>1255</v>
      </c>
      <c r="G3112" s="50" t="s">
        <v>3190</v>
      </c>
      <c r="H3112" s="5">
        <v>0</v>
      </c>
      <c r="I3112" s="6">
        <v>710000000</v>
      </c>
      <c r="J3112" s="4" t="s">
        <v>1931</v>
      </c>
      <c r="K3112" s="4" t="s">
        <v>5297</v>
      </c>
      <c r="L3112" s="7" t="s">
        <v>1027</v>
      </c>
      <c r="M3112" s="8" t="s">
        <v>3195</v>
      </c>
      <c r="N3112" s="3" t="s">
        <v>1890</v>
      </c>
      <c r="O3112" s="8" t="s">
        <v>1935</v>
      </c>
      <c r="P3112" s="8">
        <v>796</v>
      </c>
      <c r="Q3112" s="8" t="s">
        <v>3196</v>
      </c>
      <c r="R3112" s="9">
        <v>44</v>
      </c>
      <c r="S3112" s="9">
        <v>100</v>
      </c>
      <c r="T3112" s="10">
        <v>0</v>
      </c>
      <c r="U3112" s="10">
        <f t="shared" si="1901"/>
        <v>0</v>
      </c>
      <c r="V3112" s="7"/>
      <c r="W3112" s="11">
        <v>2015</v>
      </c>
      <c r="X3112" s="12">
        <v>11</v>
      </c>
    </row>
    <row r="3113" spans="1:24" s="13" customFormat="1" ht="76.5" customHeight="1" outlineLevel="1" x14ac:dyDescent="0.2">
      <c r="A3113" s="1" t="s">
        <v>7548</v>
      </c>
      <c r="B3113" s="38" t="s">
        <v>5277</v>
      </c>
      <c r="C3113" s="2" t="s">
        <v>1254</v>
      </c>
      <c r="D3113" s="2" t="s">
        <v>1253</v>
      </c>
      <c r="E3113" s="6" t="s">
        <v>1252</v>
      </c>
      <c r="F3113" s="6" t="s">
        <v>1255</v>
      </c>
      <c r="G3113" s="50" t="s">
        <v>3190</v>
      </c>
      <c r="H3113" s="5">
        <v>0</v>
      </c>
      <c r="I3113" s="6">
        <v>710000000</v>
      </c>
      <c r="J3113" s="4" t="s">
        <v>1931</v>
      </c>
      <c r="K3113" s="4" t="s">
        <v>5292</v>
      </c>
      <c r="L3113" s="7" t="s">
        <v>1027</v>
      </c>
      <c r="M3113" s="8" t="s">
        <v>3195</v>
      </c>
      <c r="N3113" s="3" t="s">
        <v>1890</v>
      </c>
      <c r="O3113" s="8" t="s">
        <v>1935</v>
      </c>
      <c r="P3113" s="8">
        <v>796</v>
      </c>
      <c r="Q3113" s="8" t="s">
        <v>3196</v>
      </c>
      <c r="R3113" s="9">
        <v>44</v>
      </c>
      <c r="S3113" s="9">
        <v>100</v>
      </c>
      <c r="T3113" s="10">
        <f t="shared" ref="T3113" si="1973">S3113*R3113</f>
        <v>4400</v>
      </c>
      <c r="U3113" s="10">
        <f t="shared" ref="U3113" si="1974">T3113*1.12</f>
        <v>4928.0000000000009</v>
      </c>
      <c r="V3113" s="7"/>
      <c r="W3113" s="11">
        <v>2015</v>
      </c>
      <c r="X3113" s="12"/>
    </row>
    <row r="3114" spans="1:24" s="13" customFormat="1" ht="76.5" customHeight="1" outlineLevel="1" x14ac:dyDescent="0.2">
      <c r="A3114" s="1" t="s">
        <v>2932</v>
      </c>
      <c r="B3114" s="38" t="s">
        <v>5277</v>
      </c>
      <c r="C3114" s="2" t="s">
        <v>1254</v>
      </c>
      <c r="D3114" s="2" t="s">
        <v>1253</v>
      </c>
      <c r="E3114" s="6" t="s">
        <v>1252</v>
      </c>
      <c r="F3114" s="6" t="s">
        <v>1251</v>
      </c>
      <c r="G3114" s="50" t="s">
        <v>3190</v>
      </c>
      <c r="H3114" s="5">
        <v>0</v>
      </c>
      <c r="I3114" s="6">
        <v>710000000</v>
      </c>
      <c r="J3114" s="4" t="s">
        <v>1931</v>
      </c>
      <c r="K3114" s="4" t="s">
        <v>5297</v>
      </c>
      <c r="L3114" s="7" t="s">
        <v>1027</v>
      </c>
      <c r="M3114" s="8" t="s">
        <v>3195</v>
      </c>
      <c r="N3114" s="3" t="s">
        <v>1890</v>
      </c>
      <c r="O3114" s="8" t="s">
        <v>1935</v>
      </c>
      <c r="P3114" s="8">
        <v>796</v>
      </c>
      <c r="Q3114" s="8" t="s">
        <v>3196</v>
      </c>
      <c r="R3114" s="9">
        <v>29</v>
      </c>
      <c r="S3114" s="9">
        <v>200</v>
      </c>
      <c r="T3114" s="10">
        <v>0</v>
      </c>
      <c r="U3114" s="10">
        <f t="shared" si="1901"/>
        <v>0</v>
      </c>
      <c r="V3114" s="7"/>
      <c r="W3114" s="11">
        <v>2015</v>
      </c>
      <c r="X3114" s="12">
        <v>11</v>
      </c>
    </row>
    <row r="3115" spans="1:24" s="13" customFormat="1" ht="76.5" customHeight="1" outlineLevel="1" x14ac:dyDescent="0.2">
      <c r="A3115" s="1" t="s">
        <v>7549</v>
      </c>
      <c r="B3115" s="38" t="s">
        <v>5277</v>
      </c>
      <c r="C3115" s="2" t="s">
        <v>1254</v>
      </c>
      <c r="D3115" s="2" t="s">
        <v>1253</v>
      </c>
      <c r="E3115" s="6" t="s">
        <v>1252</v>
      </c>
      <c r="F3115" s="6" t="s">
        <v>1251</v>
      </c>
      <c r="G3115" s="50" t="s">
        <v>3190</v>
      </c>
      <c r="H3115" s="5">
        <v>0</v>
      </c>
      <c r="I3115" s="6">
        <v>710000000</v>
      </c>
      <c r="J3115" s="4" t="s">
        <v>1931</v>
      </c>
      <c r="K3115" s="4" t="s">
        <v>5292</v>
      </c>
      <c r="L3115" s="7" t="s">
        <v>1027</v>
      </c>
      <c r="M3115" s="8" t="s">
        <v>3195</v>
      </c>
      <c r="N3115" s="3" t="s">
        <v>1890</v>
      </c>
      <c r="O3115" s="8" t="s">
        <v>1935</v>
      </c>
      <c r="P3115" s="8">
        <v>796</v>
      </c>
      <c r="Q3115" s="8" t="s">
        <v>3196</v>
      </c>
      <c r="R3115" s="9">
        <v>29</v>
      </c>
      <c r="S3115" s="9">
        <v>200</v>
      </c>
      <c r="T3115" s="10">
        <f t="shared" ref="T3115" si="1975">S3115*R3115</f>
        <v>5800</v>
      </c>
      <c r="U3115" s="10">
        <f t="shared" ref="U3115" si="1976">T3115*1.12</f>
        <v>6496.0000000000009</v>
      </c>
      <c r="V3115" s="7"/>
      <c r="W3115" s="11">
        <v>2015</v>
      </c>
      <c r="X3115" s="12"/>
    </row>
    <row r="3116" spans="1:24" s="13" customFormat="1" ht="76.5" customHeight="1" outlineLevel="1" x14ac:dyDescent="0.2">
      <c r="A3116" s="1" t="s">
        <v>2933</v>
      </c>
      <c r="B3116" s="38" t="s">
        <v>5277</v>
      </c>
      <c r="C3116" s="6" t="s">
        <v>3426</v>
      </c>
      <c r="D3116" s="6" t="s">
        <v>6040</v>
      </c>
      <c r="E3116" s="6" t="s">
        <v>6041</v>
      </c>
      <c r="F3116" s="39"/>
      <c r="G3116" s="50" t="s">
        <v>3190</v>
      </c>
      <c r="H3116" s="5">
        <v>0</v>
      </c>
      <c r="I3116" s="6">
        <v>710000000</v>
      </c>
      <c r="J3116" s="4" t="s">
        <v>1931</v>
      </c>
      <c r="K3116" s="4" t="s">
        <v>5297</v>
      </c>
      <c r="L3116" s="3" t="s">
        <v>1165</v>
      </c>
      <c r="M3116" s="8" t="s">
        <v>3195</v>
      </c>
      <c r="N3116" s="3" t="s">
        <v>1890</v>
      </c>
      <c r="O3116" s="8" t="s">
        <v>1935</v>
      </c>
      <c r="P3116" s="8">
        <v>796</v>
      </c>
      <c r="Q3116" s="8" t="s">
        <v>3196</v>
      </c>
      <c r="R3116" s="9">
        <f>9+8</f>
        <v>17</v>
      </c>
      <c r="S3116" s="9">
        <v>3954.46</v>
      </c>
      <c r="T3116" s="10">
        <f t="shared" si="1958"/>
        <v>67225.820000000007</v>
      </c>
      <c r="U3116" s="10">
        <f t="shared" si="1901"/>
        <v>75292.91840000001</v>
      </c>
      <c r="V3116" s="7"/>
      <c r="W3116" s="11">
        <v>2015</v>
      </c>
      <c r="X3116" s="12"/>
    </row>
    <row r="3117" spans="1:24" s="13" customFormat="1" ht="76.5" customHeight="1" outlineLevel="1" x14ac:dyDescent="0.2">
      <c r="A3117" s="1" t="s">
        <v>2934</v>
      </c>
      <c r="B3117" s="38" t="s">
        <v>5277</v>
      </c>
      <c r="C3117" s="6" t="s">
        <v>1250</v>
      </c>
      <c r="D3117" s="6" t="s">
        <v>6042</v>
      </c>
      <c r="E3117" s="6" t="s">
        <v>1249</v>
      </c>
      <c r="F3117" s="39"/>
      <c r="G3117" s="50" t="s">
        <v>3190</v>
      </c>
      <c r="H3117" s="5">
        <v>0</v>
      </c>
      <c r="I3117" s="6">
        <v>710000000</v>
      </c>
      <c r="J3117" s="4" t="s">
        <v>1931</v>
      </c>
      <c r="K3117" s="4" t="s">
        <v>5297</v>
      </c>
      <c r="L3117" s="3" t="s">
        <v>1165</v>
      </c>
      <c r="M3117" s="8" t="s">
        <v>3195</v>
      </c>
      <c r="N3117" s="3" t="s">
        <v>1890</v>
      </c>
      <c r="O3117" s="8" t="s">
        <v>1935</v>
      </c>
      <c r="P3117" s="8">
        <v>796</v>
      </c>
      <c r="Q3117" s="8" t="s">
        <v>3196</v>
      </c>
      <c r="R3117" s="9">
        <f>8+8</f>
        <v>16</v>
      </c>
      <c r="S3117" s="9">
        <v>7783.93</v>
      </c>
      <c r="T3117" s="10">
        <v>0</v>
      </c>
      <c r="U3117" s="10">
        <f t="shared" si="1901"/>
        <v>0</v>
      </c>
      <c r="V3117" s="7"/>
      <c r="W3117" s="11">
        <v>2015</v>
      </c>
      <c r="X3117" s="12" t="s">
        <v>8195</v>
      </c>
    </row>
    <row r="3118" spans="1:24" s="13" customFormat="1" ht="76.5" customHeight="1" outlineLevel="1" x14ac:dyDescent="0.2">
      <c r="A3118" s="1" t="s">
        <v>9864</v>
      </c>
      <c r="B3118" s="38" t="s">
        <v>5277</v>
      </c>
      <c r="C3118" s="6" t="s">
        <v>1250</v>
      </c>
      <c r="D3118" s="6" t="s">
        <v>6042</v>
      </c>
      <c r="E3118" s="6" t="s">
        <v>1249</v>
      </c>
      <c r="F3118" s="39"/>
      <c r="G3118" s="50" t="s">
        <v>3190</v>
      </c>
      <c r="H3118" s="5">
        <v>0</v>
      </c>
      <c r="I3118" s="6">
        <v>710000000</v>
      </c>
      <c r="J3118" s="4" t="s">
        <v>1931</v>
      </c>
      <c r="K3118" s="4" t="s">
        <v>9865</v>
      </c>
      <c r="L3118" s="3" t="s">
        <v>1165</v>
      </c>
      <c r="M3118" s="8" t="s">
        <v>3195</v>
      </c>
      <c r="N3118" s="3" t="s">
        <v>1890</v>
      </c>
      <c r="O3118" s="8" t="s">
        <v>1935</v>
      </c>
      <c r="P3118" s="8">
        <v>796</v>
      </c>
      <c r="Q3118" s="8" t="s">
        <v>3196</v>
      </c>
      <c r="R3118" s="9">
        <v>35</v>
      </c>
      <c r="S3118" s="9">
        <v>10267.85714</v>
      </c>
      <c r="T3118" s="10">
        <f t="shared" ref="T3118" si="1977">S3118*R3118</f>
        <v>359374.9999</v>
      </c>
      <c r="U3118" s="10">
        <f t="shared" ref="U3118" si="1978">T3118*1.12</f>
        <v>402499.99988800002</v>
      </c>
      <c r="V3118" s="7"/>
      <c r="W3118" s="11">
        <v>2015</v>
      </c>
      <c r="X3118" s="12"/>
    </row>
    <row r="3119" spans="1:24" s="13" customFormat="1" ht="76.5" customHeight="1" outlineLevel="1" x14ac:dyDescent="0.2">
      <c r="A3119" s="1" t="s">
        <v>2935</v>
      </c>
      <c r="B3119" s="2" t="s">
        <v>5277</v>
      </c>
      <c r="C3119" s="2" t="s">
        <v>3425</v>
      </c>
      <c r="D3119" s="2" t="s">
        <v>6042</v>
      </c>
      <c r="E3119" s="6" t="s">
        <v>6043</v>
      </c>
      <c r="F3119" s="2" t="s">
        <v>1248</v>
      </c>
      <c r="G3119" s="3" t="s">
        <v>3190</v>
      </c>
      <c r="H3119" s="5">
        <v>0</v>
      </c>
      <c r="I3119" s="6">
        <v>710000000</v>
      </c>
      <c r="J3119" s="4" t="s">
        <v>1931</v>
      </c>
      <c r="K3119" s="4" t="s">
        <v>5297</v>
      </c>
      <c r="L3119" s="3" t="s">
        <v>1889</v>
      </c>
      <c r="M3119" s="8" t="s">
        <v>3195</v>
      </c>
      <c r="N3119" s="3" t="s">
        <v>1890</v>
      </c>
      <c r="O3119" s="8" t="s">
        <v>1935</v>
      </c>
      <c r="P3119" s="8">
        <v>796</v>
      </c>
      <c r="Q3119" s="8" t="s">
        <v>3196</v>
      </c>
      <c r="R3119" s="69">
        <v>6</v>
      </c>
      <c r="S3119" s="69">
        <v>11770</v>
      </c>
      <c r="T3119" s="10">
        <v>0</v>
      </c>
      <c r="U3119" s="10">
        <f t="shared" si="1901"/>
        <v>0</v>
      </c>
      <c r="V3119" s="7"/>
      <c r="W3119" s="1">
        <v>2015</v>
      </c>
      <c r="X3119" s="62">
        <v>11</v>
      </c>
    </row>
    <row r="3120" spans="1:24" s="13" customFormat="1" ht="76.5" customHeight="1" outlineLevel="1" x14ac:dyDescent="0.2">
      <c r="A3120" s="1" t="s">
        <v>8136</v>
      </c>
      <c r="B3120" s="2" t="s">
        <v>5277</v>
      </c>
      <c r="C3120" s="2" t="s">
        <v>3425</v>
      </c>
      <c r="D3120" s="2" t="s">
        <v>6042</v>
      </c>
      <c r="E3120" s="6" t="s">
        <v>6043</v>
      </c>
      <c r="F3120" s="2" t="s">
        <v>1248</v>
      </c>
      <c r="G3120" s="3" t="s">
        <v>3190</v>
      </c>
      <c r="H3120" s="5">
        <v>0</v>
      </c>
      <c r="I3120" s="6">
        <v>710000000</v>
      </c>
      <c r="J3120" s="4" t="s">
        <v>1931</v>
      </c>
      <c r="K3120" s="4" t="s">
        <v>756</v>
      </c>
      <c r="L3120" s="3" t="s">
        <v>1889</v>
      </c>
      <c r="M3120" s="8" t="s">
        <v>3195</v>
      </c>
      <c r="N3120" s="3" t="s">
        <v>1890</v>
      </c>
      <c r="O3120" s="8" t="s">
        <v>1935</v>
      </c>
      <c r="P3120" s="8">
        <v>796</v>
      </c>
      <c r="Q3120" s="8" t="s">
        <v>3196</v>
      </c>
      <c r="R3120" s="69">
        <v>6</v>
      </c>
      <c r="S3120" s="69">
        <v>11770</v>
      </c>
      <c r="T3120" s="10">
        <f t="shared" ref="T3120" si="1979">S3120*R3120</f>
        <v>70620</v>
      </c>
      <c r="U3120" s="10">
        <f t="shared" ref="U3120" si="1980">T3120*1.12</f>
        <v>79094.400000000009</v>
      </c>
      <c r="V3120" s="7"/>
      <c r="W3120" s="1">
        <v>2015</v>
      </c>
      <c r="X3120" s="62"/>
    </row>
    <row r="3121" spans="1:24" s="13" customFormat="1" ht="76.5" customHeight="1" outlineLevel="1" x14ac:dyDescent="0.2">
      <c r="A3121" s="1" t="s">
        <v>2936</v>
      </c>
      <c r="B3121" s="2" t="s">
        <v>5277</v>
      </c>
      <c r="C3121" s="2" t="s">
        <v>1247</v>
      </c>
      <c r="D3121" s="2" t="s">
        <v>1244</v>
      </c>
      <c r="E3121" s="2" t="s">
        <v>1246</v>
      </c>
      <c r="F3121" s="2"/>
      <c r="G3121" s="3" t="s">
        <v>3190</v>
      </c>
      <c r="H3121" s="5">
        <v>0</v>
      </c>
      <c r="I3121" s="6">
        <v>710000000</v>
      </c>
      <c r="J3121" s="4" t="s">
        <v>1931</v>
      </c>
      <c r="K3121" s="4" t="s">
        <v>5297</v>
      </c>
      <c r="L3121" s="3" t="s">
        <v>1889</v>
      </c>
      <c r="M3121" s="8" t="s">
        <v>3195</v>
      </c>
      <c r="N3121" s="3" t="s">
        <v>1890</v>
      </c>
      <c r="O3121" s="8" t="s">
        <v>1935</v>
      </c>
      <c r="P3121" s="8">
        <v>796</v>
      </c>
      <c r="Q3121" s="8" t="s">
        <v>3196</v>
      </c>
      <c r="R3121" s="69">
        <v>70</v>
      </c>
      <c r="S3121" s="69">
        <v>1030</v>
      </c>
      <c r="T3121" s="10">
        <v>0</v>
      </c>
      <c r="U3121" s="10">
        <f t="shared" si="1901"/>
        <v>0</v>
      </c>
      <c r="V3121" s="7"/>
      <c r="W3121" s="1">
        <v>2015</v>
      </c>
      <c r="X3121" s="62">
        <v>11</v>
      </c>
    </row>
    <row r="3122" spans="1:24" s="13" customFormat="1" ht="76.5" customHeight="1" outlineLevel="1" x14ac:dyDescent="0.2">
      <c r="A3122" s="1" t="s">
        <v>8137</v>
      </c>
      <c r="B3122" s="2" t="s">
        <v>5277</v>
      </c>
      <c r="C3122" s="2" t="s">
        <v>1247</v>
      </c>
      <c r="D3122" s="2" t="s">
        <v>1244</v>
      </c>
      <c r="E3122" s="2" t="s">
        <v>1246</v>
      </c>
      <c r="F3122" s="2"/>
      <c r="G3122" s="3" t="s">
        <v>3190</v>
      </c>
      <c r="H3122" s="5">
        <v>0</v>
      </c>
      <c r="I3122" s="6">
        <v>710000000</v>
      </c>
      <c r="J3122" s="4" t="s">
        <v>1931</v>
      </c>
      <c r="K3122" s="4" t="s">
        <v>756</v>
      </c>
      <c r="L3122" s="3" t="s">
        <v>1889</v>
      </c>
      <c r="M3122" s="8" t="s">
        <v>3195</v>
      </c>
      <c r="N3122" s="3" t="s">
        <v>1890</v>
      </c>
      <c r="O3122" s="8" t="s">
        <v>1935</v>
      </c>
      <c r="P3122" s="8">
        <v>796</v>
      </c>
      <c r="Q3122" s="8" t="s">
        <v>3196</v>
      </c>
      <c r="R3122" s="69">
        <v>70</v>
      </c>
      <c r="S3122" s="69">
        <v>1030</v>
      </c>
      <c r="T3122" s="10">
        <f t="shared" ref="T3122" si="1981">S3122*R3122</f>
        <v>72100</v>
      </c>
      <c r="U3122" s="10">
        <f t="shared" ref="U3122" si="1982">T3122*1.12</f>
        <v>80752.000000000015</v>
      </c>
      <c r="V3122" s="7"/>
      <c r="W3122" s="1">
        <v>2015</v>
      </c>
      <c r="X3122" s="62"/>
    </row>
    <row r="3123" spans="1:24" s="13" customFormat="1" ht="76.5" customHeight="1" outlineLevel="1" x14ac:dyDescent="0.2">
      <c r="A3123" s="1" t="s">
        <v>2937</v>
      </c>
      <c r="B3123" s="2" t="s">
        <v>5277</v>
      </c>
      <c r="C3123" s="2" t="s">
        <v>1245</v>
      </c>
      <c r="D3123" s="2" t="s">
        <v>1244</v>
      </c>
      <c r="E3123" s="2" t="s">
        <v>1243</v>
      </c>
      <c r="F3123" s="2"/>
      <c r="G3123" s="3" t="s">
        <v>3190</v>
      </c>
      <c r="H3123" s="5">
        <v>0</v>
      </c>
      <c r="I3123" s="6">
        <v>710000000</v>
      </c>
      <c r="J3123" s="4" t="s">
        <v>1931</v>
      </c>
      <c r="K3123" s="4" t="s">
        <v>5297</v>
      </c>
      <c r="L3123" s="3" t="s">
        <v>1889</v>
      </c>
      <c r="M3123" s="8" t="s">
        <v>3195</v>
      </c>
      <c r="N3123" s="3" t="s">
        <v>1890</v>
      </c>
      <c r="O3123" s="8" t="s">
        <v>1935</v>
      </c>
      <c r="P3123" s="8">
        <v>796</v>
      </c>
      <c r="Q3123" s="8" t="s">
        <v>3196</v>
      </c>
      <c r="R3123" s="69">
        <v>20</v>
      </c>
      <c r="S3123" s="69">
        <v>720</v>
      </c>
      <c r="T3123" s="10">
        <v>0</v>
      </c>
      <c r="U3123" s="10">
        <f t="shared" si="1901"/>
        <v>0</v>
      </c>
      <c r="V3123" s="7"/>
      <c r="W3123" s="1">
        <v>2015</v>
      </c>
      <c r="X3123" s="62"/>
    </row>
    <row r="3124" spans="1:24" s="13" customFormat="1" ht="76.5" customHeight="1" outlineLevel="1" x14ac:dyDescent="0.2">
      <c r="A3124" s="1" t="s">
        <v>8138</v>
      </c>
      <c r="B3124" s="2" t="s">
        <v>5277</v>
      </c>
      <c r="C3124" s="2" t="s">
        <v>1245</v>
      </c>
      <c r="D3124" s="2" t="s">
        <v>1244</v>
      </c>
      <c r="E3124" s="2" t="s">
        <v>1243</v>
      </c>
      <c r="F3124" s="2"/>
      <c r="G3124" s="3" t="s">
        <v>3190</v>
      </c>
      <c r="H3124" s="5">
        <v>0</v>
      </c>
      <c r="I3124" s="6">
        <v>710000000</v>
      </c>
      <c r="J3124" s="4" t="s">
        <v>1931</v>
      </c>
      <c r="K3124" s="4" t="s">
        <v>756</v>
      </c>
      <c r="L3124" s="3" t="s">
        <v>1889</v>
      </c>
      <c r="M3124" s="8" t="s">
        <v>3195</v>
      </c>
      <c r="N3124" s="3" t="s">
        <v>1890</v>
      </c>
      <c r="O3124" s="8" t="s">
        <v>1935</v>
      </c>
      <c r="P3124" s="8">
        <v>796</v>
      </c>
      <c r="Q3124" s="8" t="s">
        <v>3196</v>
      </c>
      <c r="R3124" s="69">
        <v>20</v>
      </c>
      <c r="S3124" s="69">
        <v>720</v>
      </c>
      <c r="T3124" s="10">
        <f t="shared" ref="T3124" si="1983">S3124*R3124</f>
        <v>14400</v>
      </c>
      <c r="U3124" s="10">
        <f t="shared" ref="U3124" si="1984">T3124*1.12</f>
        <v>16128.000000000002</v>
      </c>
      <c r="V3124" s="7"/>
      <c r="W3124" s="1">
        <v>2015</v>
      </c>
      <c r="X3124" s="62"/>
    </row>
    <row r="3125" spans="1:24" s="13" customFormat="1" ht="76.5" customHeight="1" outlineLevel="1" x14ac:dyDescent="0.2">
      <c r="A3125" s="1" t="s">
        <v>2938</v>
      </c>
      <c r="B3125" s="2" t="s">
        <v>5277</v>
      </c>
      <c r="C3125" s="2" t="s">
        <v>1242</v>
      </c>
      <c r="D3125" s="2" t="s">
        <v>1241</v>
      </c>
      <c r="E3125" s="2" t="s">
        <v>1240</v>
      </c>
      <c r="F3125" s="2"/>
      <c r="G3125" s="3" t="s">
        <v>3190</v>
      </c>
      <c r="H3125" s="5">
        <v>0</v>
      </c>
      <c r="I3125" s="6">
        <v>710000000</v>
      </c>
      <c r="J3125" s="4" t="s">
        <v>1931</v>
      </c>
      <c r="K3125" s="4" t="s">
        <v>5297</v>
      </c>
      <c r="L3125" s="3" t="s">
        <v>1889</v>
      </c>
      <c r="M3125" s="8" t="s">
        <v>3195</v>
      </c>
      <c r="N3125" s="3" t="s">
        <v>1890</v>
      </c>
      <c r="O3125" s="8" t="s">
        <v>1935</v>
      </c>
      <c r="P3125" s="8">
        <v>796</v>
      </c>
      <c r="Q3125" s="8" t="s">
        <v>3196</v>
      </c>
      <c r="R3125" s="69">
        <v>2</v>
      </c>
      <c r="S3125" s="69">
        <v>506</v>
      </c>
      <c r="T3125" s="10">
        <v>0</v>
      </c>
      <c r="U3125" s="10">
        <f t="shared" si="1901"/>
        <v>0</v>
      </c>
      <c r="V3125" s="7"/>
      <c r="W3125" s="1">
        <v>2015</v>
      </c>
      <c r="X3125" s="62"/>
    </row>
    <row r="3126" spans="1:24" s="13" customFormat="1" ht="76.5" customHeight="1" outlineLevel="1" x14ac:dyDescent="0.2">
      <c r="A3126" s="1" t="s">
        <v>8139</v>
      </c>
      <c r="B3126" s="2" t="s">
        <v>5277</v>
      </c>
      <c r="C3126" s="2" t="s">
        <v>1242</v>
      </c>
      <c r="D3126" s="2" t="s">
        <v>1241</v>
      </c>
      <c r="E3126" s="2" t="s">
        <v>1240</v>
      </c>
      <c r="F3126" s="2"/>
      <c r="G3126" s="3" t="s">
        <v>3190</v>
      </c>
      <c r="H3126" s="5">
        <v>0</v>
      </c>
      <c r="I3126" s="6">
        <v>710000000</v>
      </c>
      <c r="J3126" s="4" t="s">
        <v>1931</v>
      </c>
      <c r="K3126" s="4" t="s">
        <v>756</v>
      </c>
      <c r="L3126" s="3" t="s">
        <v>1889</v>
      </c>
      <c r="M3126" s="8" t="s">
        <v>3195</v>
      </c>
      <c r="N3126" s="3" t="s">
        <v>1890</v>
      </c>
      <c r="O3126" s="8" t="s">
        <v>1935</v>
      </c>
      <c r="P3126" s="8">
        <v>796</v>
      </c>
      <c r="Q3126" s="8" t="s">
        <v>3196</v>
      </c>
      <c r="R3126" s="69">
        <v>2</v>
      </c>
      <c r="S3126" s="69">
        <v>506</v>
      </c>
      <c r="T3126" s="10">
        <f t="shared" ref="T3126" si="1985">S3126*R3126</f>
        <v>1012</v>
      </c>
      <c r="U3126" s="10">
        <f t="shared" ref="U3126" si="1986">T3126*1.12</f>
        <v>1133.44</v>
      </c>
      <c r="V3126" s="7"/>
      <c r="W3126" s="1">
        <v>2015</v>
      </c>
      <c r="X3126" s="62"/>
    </row>
    <row r="3127" spans="1:24" s="13" customFormat="1" ht="76.5" customHeight="1" outlineLevel="1" x14ac:dyDescent="0.2">
      <c r="A3127" s="1" t="s">
        <v>2939</v>
      </c>
      <c r="B3127" s="38" t="s">
        <v>5277</v>
      </c>
      <c r="C3127" s="2" t="s">
        <v>1239</v>
      </c>
      <c r="D3127" s="2" t="s">
        <v>1238</v>
      </c>
      <c r="E3127" s="2" t="s">
        <v>1237</v>
      </c>
      <c r="F3127" s="50" t="s">
        <v>701</v>
      </c>
      <c r="G3127" s="50" t="s">
        <v>3190</v>
      </c>
      <c r="H3127" s="5">
        <v>0</v>
      </c>
      <c r="I3127" s="6">
        <v>710000000</v>
      </c>
      <c r="J3127" s="4" t="s">
        <v>1931</v>
      </c>
      <c r="K3127" s="4" t="s">
        <v>554</v>
      </c>
      <c r="L3127" s="3" t="s">
        <v>1165</v>
      </c>
      <c r="M3127" s="8" t="s">
        <v>3195</v>
      </c>
      <c r="N3127" s="3" t="s">
        <v>1890</v>
      </c>
      <c r="O3127" s="8" t="s">
        <v>1935</v>
      </c>
      <c r="P3127" s="8">
        <v>796</v>
      </c>
      <c r="Q3127" s="8" t="s">
        <v>3196</v>
      </c>
      <c r="R3127" s="9">
        <v>120</v>
      </c>
      <c r="S3127" s="9">
        <v>892.86</v>
      </c>
      <c r="T3127" s="10">
        <f t="shared" si="1958"/>
        <v>107143.2</v>
      </c>
      <c r="U3127" s="10">
        <f t="shared" si="1901"/>
        <v>120000.38400000001</v>
      </c>
      <c r="V3127" s="7"/>
      <c r="W3127" s="11">
        <v>2015</v>
      </c>
      <c r="X3127" s="12"/>
    </row>
    <row r="3128" spans="1:24" s="13" customFormat="1" ht="76.5" customHeight="1" outlineLevel="1" x14ac:dyDescent="0.2">
      <c r="A3128" s="1" t="s">
        <v>2940</v>
      </c>
      <c r="B3128" s="38" t="s">
        <v>5277</v>
      </c>
      <c r="C3128" s="2" t="s">
        <v>1239</v>
      </c>
      <c r="D3128" s="2" t="s">
        <v>1238</v>
      </c>
      <c r="E3128" s="2" t="s">
        <v>1237</v>
      </c>
      <c r="F3128" s="6" t="s">
        <v>702</v>
      </c>
      <c r="G3128" s="50" t="s">
        <v>3190</v>
      </c>
      <c r="H3128" s="5">
        <v>0</v>
      </c>
      <c r="I3128" s="6">
        <v>710000000</v>
      </c>
      <c r="J3128" s="4" t="s">
        <v>1931</v>
      </c>
      <c r="K3128" s="4" t="s">
        <v>554</v>
      </c>
      <c r="L3128" s="3" t="s">
        <v>1165</v>
      </c>
      <c r="M3128" s="8" t="s">
        <v>3195</v>
      </c>
      <c r="N3128" s="3" t="s">
        <v>1890</v>
      </c>
      <c r="O3128" s="8" t="s">
        <v>1935</v>
      </c>
      <c r="P3128" s="8">
        <v>796</v>
      </c>
      <c r="Q3128" s="8" t="s">
        <v>3196</v>
      </c>
      <c r="R3128" s="9">
        <v>40</v>
      </c>
      <c r="S3128" s="9">
        <v>892.86</v>
      </c>
      <c r="T3128" s="10">
        <f t="shared" si="1958"/>
        <v>35714.400000000001</v>
      </c>
      <c r="U3128" s="10">
        <f t="shared" si="1901"/>
        <v>40000.128000000004</v>
      </c>
      <c r="V3128" s="7"/>
      <c r="W3128" s="11">
        <v>2015</v>
      </c>
      <c r="X3128" s="12"/>
    </row>
    <row r="3129" spans="1:24" s="13" customFormat="1" ht="76.5" customHeight="1" outlineLevel="1" x14ac:dyDescent="0.2">
      <c r="A3129" s="1" t="s">
        <v>2941</v>
      </c>
      <c r="B3129" s="6" t="s">
        <v>5277</v>
      </c>
      <c r="C3129" s="6" t="s">
        <v>1236</v>
      </c>
      <c r="D3129" s="6" t="s">
        <v>1235</v>
      </c>
      <c r="E3129" s="6" t="s">
        <v>1234</v>
      </c>
      <c r="F3129" s="39" t="s">
        <v>5525</v>
      </c>
      <c r="G3129" s="50" t="s">
        <v>3190</v>
      </c>
      <c r="H3129" s="5">
        <v>0</v>
      </c>
      <c r="I3129" s="6">
        <v>710000000</v>
      </c>
      <c r="J3129" s="4" t="s">
        <v>1931</v>
      </c>
      <c r="K3129" s="4" t="s">
        <v>5297</v>
      </c>
      <c r="L3129" s="2" t="s">
        <v>1940</v>
      </c>
      <c r="M3129" s="8" t="s">
        <v>3195</v>
      </c>
      <c r="N3129" s="3" t="s">
        <v>1890</v>
      </c>
      <c r="O3129" s="8" t="s">
        <v>1935</v>
      </c>
      <c r="P3129" s="8">
        <v>796</v>
      </c>
      <c r="Q3129" s="8" t="s">
        <v>3196</v>
      </c>
      <c r="R3129" s="9">
        <v>200</v>
      </c>
      <c r="S3129" s="9">
        <v>558.04</v>
      </c>
      <c r="T3129" s="10">
        <f t="shared" si="1958"/>
        <v>111608</v>
      </c>
      <c r="U3129" s="10">
        <f t="shared" si="1901"/>
        <v>125000.96000000001</v>
      </c>
      <c r="V3129" s="7"/>
      <c r="W3129" s="11">
        <v>2015</v>
      </c>
      <c r="X3129" s="12"/>
    </row>
    <row r="3130" spans="1:24" s="13" customFormat="1" ht="76.5" customHeight="1" outlineLevel="1" x14ac:dyDescent="0.2">
      <c r="A3130" s="1" t="s">
        <v>2942</v>
      </c>
      <c r="B3130" s="38" t="s">
        <v>5277</v>
      </c>
      <c r="C3130" s="6" t="s">
        <v>1231</v>
      </c>
      <c r="D3130" s="6" t="s">
        <v>1230</v>
      </c>
      <c r="E3130" s="6" t="s">
        <v>1229</v>
      </c>
      <c r="F3130" s="39" t="s">
        <v>1228</v>
      </c>
      <c r="G3130" s="50" t="s">
        <v>3190</v>
      </c>
      <c r="H3130" s="5">
        <v>0</v>
      </c>
      <c r="I3130" s="6">
        <v>710000000</v>
      </c>
      <c r="J3130" s="4" t="s">
        <v>1931</v>
      </c>
      <c r="K3130" s="4" t="s">
        <v>5297</v>
      </c>
      <c r="L3130" s="2" t="s">
        <v>1940</v>
      </c>
      <c r="M3130" s="8" t="s">
        <v>3195</v>
      </c>
      <c r="N3130" s="3" t="s">
        <v>1890</v>
      </c>
      <c r="O3130" s="8" t="s">
        <v>1935</v>
      </c>
      <c r="P3130" s="8">
        <v>796</v>
      </c>
      <c r="Q3130" s="8" t="s">
        <v>3196</v>
      </c>
      <c r="R3130" s="9">
        <v>1</v>
      </c>
      <c r="S3130" s="9">
        <v>3571.43</v>
      </c>
      <c r="T3130" s="10">
        <f t="shared" si="1958"/>
        <v>3571.43</v>
      </c>
      <c r="U3130" s="10">
        <f t="shared" si="1901"/>
        <v>4000.0016000000001</v>
      </c>
      <c r="V3130" s="7"/>
      <c r="W3130" s="11">
        <v>2015</v>
      </c>
      <c r="X3130" s="12"/>
    </row>
    <row r="3131" spans="1:24" s="13" customFormat="1" ht="76.5" customHeight="1" outlineLevel="1" x14ac:dyDescent="0.2">
      <c r="A3131" s="1" t="s">
        <v>2943</v>
      </c>
      <c r="B3131" s="38" t="s">
        <v>5277</v>
      </c>
      <c r="C3131" s="6" t="s">
        <v>1359</v>
      </c>
      <c r="D3131" s="6" t="s">
        <v>5614</v>
      </c>
      <c r="E3131" s="6" t="s">
        <v>5616</v>
      </c>
      <c r="F3131" s="39" t="s">
        <v>1227</v>
      </c>
      <c r="G3131" s="50" t="s">
        <v>3190</v>
      </c>
      <c r="H3131" s="5">
        <v>0</v>
      </c>
      <c r="I3131" s="6">
        <v>710000000</v>
      </c>
      <c r="J3131" s="4" t="s">
        <v>1931</v>
      </c>
      <c r="K3131" s="4" t="s">
        <v>5297</v>
      </c>
      <c r="L3131" s="2" t="s">
        <v>1940</v>
      </c>
      <c r="M3131" s="8" t="s">
        <v>3195</v>
      </c>
      <c r="N3131" s="3" t="s">
        <v>1890</v>
      </c>
      <c r="O3131" s="8" t="s">
        <v>1935</v>
      </c>
      <c r="P3131" s="8">
        <v>796</v>
      </c>
      <c r="Q3131" s="8" t="s">
        <v>3196</v>
      </c>
      <c r="R3131" s="9">
        <v>4</v>
      </c>
      <c r="S3131" s="9">
        <v>5000</v>
      </c>
      <c r="T3131" s="10">
        <f t="shared" si="1958"/>
        <v>20000</v>
      </c>
      <c r="U3131" s="10">
        <f t="shared" si="1901"/>
        <v>22400.000000000004</v>
      </c>
      <c r="V3131" s="7"/>
      <c r="W3131" s="11">
        <v>2015</v>
      </c>
      <c r="X3131" s="12"/>
    </row>
    <row r="3132" spans="1:24" s="13" customFormat="1" ht="76.5" customHeight="1" outlineLevel="1" x14ac:dyDescent="0.2">
      <c r="A3132" s="1" t="s">
        <v>2944</v>
      </c>
      <c r="B3132" s="38" t="s">
        <v>5277</v>
      </c>
      <c r="C3132" s="2" t="s">
        <v>3452</v>
      </c>
      <c r="D3132" s="2" t="s">
        <v>6205</v>
      </c>
      <c r="E3132" s="2" t="s">
        <v>6206</v>
      </c>
      <c r="F3132" s="52" t="s">
        <v>6205</v>
      </c>
      <c r="G3132" s="50" t="s">
        <v>3190</v>
      </c>
      <c r="H3132" s="5">
        <v>0</v>
      </c>
      <c r="I3132" s="6">
        <v>710000000</v>
      </c>
      <c r="J3132" s="4" t="s">
        <v>1931</v>
      </c>
      <c r="K3132" s="4" t="s">
        <v>5297</v>
      </c>
      <c r="L3132" s="3" t="s">
        <v>1165</v>
      </c>
      <c r="M3132" s="8" t="s">
        <v>3195</v>
      </c>
      <c r="N3132" s="3" t="s">
        <v>1890</v>
      </c>
      <c r="O3132" s="8" t="s">
        <v>1935</v>
      </c>
      <c r="P3132" s="8">
        <v>796</v>
      </c>
      <c r="Q3132" s="8" t="s">
        <v>3196</v>
      </c>
      <c r="R3132" s="9">
        <v>112</v>
      </c>
      <c r="S3132" s="9">
        <v>2700</v>
      </c>
      <c r="T3132" s="10">
        <v>0</v>
      </c>
      <c r="U3132" s="10">
        <f t="shared" si="1901"/>
        <v>0</v>
      </c>
      <c r="V3132" s="7"/>
      <c r="W3132" s="11">
        <v>2015</v>
      </c>
      <c r="X3132" s="12">
        <v>11</v>
      </c>
    </row>
    <row r="3133" spans="1:24" s="13" customFormat="1" ht="76.5" customHeight="1" outlineLevel="1" x14ac:dyDescent="0.2">
      <c r="A3133" s="1" t="s">
        <v>8359</v>
      </c>
      <c r="B3133" s="38" t="s">
        <v>5277</v>
      </c>
      <c r="C3133" s="2" t="s">
        <v>3452</v>
      </c>
      <c r="D3133" s="2" t="s">
        <v>6205</v>
      </c>
      <c r="E3133" s="2" t="s">
        <v>6206</v>
      </c>
      <c r="F3133" s="52" t="s">
        <v>6205</v>
      </c>
      <c r="G3133" s="50" t="s">
        <v>3190</v>
      </c>
      <c r="H3133" s="5">
        <v>0</v>
      </c>
      <c r="I3133" s="6">
        <v>710000000</v>
      </c>
      <c r="J3133" s="4" t="s">
        <v>1931</v>
      </c>
      <c r="K3133" s="4" t="s">
        <v>756</v>
      </c>
      <c r="L3133" s="3" t="s">
        <v>1165</v>
      </c>
      <c r="M3133" s="8" t="s">
        <v>3195</v>
      </c>
      <c r="N3133" s="3" t="s">
        <v>1890</v>
      </c>
      <c r="O3133" s="8" t="s">
        <v>1935</v>
      </c>
      <c r="P3133" s="8">
        <v>796</v>
      </c>
      <c r="Q3133" s="8" t="s">
        <v>3196</v>
      </c>
      <c r="R3133" s="9">
        <v>112</v>
      </c>
      <c r="S3133" s="9">
        <v>2700</v>
      </c>
      <c r="T3133" s="10">
        <v>0</v>
      </c>
      <c r="U3133" s="10">
        <f t="shared" ref="U3133" si="1987">T3133*1.12</f>
        <v>0</v>
      </c>
      <c r="V3133" s="7"/>
      <c r="W3133" s="11">
        <v>2015</v>
      </c>
      <c r="X3133" s="12" t="s">
        <v>8195</v>
      </c>
    </row>
    <row r="3134" spans="1:24" s="13" customFormat="1" ht="76.5" customHeight="1" outlineLevel="1" x14ac:dyDescent="0.2">
      <c r="A3134" s="1" t="s">
        <v>9163</v>
      </c>
      <c r="B3134" s="38" t="s">
        <v>5277</v>
      </c>
      <c r="C3134" s="2" t="s">
        <v>3452</v>
      </c>
      <c r="D3134" s="2" t="s">
        <v>6205</v>
      </c>
      <c r="E3134" s="2" t="s">
        <v>6206</v>
      </c>
      <c r="F3134" s="52" t="s">
        <v>6205</v>
      </c>
      <c r="G3134" s="50" t="s">
        <v>3190</v>
      </c>
      <c r="H3134" s="5">
        <v>0</v>
      </c>
      <c r="I3134" s="6">
        <v>710000000</v>
      </c>
      <c r="J3134" s="4" t="s">
        <v>1931</v>
      </c>
      <c r="K3134" s="4" t="s">
        <v>9142</v>
      </c>
      <c r="L3134" s="3" t="s">
        <v>1165</v>
      </c>
      <c r="M3134" s="8" t="s">
        <v>3195</v>
      </c>
      <c r="N3134" s="3" t="s">
        <v>1890</v>
      </c>
      <c r="O3134" s="8" t="s">
        <v>1935</v>
      </c>
      <c r="P3134" s="8">
        <v>796</v>
      </c>
      <c r="Q3134" s="8" t="s">
        <v>3196</v>
      </c>
      <c r="R3134" s="9">
        <v>179</v>
      </c>
      <c r="S3134" s="9">
        <v>1400</v>
      </c>
      <c r="T3134" s="10">
        <f t="shared" ref="T3134" si="1988">S3134*R3134</f>
        <v>250600</v>
      </c>
      <c r="U3134" s="10">
        <f t="shared" ref="U3134" si="1989">T3134*1.12</f>
        <v>280672</v>
      </c>
      <c r="V3134" s="7"/>
      <c r="W3134" s="11">
        <v>2015</v>
      </c>
      <c r="X3134" s="12"/>
    </row>
    <row r="3135" spans="1:24" s="13" customFormat="1" ht="76.5" customHeight="1" outlineLevel="1" x14ac:dyDescent="0.2">
      <c r="A3135" s="1" t="s">
        <v>2945</v>
      </c>
      <c r="B3135" s="38" t="s">
        <v>5277</v>
      </c>
      <c r="C3135" s="6" t="s">
        <v>1226</v>
      </c>
      <c r="D3135" s="6" t="s">
        <v>1225</v>
      </c>
      <c r="E3135" s="6" t="s">
        <v>1224</v>
      </c>
      <c r="F3135" s="39"/>
      <c r="G3135" s="50" t="s">
        <v>3190</v>
      </c>
      <c r="H3135" s="5">
        <v>0</v>
      </c>
      <c r="I3135" s="6">
        <v>710000000</v>
      </c>
      <c r="J3135" s="4" t="s">
        <v>1931</v>
      </c>
      <c r="K3135" s="4" t="s">
        <v>5297</v>
      </c>
      <c r="L3135" s="3" t="s">
        <v>1165</v>
      </c>
      <c r="M3135" s="8" t="s">
        <v>3195</v>
      </c>
      <c r="N3135" s="3" t="s">
        <v>1890</v>
      </c>
      <c r="O3135" s="8" t="s">
        <v>1935</v>
      </c>
      <c r="P3135" s="8">
        <v>796</v>
      </c>
      <c r="Q3135" s="8" t="s">
        <v>3196</v>
      </c>
      <c r="R3135" s="9">
        <v>9</v>
      </c>
      <c r="S3135" s="9">
        <v>6200</v>
      </c>
      <c r="T3135" s="10">
        <f t="shared" si="1958"/>
        <v>55800</v>
      </c>
      <c r="U3135" s="10">
        <f t="shared" si="1901"/>
        <v>62496.000000000007</v>
      </c>
      <c r="V3135" s="7"/>
      <c r="W3135" s="11">
        <v>2015</v>
      </c>
      <c r="X3135" s="12"/>
    </row>
    <row r="3136" spans="1:24" s="13" customFormat="1" ht="76.5" customHeight="1" outlineLevel="1" x14ac:dyDescent="0.2">
      <c r="A3136" s="1" t="s">
        <v>2946</v>
      </c>
      <c r="B3136" s="38" t="s">
        <v>5277</v>
      </c>
      <c r="C3136" s="2" t="s">
        <v>1223</v>
      </c>
      <c r="D3136" s="2" t="s">
        <v>1222</v>
      </c>
      <c r="E3136" s="2" t="s">
        <v>1221</v>
      </c>
      <c r="F3136" s="39"/>
      <c r="G3136" s="50" t="s">
        <v>3190</v>
      </c>
      <c r="H3136" s="5">
        <v>0</v>
      </c>
      <c r="I3136" s="6">
        <v>710000000</v>
      </c>
      <c r="J3136" s="4" t="s">
        <v>1931</v>
      </c>
      <c r="K3136" s="4" t="s">
        <v>5297</v>
      </c>
      <c r="L3136" s="3" t="s">
        <v>1889</v>
      </c>
      <c r="M3136" s="8" t="s">
        <v>3195</v>
      </c>
      <c r="N3136" s="3" t="s">
        <v>1890</v>
      </c>
      <c r="O3136" s="8" t="s">
        <v>1935</v>
      </c>
      <c r="P3136" s="8">
        <v>796</v>
      </c>
      <c r="Q3136" s="8" t="s">
        <v>3196</v>
      </c>
      <c r="R3136" s="9">
        <v>30</v>
      </c>
      <c r="S3136" s="9">
        <v>13.4</v>
      </c>
      <c r="T3136" s="10">
        <f t="shared" si="1958"/>
        <v>402</v>
      </c>
      <c r="U3136" s="10">
        <f t="shared" si="1901"/>
        <v>450.24000000000007</v>
      </c>
      <c r="V3136" s="7"/>
      <c r="W3136" s="11">
        <v>2015</v>
      </c>
      <c r="X3136" s="12"/>
    </row>
    <row r="3137" spans="1:24" s="13" customFormat="1" ht="76.5" customHeight="1" outlineLevel="1" x14ac:dyDescent="0.2">
      <c r="A3137" s="1" t="s">
        <v>2947</v>
      </c>
      <c r="B3137" s="38" t="s">
        <v>5277</v>
      </c>
      <c r="C3137" s="6" t="s">
        <v>3122</v>
      </c>
      <c r="D3137" s="6" t="s">
        <v>2276</v>
      </c>
      <c r="E3137" s="6" t="s">
        <v>2276</v>
      </c>
      <c r="F3137" s="39" t="s">
        <v>1220</v>
      </c>
      <c r="G3137" s="50" t="s">
        <v>3190</v>
      </c>
      <c r="H3137" s="5">
        <v>0</v>
      </c>
      <c r="I3137" s="6">
        <v>710000000</v>
      </c>
      <c r="J3137" s="4" t="s">
        <v>1931</v>
      </c>
      <c r="K3137" s="4" t="s">
        <v>5297</v>
      </c>
      <c r="L3137" s="2" t="s">
        <v>1940</v>
      </c>
      <c r="M3137" s="8" t="s">
        <v>3195</v>
      </c>
      <c r="N3137" s="3" t="s">
        <v>1890</v>
      </c>
      <c r="O3137" s="8" t="s">
        <v>1935</v>
      </c>
      <c r="P3137" s="8">
        <v>796</v>
      </c>
      <c r="Q3137" s="8" t="s">
        <v>3196</v>
      </c>
      <c r="R3137" s="9">
        <v>15</v>
      </c>
      <c r="S3137" s="9">
        <v>1248.21</v>
      </c>
      <c r="T3137" s="10">
        <f t="shared" si="1958"/>
        <v>18723.150000000001</v>
      </c>
      <c r="U3137" s="10">
        <f t="shared" si="1901"/>
        <v>20969.928000000004</v>
      </c>
      <c r="V3137" s="7"/>
      <c r="W3137" s="11">
        <v>2015</v>
      </c>
      <c r="X3137" s="12"/>
    </row>
    <row r="3138" spans="1:24" s="13" customFormat="1" ht="76.5" customHeight="1" outlineLevel="1" x14ac:dyDescent="0.2">
      <c r="A3138" s="1" t="s">
        <v>2948</v>
      </c>
      <c r="B3138" s="38" t="s">
        <v>5277</v>
      </c>
      <c r="C3138" s="2" t="s">
        <v>2278</v>
      </c>
      <c r="D3138" s="2" t="s">
        <v>2279</v>
      </c>
      <c r="E3138" s="6" t="s">
        <v>2280</v>
      </c>
      <c r="F3138" s="52" t="s">
        <v>1219</v>
      </c>
      <c r="G3138" s="50" t="s">
        <v>3190</v>
      </c>
      <c r="H3138" s="5">
        <v>0</v>
      </c>
      <c r="I3138" s="6">
        <v>710000000</v>
      </c>
      <c r="J3138" s="4" t="s">
        <v>1931</v>
      </c>
      <c r="K3138" s="4" t="s">
        <v>5297</v>
      </c>
      <c r="L3138" s="2" t="s">
        <v>1940</v>
      </c>
      <c r="M3138" s="8" t="s">
        <v>3195</v>
      </c>
      <c r="N3138" s="3" t="s">
        <v>1890</v>
      </c>
      <c r="O3138" s="8" t="s">
        <v>1935</v>
      </c>
      <c r="P3138" s="8">
        <v>796</v>
      </c>
      <c r="Q3138" s="8" t="s">
        <v>3196</v>
      </c>
      <c r="R3138" s="9">
        <v>8</v>
      </c>
      <c r="S3138" s="9">
        <v>13392.86</v>
      </c>
      <c r="T3138" s="10">
        <f t="shared" si="1958"/>
        <v>107142.88</v>
      </c>
      <c r="U3138" s="10">
        <f t="shared" si="1901"/>
        <v>120000.02560000002</v>
      </c>
      <c r="V3138" s="7"/>
      <c r="W3138" s="11">
        <v>2015</v>
      </c>
      <c r="X3138" s="12"/>
    </row>
    <row r="3139" spans="1:24" s="13" customFormat="1" ht="76.5" customHeight="1" outlineLevel="1" x14ac:dyDescent="0.2">
      <c r="A3139" s="1" t="s">
        <v>2949</v>
      </c>
      <c r="B3139" s="38" t="s">
        <v>5277</v>
      </c>
      <c r="C3139" s="6" t="s">
        <v>1218</v>
      </c>
      <c r="D3139" s="6" t="s">
        <v>2279</v>
      </c>
      <c r="E3139" s="6" t="s">
        <v>1217</v>
      </c>
      <c r="F3139" s="52" t="s">
        <v>1216</v>
      </c>
      <c r="G3139" s="50" t="s">
        <v>3190</v>
      </c>
      <c r="H3139" s="5">
        <v>0</v>
      </c>
      <c r="I3139" s="6">
        <v>710000000</v>
      </c>
      <c r="J3139" s="4" t="s">
        <v>1931</v>
      </c>
      <c r="K3139" s="4" t="s">
        <v>5297</v>
      </c>
      <c r="L3139" s="2" t="s">
        <v>1940</v>
      </c>
      <c r="M3139" s="8" t="s">
        <v>3195</v>
      </c>
      <c r="N3139" s="3" t="s">
        <v>1890</v>
      </c>
      <c r="O3139" s="8" t="s">
        <v>1935</v>
      </c>
      <c r="P3139" s="8">
        <v>796</v>
      </c>
      <c r="Q3139" s="8" t="s">
        <v>3196</v>
      </c>
      <c r="R3139" s="9">
        <v>30</v>
      </c>
      <c r="S3139" s="9">
        <v>2410.71</v>
      </c>
      <c r="T3139" s="10">
        <f t="shared" si="1958"/>
        <v>72321.3</v>
      </c>
      <c r="U3139" s="10">
        <f t="shared" si="1901"/>
        <v>80999.856000000014</v>
      </c>
      <c r="V3139" s="7"/>
      <c r="W3139" s="11">
        <v>2015</v>
      </c>
      <c r="X3139" s="12"/>
    </row>
    <row r="3140" spans="1:24" s="13" customFormat="1" ht="76.5" customHeight="1" outlineLevel="1" x14ac:dyDescent="0.2">
      <c r="A3140" s="1" t="s">
        <v>2950</v>
      </c>
      <c r="B3140" s="38" t="s">
        <v>5277</v>
      </c>
      <c r="C3140" s="5" t="s">
        <v>1215</v>
      </c>
      <c r="D3140" s="52" t="s">
        <v>1214</v>
      </c>
      <c r="E3140" s="52" t="s">
        <v>1213</v>
      </c>
      <c r="F3140" s="39" t="s">
        <v>1212</v>
      </c>
      <c r="G3140" s="50" t="s">
        <v>3190</v>
      </c>
      <c r="H3140" s="5">
        <v>0</v>
      </c>
      <c r="I3140" s="6">
        <v>710000000</v>
      </c>
      <c r="J3140" s="4" t="s">
        <v>1931</v>
      </c>
      <c r="K3140" s="4" t="s">
        <v>5297</v>
      </c>
      <c r="L3140" s="2" t="s">
        <v>1940</v>
      </c>
      <c r="M3140" s="8" t="s">
        <v>3195</v>
      </c>
      <c r="N3140" s="3" t="s">
        <v>1890</v>
      </c>
      <c r="O3140" s="8" t="s">
        <v>1935</v>
      </c>
      <c r="P3140" s="8">
        <v>796</v>
      </c>
      <c r="Q3140" s="8" t="s">
        <v>3196</v>
      </c>
      <c r="R3140" s="9">
        <v>3</v>
      </c>
      <c r="S3140" s="9">
        <v>71428.570000000007</v>
      </c>
      <c r="T3140" s="10">
        <f t="shared" si="1958"/>
        <v>214285.71000000002</v>
      </c>
      <c r="U3140" s="10">
        <f t="shared" si="1901"/>
        <v>239999.99520000003</v>
      </c>
      <c r="V3140" s="7"/>
      <c r="W3140" s="11">
        <v>2015</v>
      </c>
      <c r="X3140" s="12"/>
    </row>
    <row r="3141" spans="1:24" s="13" customFormat="1" ht="76.5" customHeight="1" outlineLevel="1" x14ac:dyDescent="0.2">
      <c r="A3141" s="1" t="s">
        <v>6425</v>
      </c>
      <c r="B3141" s="38" t="s">
        <v>5277</v>
      </c>
      <c r="C3141" s="2" t="s">
        <v>1211</v>
      </c>
      <c r="D3141" s="2" t="s">
        <v>1210</v>
      </c>
      <c r="E3141" s="2" t="s">
        <v>1209</v>
      </c>
      <c r="F3141" s="39"/>
      <c r="G3141" s="50" t="s">
        <v>3190</v>
      </c>
      <c r="H3141" s="5">
        <v>0</v>
      </c>
      <c r="I3141" s="6">
        <v>710000000</v>
      </c>
      <c r="J3141" s="4" t="s">
        <v>1931</v>
      </c>
      <c r="K3141" s="4" t="s">
        <v>5297</v>
      </c>
      <c r="L3141" s="3" t="s">
        <v>1165</v>
      </c>
      <c r="M3141" s="8" t="s">
        <v>3195</v>
      </c>
      <c r="N3141" s="3" t="s">
        <v>1890</v>
      </c>
      <c r="O3141" s="8" t="s">
        <v>1935</v>
      </c>
      <c r="P3141" s="8">
        <v>796</v>
      </c>
      <c r="Q3141" s="8" t="s">
        <v>3196</v>
      </c>
      <c r="R3141" s="9">
        <v>1</v>
      </c>
      <c r="S3141" s="9" t="s">
        <v>8790</v>
      </c>
      <c r="T3141" s="10">
        <v>0</v>
      </c>
      <c r="U3141" s="10">
        <f t="shared" si="1901"/>
        <v>0</v>
      </c>
      <c r="V3141" s="7"/>
      <c r="W3141" s="11">
        <v>2015</v>
      </c>
      <c r="X3141" s="12">
        <v>11.22</v>
      </c>
    </row>
    <row r="3142" spans="1:24" s="13" customFormat="1" ht="76.5" outlineLevel="1" x14ac:dyDescent="0.2">
      <c r="A3142" s="1" t="s">
        <v>8789</v>
      </c>
      <c r="B3142" s="38" t="s">
        <v>5277</v>
      </c>
      <c r="C3142" s="2" t="s">
        <v>1211</v>
      </c>
      <c r="D3142" s="2" t="s">
        <v>1210</v>
      </c>
      <c r="E3142" s="2" t="s">
        <v>1209</v>
      </c>
      <c r="F3142" s="39"/>
      <c r="G3142" s="50" t="s">
        <v>3190</v>
      </c>
      <c r="H3142" s="5">
        <v>0</v>
      </c>
      <c r="I3142" s="6">
        <v>710000000</v>
      </c>
      <c r="J3142" s="4" t="s">
        <v>1931</v>
      </c>
      <c r="K3142" s="4" t="s">
        <v>8791</v>
      </c>
      <c r="L3142" s="3" t="s">
        <v>1165</v>
      </c>
      <c r="M3142" s="8" t="s">
        <v>3195</v>
      </c>
      <c r="N3142" s="3" t="s">
        <v>1890</v>
      </c>
      <c r="O3142" s="8" t="s">
        <v>1935</v>
      </c>
      <c r="P3142" s="8">
        <v>796</v>
      </c>
      <c r="Q3142" s="8" t="s">
        <v>3196</v>
      </c>
      <c r="R3142" s="9">
        <v>1</v>
      </c>
      <c r="S3142" s="9">
        <v>14992.86</v>
      </c>
      <c r="T3142" s="10">
        <v>0</v>
      </c>
      <c r="U3142" s="10">
        <f t="shared" ref="U3142" si="1990">T3142*1.12</f>
        <v>0</v>
      </c>
      <c r="V3142" s="7"/>
      <c r="W3142" s="11">
        <v>2015</v>
      </c>
      <c r="X3142" s="12">
        <v>11.12</v>
      </c>
    </row>
    <row r="3143" spans="1:24" s="13" customFormat="1" ht="76.5" outlineLevel="1" x14ac:dyDescent="0.2">
      <c r="A3143" s="1" t="s">
        <v>9309</v>
      </c>
      <c r="B3143" s="38" t="s">
        <v>5277</v>
      </c>
      <c r="C3143" s="2" t="s">
        <v>1211</v>
      </c>
      <c r="D3143" s="2" t="s">
        <v>1210</v>
      </c>
      <c r="E3143" s="2" t="s">
        <v>1209</v>
      </c>
      <c r="F3143" s="39"/>
      <c r="G3143" s="50" t="s">
        <v>3190</v>
      </c>
      <c r="H3143" s="5">
        <v>0</v>
      </c>
      <c r="I3143" s="6">
        <v>710000000</v>
      </c>
      <c r="J3143" s="4" t="s">
        <v>1931</v>
      </c>
      <c r="K3143" s="4" t="s">
        <v>9310</v>
      </c>
      <c r="L3143" s="3" t="s">
        <v>1933</v>
      </c>
      <c r="M3143" s="8" t="s">
        <v>3195</v>
      </c>
      <c r="N3143" s="3" t="s">
        <v>1890</v>
      </c>
      <c r="O3143" s="8" t="s">
        <v>1935</v>
      </c>
      <c r="P3143" s="8">
        <v>796</v>
      </c>
      <c r="Q3143" s="8" t="s">
        <v>3196</v>
      </c>
      <c r="R3143" s="9">
        <v>1</v>
      </c>
      <c r="S3143" s="9">
        <v>14992.86</v>
      </c>
      <c r="T3143" s="10">
        <f>R3143*S3143</f>
        <v>14992.86</v>
      </c>
      <c r="U3143" s="10">
        <f t="shared" ref="U3143" si="1991">T3143*1.12</f>
        <v>16792.003200000003</v>
      </c>
      <c r="V3143" s="7"/>
      <c r="W3143" s="11">
        <v>2015</v>
      </c>
      <c r="X3143" s="12"/>
    </row>
    <row r="3144" spans="1:24" s="13" customFormat="1" ht="76.5" customHeight="1" outlineLevel="1" x14ac:dyDescent="0.2">
      <c r="A3144" s="1" t="s">
        <v>2951</v>
      </c>
      <c r="B3144" s="38" t="s">
        <v>5277</v>
      </c>
      <c r="C3144" s="2" t="s">
        <v>1208</v>
      </c>
      <c r="D3144" s="2" t="s">
        <v>1207</v>
      </c>
      <c r="E3144" s="2" t="s">
        <v>1207</v>
      </c>
      <c r="F3144" s="39"/>
      <c r="G3144" s="50" t="s">
        <v>3190</v>
      </c>
      <c r="H3144" s="5">
        <v>0</v>
      </c>
      <c r="I3144" s="6">
        <v>710000000</v>
      </c>
      <c r="J3144" s="4" t="s">
        <v>1931</v>
      </c>
      <c r="K3144" s="4" t="s">
        <v>7338</v>
      </c>
      <c r="L3144" s="2" t="s">
        <v>1940</v>
      </c>
      <c r="M3144" s="8" t="s">
        <v>3195</v>
      </c>
      <c r="N3144" s="3" t="s">
        <v>1890</v>
      </c>
      <c r="O3144" s="8" t="s">
        <v>1935</v>
      </c>
      <c r="P3144" s="8">
        <v>796</v>
      </c>
      <c r="Q3144" s="8" t="s">
        <v>3196</v>
      </c>
      <c r="R3144" s="9">
        <v>1</v>
      </c>
      <c r="S3144" s="9">
        <v>9577.68</v>
      </c>
      <c r="T3144" s="10">
        <v>0</v>
      </c>
      <c r="U3144" s="10">
        <f t="shared" si="1901"/>
        <v>0</v>
      </c>
      <c r="V3144" s="7"/>
      <c r="W3144" s="11">
        <v>2015</v>
      </c>
      <c r="X3144" s="12">
        <v>11</v>
      </c>
    </row>
    <row r="3145" spans="1:24" s="13" customFormat="1" ht="76.5" customHeight="1" outlineLevel="1" x14ac:dyDescent="0.2">
      <c r="A3145" s="1" t="s">
        <v>8734</v>
      </c>
      <c r="B3145" s="38" t="s">
        <v>5277</v>
      </c>
      <c r="C3145" s="2" t="s">
        <v>1208</v>
      </c>
      <c r="D3145" s="2" t="s">
        <v>1207</v>
      </c>
      <c r="E3145" s="2" t="s">
        <v>1207</v>
      </c>
      <c r="F3145" s="39"/>
      <c r="G3145" s="50" t="s">
        <v>3190</v>
      </c>
      <c r="H3145" s="5">
        <v>0</v>
      </c>
      <c r="I3145" s="6">
        <v>710000000</v>
      </c>
      <c r="J3145" s="4" t="s">
        <v>1931</v>
      </c>
      <c r="K3145" s="4" t="s">
        <v>8735</v>
      </c>
      <c r="L3145" s="2" t="s">
        <v>1940</v>
      </c>
      <c r="M3145" s="8" t="s">
        <v>3195</v>
      </c>
      <c r="N3145" s="3" t="s">
        <v>1890</v>
      </c>
      <c r="O3145" s="8" t="s">
        <v>1935</v>
      </c>
      <c r="P3145" s="8">
        <v>796</v>
      </c>
      <c r="Q3145" s="8" t="s">
        <v>3196</v>
      </c>
      <c r="R3145" s="9">
        <v>1</v>
      </c>
      <c r="S3145" s="9">
        <v>9577.68</v>
      </c>
      <c r="T3145" s="10">
        <f t="shared" ref="T3145" si="1992">S3145*R3145</f>
        <v>9577.68</v>
      </c>
      <c r="U3145" s="10">
        <f t="shared" ref="U3145" si="1993">T3145*1.12</f>
        <v>10727.001600000001</v>
      </c>
      <c r="V3145" s="7"/>
      <c r="W3145" s="11">
        <v>2015</v>
      </c>
      <c r="X3145" s="12"/>
    </row>
    <row r="3146" spans="1:24" s="13" customFormat="1" ht="76.5" customHeight="1" outlineLevel="1" x14ac:dyDescent="0.2">
      <c r="A3146" s="1" t="s">
        <v>2952</v>
      </c>
      <c r="B3146" s="38" t="s">
        <v>5277</v>
      </c>
      <c r="C3146" s="2" t="s">
        <v>1206</v>
      </c>
      <c r="D3146" s="2" t="s">
        <v>1205</v>
      </c>
      <c r="E3146" s="2" t="s">
        <v>1204</v>
      </c>
      <c r="F3146" s="39"/>
      <c r="G3146" s="50" t="s">
        <v>3190</v>
      </c>
      <c r="H3146" s="5">
        <v>0</v>
      </c>
      <c r="I3146" s="6">
        <v>710000000</v>
      </c>
      <c r="J3146" s="4" t="s">
        <v>1931</v>
      </c>
      <c r="K3146" s="4" t="s">
        <v>5297</v>
      </c>
      <c r="L3146" s="2" t="s">
        <v>1940</v>
      </c>
      <c r="M3146" s="8" t="s">
        <v>3195</v>
      </c>
      <c r="N3146" s="3" t="s">
        <v>1890</v>
      </c>
      <c r="O3146" s="8" t="s">
        <v>1935</v>
      </c>
      <c r="P3146" s="8">
        <v>796</v>
      </c>
      <c r="Q3146" s="8" t="s">
        <v>3196</v>
      </c>
      <c r="R3146" s="9">
        <v>1</v>
      </c>
      <c r="S3146" s="9">
        <v>8928.57</v>
      </c>
      <c r="T3146" s="10">
        <f t="shared" si="1958"/>
        <v>8928.57</v>
      </c>
      <c r="U3146" s="10">
        <f t="shared" si="1901"/>
        <v>9999.9984000000004</v>
      </c>
      <c r="V3146" s="7"/>
      <c r="W3146" s="11">
        <v>2015</v>
      </c>
      <c r="X3146" s="12"/>
    </row>
    <row r="3147" spans="1:24" s="13" customFormat="1" ht="76.5" customHeight="1" outlineLevel="1" x14ac:dyDescent="0.2">
      <c r="A3147" s="1" t="s">
        <v>2953</v>
      </c>
      <c r="B3147" s="38" t="s">
        <v>5277</v>
      </c>
      <c r="C3147" s="2" t="s">
        <v>3423</v>
      </c>
      <c r="D3147" s="2" t="s">
        <v>1203</v>
      </c>
      <c r="E3147" s="2" t="s">
        <v>7621</v>
      </c>
      <c r="F3147" s="39"/>
      <c r="G3147" s="50" t="s">
        <v>3190</v>
      </c>
      <c r="H3147" s="5">
        <v>0</v>
      </c>
      <c r="I3147" s="6">
        <v>710000000</v>
      </c>
      <c r="J3147" s="4" t="s">
        <v>1931</v>
      </c>
      <c r="K3147" s="4" t="s">
        <v>5297</v>
      </c>
      <c r="L3147" s="2" t="s">
        <v>1940</v>
      </c>
      <c r="M3147" s="8" t="s">
        <v>3195</v>
      </c>
      <c r="N3147" s="3" t="s">
        <v>1890</v>
      </c>
      <c r="O3147" s="8" t="s">
        <v>1935</v>
      </c>
      <c r="P3147" s="8">
        <v>796</v>
      </c>
      <c r="Q3147" s="8" t="s">
        <v>3196</v>
      </c>
      <c r="R3147" s="9">
        <f>3+1</f>
        <v>4</v>
      </c>
      <c r="S3147" s="9">
        <v>18381.25</v>
      </c>
      <c r="T3147" s="10">
        <v>0</v>
      </c>
      <c r="U3147" s="10">
        <f t="shared" si="1901"/>
        <v>0</v>
      </c>
      <c r="V3147" s="7"/>
      <c r="W3147" s="11">
        <v>2015</v>
      </c>
      <c r="X3147" s="12" t="s">
        <v>6562</v>
      </c>
    </row>
    <row r="3148" spans="1:24" s="13" customFormat="1" ht="76.5" customHeight="1" outlineLevel="1" x14ac:dyDescent="0.2">
      <c r="A3148" s="1" t="s">
        <v>6795</v>
      </c>
      <c r="B3148" s="38" t="s">
        <v>5277</v>
      </c>
      <c r="C3148" s="2" t="s">
        <v>3423</v>
      </c>
      <c r="D3148" s="2" t="s">
        <v>1203</v>
      </c>
      <c r="E3148" s="2" t="s">
        <v>7621</v>
      </c>
      <c r="F3148" s="39"/>
      <c r="G3148" s="50" t="s">
        <v>3190</v>
      </c>
      <c r="H3148" s="5">
        <v>0</v>
      </c>
      <c r="I3148" s="6">
        <v>710000000</v>
      </c>
      <c r="J3148" s="4" t="s">
        <v>1931</v>
      </c>
      <c r="K3148" s="4" t="s">
        <v>5297</v>
      </c>
      <c r="L3148" s="2" t="s">
        <v>1940</v>
      </c>
      <c r="M3148" s="8" t="s">
        <v>3195</v>
      </c>
      <c r="N3148" s="3" t="s">
        <v>1890</v>
      </c>
      <c r="O3148" s="8" t="s">
        <v>1935</v>
      </c>
      <c r="P3148" s="8">
        <v>796</v>
      </c>
      <c r="Q3148" s="8" t="s">
        <v>3196</v>
      </c>
      <c r="R3148" s="9">
        <f>2+1</f>
        <v>3</v>
      </c>
      <c r="S3148" s="9">
        <v>18381.25</v>
      </c>
      <c r="T3148" s="10">
        <v>0</v>
      </c>
      <c r="U3148" s="10">
        <f t="shared" si="1901"/>
        <v>0</v>
      </c>
      <c r="V3148" s="7"/>
      <c r="W3148" s="11">
        <v>2015</v>
      </c>
      <c r="X3148" s="12" t="s">
        <v>6562</v>
      </c>
    </row>
    <row r="3149" spans="1:24" s="13" customFormat="1" ht="76.5" outlineLevel="1" x14ac:dyDescent="0.2">
      <c r="A3149" s="1" t="s">
        <v>8736</v>
      </c>
      <c r="B3149" s="38" t="s">
        <v>5277</v>
      </c>
      <c r="C3149" s="2" t="s">
        <v>3423</v>
      </c>
      <c r="D3149" s="2" t="s">
        <v>1203</v>
      </c>
      <c r="E3149" s="2" t="s">
        <v>7621</v>
      </c>
      <c r="F3149" s="39"/>
      <c r="G3149" s="50" t="s">
        <v>3190</v>
      </c>
      <c r="H3149" s="5">
        <v>0</v>
      </c>
      <c r="I3149" s="6">
        <v>710000000</v>
      </c>
      <c r="J3149" s="4" t="s">
        <v>1931</v>
      </c>
      <c r="K3149" s="4" t="s">
        <v>8791</v>
      </c>
      <c r="L3149" s="2" t="s">
        <v>1940</v>
      </c>
      <c r="M3149" s="8" t="s">
        <v>3195</v>
      </c>
      <c r="N3149" s="3" t="s">
        <v>1890</v>
      </c>
      <c r="O3149" s="8" t="s">
        <v>1935</v>
      </c>
      <c r="P3149" s="8">
        <v>796</v>
      </c>
      <c r="Q3149" s="8" t="s">
        <v>3196</v>
      </c>
      <c r="R3149" s="9">
        <v>6</v>
      </c>
      <c r="S3149" s="9">
        <v>18381.25</v>
      </c>
      <c r="T3149" s="10">
        <v>0</v>
      </c>
      <c r="U3149" s="10">
        <f t="shared" ref="U3149" si="1994">T3149*1.12</f>
        <v>0</v>
      </c>
      <c r="V3149" s="7"/>
      <c r="W3149" s="11">
        <v>2015</v>
      </c>
      <c r="X3149" s="12">
        <v>11.12</v>
      </c>
    </row>
    <row r="3150" spans="1:24" s="13" customFormat="1" ht="76.5" outlineLevel="1" x14ac:dyDescent="0.2">
      <c r="A3150" s="1" t="s">
        <v>9311</v>
      </c>
      <c r="B3150" s="38" t="s">
        <v>5277</v>
      </c>
      <c r="C3150" s="2" t="s">
        <v>3423</v>
      </c>
      <c r="D3150" s="2" t="s">
        <v>1203</v>
      </c>
      <c r="E3150" s="2" t="s">
        <v>7621</v>
      </c>
      <c r="F3150" s="39"/>
      <c r="G3150" s="50" t="s">
        <v>3190</v>
      </c>
      <c r="H3150" s="5">
        <v>0</v>
      </c>
      <c r="I3150" s="6">
        <v>710000000</v>
      </c>
      <c r="J3150" s="4" t="s">
        <v>1931</v>
      </c>
      <c r="K3150" s="4" t="s">
        <v>9310</v>
      </c>
      <c r="L3150" s="2" t="s">
        <v>1933</v>
      </c>
      <c r="M3150" s="8" t="s">
        <v>3195</v>
      </c>
      <c r="N3150" s="3" t="s">
        <v>1890</v>
      </c>
      <c r="O3150" s="8" t="s">
        <v>1935</v>
      </c>
      <c r="P3150" s="8">
        <v>796</v>
      </c>
      <c r="Q3150" s="8" t="s">
        <v>3196</v>
      </c>
      <c r="R3150" s="9">
        <v>6</v>
      </c>
      <c r="S3150" s="9">
        <v>18381.25</v>
      </c>
      <c r="T3150" s="10">
        <v>0</v>
      </c>
      <c r="U3150" s="10">
        <f t="shared" ref="U3150" si="1995">T3150*1.12</f>
        <v>0</v>
      </c>
      <c r="V3150" s="7"/>
      <c r="W3150" s="11">
        <v>2015</v>
      </c>
      <c r="X3150" s="12">
        <v>18</v>
      </c>
    </row>
    <row r="3151" spans="1:24" s="13" customFormat="1" ht="76.5" outlineLevel="1" x14ac:dyDescent="0.2">
      <c r="A3151" s="1" t="s">
        <v>9473</v>
      </c>
      <c r="B3151" s="38" t="s">
        <v>5277</v>
      </c>
      <c r="C3151" s="2" t="s">
        <v>3423</v>
      </c>
      <c r="D3151" s="2" t="s">
        <v>1203</v>
      </c>
      <c r="E3151" s="2" t="s">
        <v>7621</v>
      </c>
      <c r="F3151" s="39"/>
      <c r="G3151" s="50" t="s">
        <v>3190</v>
      </c>
      <c r="H3151" s="5">
        <v>0</v>
      </c>
      <c r="I3151" s="6">
        <v>710000000</v>
      </c>
      <c r="J3151" s="4" t="s">
        <v>1931</v>
      </c>
      <c r="K3151" s="4" t="s">
        <v>9310</v>
      </c>
      <c r="L3151" s="2" t="s">
        <v>1933</v>
      </c>
      <c r="M3151" s="8" t="s">
        <v>3195</v>
      </c>
      <c r="N3151" s="3" t="s">
        <v>1890</v>
      </c>
      <c r="O3151" s="8" t="s">
        <v>1935</v>
      </c>
      <c r="P3151" s="8">
        <v>796</v>
      </c>
      <c r="Q3151" s="8" t="s">
        <v>3196</v>
      </c>
      <c r="R3151" s="9">
        <f>6-1</f>
        <v>5</v>
      </c>
      <c r="S3151" s="9">
        <v>18381.25</v>
      </c>
      <c r="T3151" s="10">
        <f t="shared" ref="T3151" si="1996">S3151*R3151</f>
        <v>91906.25</v>
      </c>
      <c r="U3151" s="10">
        <f t="shared" ref="U3151" si="1997">T3151*1.12</f>
        <v>102935.00000000001</v>
      </c>
      <c r="V3151" s="7"/>
      <c r="W3151" s="11">
        <v>2015</v>
      </c>
      <c r="X3151" s="12"/>
    </row>
    <row r="3152" spans="1:24" s="13" customFormat="1" ht="76.5" customHeight="1" outlineLevel="1" x14ac:dyDescent="0.2">
      <c r="A3152" s="1" t="s">
        <v>2954</v>
      </c>
      <c r="B3152" s="38" t="s">
        <v>5277</v>
      </c>
      <c r="C3152" s="2" t="s">
        <v>3416</v>
      </c>
      <c r="D3152" s="2" t="s">
        <v>6054</v>
      </c>
      <c r="E3152" s="6" t="s">
        <v>6055</v>
      </c>
      <c r="F3152" s="39" t="s">
        <v>1202</v>
      </c>
      <c r="G3152" s="50" t="s">
        <v>3190</v>
      </c>
      <c r="H3152" s="5">
        <v>0</v>
      </c>
      <c r="I3152" s="6">
        <v>710000000</v>
      </c>
      <c r="J3152" s="4" t="s">
        <v>1931</v>
      </c>
      <c r="K3152" s="4" t="s">
        <v>5297</v>
      </c>
      <c r="L3152" s="2" t="s">
        <v>1940</v>
      </c>
      <c r="M3152" s="8" t="s">
        <v>3195</v>
      </c>
      <c r="N3152" s="3" t="s">
        <v>1890</v>
      </c>
      <c r="O3152" s="8" t="s">
        <v>1935</v>
      </c>
      <c r="P3152" s="8">
        <v>796</v>
      </c>
      <c r="Q3152" s="8" t="s">
        <v>3196</v>
      </c>
      <c r="R3152" s="9">
        <v>10</v>
      </c>
      <c r="S3152" s="9">
        <v>6744.64</v>
      </c>
      <c r="T3152" s="10">
        <f t="shared" si="1958"/>
        <v>67446.400000000009</v>
      </c>
      <c r="U3152" s="10">
        <f t="shared" si="1901"/>
        <v>75539.968000000023</v>
      </c>
      <c r="V3152" s="7"/>
      <c r="W3152" s="11">
        <v>2015</v>
      </c>
      <c r="X3152" s="12"/>
    </row>
    <row r="3153" spans="1:24" s="13" customFormat="1" ht="76.5" customHeight="1" outlineLevel="1" x14ac:dyDescent="0.2">
      <c r="A3153" s="1" t="s">
        <v>2955</v>
      </c>
      <c r="B3153" s="38" t="s">
        <v>5277</v>
      </c>
      <c r="C3153" s="2" t="s">
        <v>1201</v>
      </c>
      <c r="D3153" s="2" t="s">
        <v>1200</v>
      </c>
      <c r="E3153" s="2" t="s">
        <v>1199</v>
      </c>
      <c r="F3153" s="39" t="s">
        <v>1198</v>
      </c>
      <c r="G3153" s="50" t="s">
        <v>3190</v>
      </c>
      <c r="H3153" s="5">
        <v>0</v>
      </c>
      <c r="I3153" s="6">
        <v>710000000</v>
      </c>
      <c r="J3153" s="4" t="s">
        <v>1931</v>
      </c>
      <c r="K3153" s="4" t="s">
        <v>5297</v>
      </c>
      <c r="L3153" s="2" t="s">
        <v>1940</v>
      </c>
      <c r="M3153" s="8" t="s">
        <v>3195</v>
      </c>
      <c r="N3153" s="3" t="s">
        <v>1890</v>
      </c>
      <c r="O3153" s="8" t="s">
        <v>1935</v>
      </c>
      <c r="P3153" s="8">
        <v>796</v>
      </c>
      <c r="Q3153" s="8" t="s">
        <v>3196</v>
      </c>
      <c r="R3153" s="9">
        <v>4</v>
      </c>
      <c r="S3153" s="9">
        <v>33915.18</v>
      </c>
      <c r="T3153" s="10">
        <f t="shared" ref="T3153:T3202" si="1998">S3153*R3153</f>
        <v>135660.72</v>
      </c>
      <c r="U3153" s="10">
        <f t="shared" si="1901"/>
        <v>151940.00640000001</v>
      </c>
      <c r="V3153" s="7"/>
      <c r="W3153" s="11">
        <v>2015</v>
      </c>
      <c r="X3153" s="12"/>
    </row>
    <row r="3154" spans="1:24" s="13" customFormat="1" ht="76.5" customHeight="1" outlineLevel="1" x14ac:dyDescent="0.2">
      <c r="A3154" s="1" t="s">
        <v>2956</v>
      </c>
      <c r="B3154" s="38" t="s">
        <v>5277</v>
      </c>
      <c r="C3154" s="2" t="s">
        <v>1197</v>
      </c>
      <c r="D3154" s="2" t="s">
        <v>1196</v>
      </c>
      <c r="E3154" s="2" t="s">
        <v>1195</v>
      </c>
      <c r="F3154" s="39" t="s">
        <v>1194</v>
      </c>
      <c r="G3154" s="50" t="s">
        <v>3190</v>
      </c>
      <c r="H3154" s="5">
        <v>0</v>
      </c>
      <c r="I3154" s="6">
        <v>710000000</v>
      </c>
      <c r="J3154" s="4" t="s">
        <v>1931</v>
      </c>
      <c r="K3154" s="4" t="s">
        <v>5297</v>
      </c>
      <c r="L3154" s="3" t="s">
        <v>1889</v>
      </c>
      <c r="M3154" s="8" t="s">
        <v>3195</v>
      </c>
      <c r="N3154" s="3" t="s">
        <v>1890</v>
      </c>
      <c r="O3154" s="8" t="s">
        <v>1935</v>
      </c>
      <c r="P3154" s="8">
        <v>796</v>
      </c>
      <c r="Q3154" s="8" t="s">
        <v>3196</v>
      </c>
      <c r="R3154" s="9">
        <v>2</v>
      </c>
      <c r="S3154" s="9">
        <v>8035.5</v>
      </c>
      <c r="T3154" s="10">
        <f t="shared" si="1998"/>
        <v>16071</v>
      </c>
      <c r="U3154" s="10">
        <f t="shared" si="1901"/>
        <v>17999.52</v>
      </c>
      <c r="V3154" s="7"/>
      <c r="W3154" s="11">
        <v>2015</v>
      </c>
      <c r="X3154" s="12"/>
    </row>
    <row r="3155" spans="1:24" ht="76.5" customHeight="1" outlineLevel="1" x14ac:dyDescent="0.2">
      <c r="A3155" s="1" t="s">
        <v>2957</v>
      </c>
      <c r="B3155" s="38" t="s">
        <v>5277</v>
      </c>
      <c r="C3155" s="2" t="s">
        <v>1193</v>
      </c>
      <c r="D3155" s="2" t="s">
        <v>2279</v>
      </c>
      <c r="E3155" s="2" t="s">
        <v>1192</v>
      </c>
      <c r="F3155" s="25"/>
      <c r="G3155" s="50" t="s">
        <v>3190</v>
      </c>
      <c r="H3155" s="5">
        <v>0</v>
      </c>
      <c r="I3155" s="6">
        <v>710000000</v>
      </c>
      <c r="J3155" s="4" t="s">
        <v>1931</v>
      </c>
      <c r="K3155" s="4" t="s">
        <v>5297</v>
      </c>
      <c r="L3155" s="7" t="s">
        <v>1027</v>
      </c>
      <c r="M3155" s="8" t="s">
        <v>3195</v>
      </c>
      <c r="N3155" s="3" t="s">
        <v>1890</v>
      </c>
      <c r="O3155" s="8" t="s">
        <v>1935</v>
      </c>
      <c r="P3155" s="8">
        <v>796</v>
      </c>
      <c r="Q3155" s="8" t="s">
        <v>3196</v>
      </c>
      <c r="R3155" s="10">
        <v>24</v>
      </c>
      <c r="S3155" s="10">
        <v>2000</v>
      </c>
      <c r="T3155" s="10">
        <v>0</v>
      </c>
      <c r="U3155" s="10">
        <f t="shared" si="1901"/>
        <v>0</v>
      </c>
      <c r="V3155" s="7"/>
      <c r="W3155" s="11">
        <v>2015</v>
      </c>
      <c r="X3155" s="1">
        <v>11</v>
      </c>
    </row>
    <row r="3156" spans="1:24" ht="76.5" customHeight="1" outlineLevel="1" x14ac:dyDescent="0.2">
      <c r="A3156" s="1" t="s">
        <v>7550</v>
      </c>
      <c r="B3156" s="38" t="s">
        <v>5277</v>
      </c>
      <c r="C3156" s="2" t="s">
        <v>1193</v>
      </c>
      <c r="D3156" s="2" t="s">
        <v>2279</v>
      </c>
      <c r="E3156" s="2" t="s">
        <v>1192</v>
      </c>
      <c r="F3156" s="25"/>
      <c r="G3156" s="50" t="s">
        <v>3190</v>
      </c>
      <c r="H3156" s="5">
        <v>0</v>
      </c>
      <c r="I3156" s="6">
        <v>710000000</v>
      </c>
      <c r="J3156" s="4" t="s">
        <v>1931</v>
      </c>
      <c r="K3156" s="4" t="s">
        <v>5292</v>
      </c>
      <c r="L3156" s="7" t="s">
        <v>1027</v>
      </c>
      <c r="M3156" s="8" t="s">
        <v>3195</v>
      </c>
      <c r="N3156" s="3" t="s">
        <v>1890</v>
      </c>
      <c r="O3156" s="8" t="s">
        <v>1935</v>
      </c>
      <c r="P3156" s="8">
        <v>796</v>
      </c>
      <c r="Q3156" s="8" t="s">
        <v>3196</v>
      </c>
      <c r="R3156" s="10">
        <v>24</v>
      </c>
      <c r="S3156" s="10">
        <v>2000</v>
      </c>
      <c r="T3156" s="10">
        <f t="shared" ref="T3156" si="1999">S3156*R3156</f>
        <v>48000</v>
      </c>
      <c r="U3156" s="10">
        <f t="shared" ref="U3156" si="2000">T3156*1.12</f>
        <v>53760.000000000007</v>
      </c>
      <c r="V3156" s="7"/>
      <c r="W3156" s="11">
        <v>2015</v>
      </c>
      <c r="X3156" s="20"/>
    </row>
    <row r="3157" spans="1:24" s="13" customFormat="1" ht="76.5" customHeight="1" outlineLevel="1" x14ac:dyDescent="0.2">
      <c r="A3157" s="1" t="s">
        <v>2958</v>
      </c>
      <c r="B3157" s="2" t="s">
        <v>5277</v>
      </c>
      <c r="C3157" s="6" t="s">
        <v>1191</v>
      </c>
      <c r="D3157" s="6" t="s">
        <v>1190</v>
      </c>
      <c r="E3157" s="6" t="s">
        <v>1189</v>
      </c>
      <c r="F3157" s="2"/>
      <c r="G3157" s="3" t="s">
        <v>3190</v>
      </c>
      <c r="H3157" s="5">
        <v>0</v>
      </c>
      <c r="I3157" s="6">
        <v>710000000</v>
      </c>
      <c r="J3157" s="4" t="s">
        <v>1931</v>
      </c>
      <c r="K3157" s="4" t="s">
        <v>5297</v>
      </c>
      <c r="L3157" s="3" t="s">
        <v>1165</v>
      </c>
      <c r="M3157" s="8" t="s">
        <v>3195</v>
      </c>
      <c r="N3157" s="3" t="s">
        <v>1890</v>
      </c>
      <c r="O3157" s="8" t="s">
        <v>1935</v>
      </c>
      <c r="P3157" s="8">
        <v>796</v>
      </c>
      <c r="Q3157" s="8" t="s">
        <v>3196</v>
      </c>
      <c r="R3157" s="69">
        <v>1</v>
      </c>
      <c r="S3157" s="69">
        <v>17060</v>
      </c>
      <c r="T3157" s="10">
        <v>0</v>
      </c>
      <c r="U3157" s="10">
        <f t="shared" si="1901"/>
        <v>0</v>
      </c>
      <c r="V3157" s="7"/>
      <c r="W3157" s="1">
        <v>2015</v>
      </c>
      <c r="X3157" s="62">
        <v>11</v>
      </c>
    </row>
    <row r="3158" spans="1:24" s="13" customFormat="1" ht="76.5" customHeight="1" outlineLevel="1" x14ac:dyDescent="0.2">
      <c r="A3158" s="1" t="s">
        <v>8056</v>
      </c>
      <c r="B3158" s="2" t="s">
        <v>5277</v>
      </c>
      <c r="C3158" s="6" t="s">
        <v>1191</v>
      </c>
      <c r="D3158" s="6" t="s">
        <v>1190</v>
      </c>
      <c r="E3158" s="6" t="s">
        <v>1189</v>
      </c>
      <c r="F3158" s="2"/>
      <c r="G3158" s="3" t="s">
        <v>3190</v>
      </c>
      <c r="H3158" s="5">
        <v>0</v>
      </c>
      <c r="I3158" s="6">
        <v>710000000</v>
      </c>
      <c r="J3158" s="4" t="s">
        <v>1931</v>
      </c>
      <c r="K3158" s="4" t="s">
        <v>756</v>
      </c>
      <c r="L3158" s="3" t="s">
        <v>1165</v>
      </c>
      <c r="M3158" s="8" t="s">
        <v>3195</v>
      </c>
      <c r="N3158" s="3" t="s">
        <v>1890</v>
      </c>
      <c r="O3158" s="8" t="s">
        <v>1935</v>
      </c>
      <c r="P3158" s="8">
        <v>796</v>
      </c>
      <c r="Q3158" s="8" t="s">
        <v>3196</v>
      </c>
      <c r="R3158" s="69">
        <v>1</v>
      </c>
      <c r="S3158" s="69">
        <v>17060</v>
      </c>
      <c r="T3158" s="10">
        <f t="shared" ref="T3158" si="2001">S3158*R3158</f>
        <v>17060</v>
      </c>
      <c r="U3158" s="10">
        <f t="shared" ref="U3158" si="2002">T3158*1.12</f>
        <v>19107.2</v>
      </c>
      <c r="V3158" s="7"/>
      <c r="W3158" s="1">
        <v>2015</v>
      </c>
      <c r="X3158" s="62"/>
    </row>
    <row r="3159" spans="1:24" s="13" customFormat="1" ht="89.25" customHeight="1" outlineLevel="1" x14ac:dyDescent="0.2">
      <c r="A3159" s="1" t="s">
        <v>2959</v>
      </c>
      <c r="B3159" s="38" t="s">
        <v>5277</v>
      </c>
      <c r="C3159" s="5" t="s">
        <v>1188</v>
      </c>
      <c r="D3159" s="52" t="s">
        <v>1187</v>
      </c>
      <c r="E3159" s="52" t="s">
        <v>1186</v>
      </c>
      <c r="F3159" s="5" t="s">
        <v>1185</v>
      </c>
      <c r="G3159" s="50" t="s">
        <v>3190</v>
      </c>
      <c r="H3159" s="5">
        <v>0</v>
      </c>
      <c r="I3159" s="6">
        <v>710000000</v>
      </c>
      <c r="J3159" s="4" t="s">
        <v>1931</v>
      </c>
      <c r="K3159" s="4" t="s">
        <v>5297</v>
      </c>
      <c r="L3159" s="3" t="s">
        <v>1165</v>
      </c>
      <c r="M3159" s="8" t="s">
        <v>3195</v>
      </c>
      <c r="N3159" s="3" t="s">
        <v>1890</v>
      </c>
      <c r="O3159" s="8" t="s">
        <v>1935</v>
      </c>
      <c r="P3159" s="8">
        <v>796</v>
      </c>
      <c r="Q3159" s="8" t="s">
        <v>3196</v>
      </c>
      <c r="R3159" s="9">
        <f>2+1</f>
        <v>3</v>
      </c>
      <c r="S3159" s="9">
        <v>16141.07</v>
      </c>
      <c r="T3159" s="10">
        <f>S3159*R21372</f>
        <v>0</v>
      </c>
      <c r="U3159" s="10">
        <f t="shared" ref="U3159:U3160" si="2003">T3159*1.12</f>
        <v>0</v>
      </c>
      <c r="V3159" s="7"/>
      <c r="W3159" s="11">
        <v>2015</v>
      </c>
      <c r="X3159" s="12" t="s">
        <v>6562</v>
      </c>
    </row>
    <row r="3160" spans="1:24" s="13" customFormat="1" ht="89.25" customHeight="1" outlineLevel="1" x14ac:dyDescent="0.2">
      <c r="A3160" s="1" t="s">
        <v>6796</v>
      </c>
      <c r="B3160" s="2" t="s">
        <v>5277</v>
      </c>
      <c r="C3160" s="5" t="s">
        <v>1188</v>
      </c>
      <c r="D3160" s="52" t="s">
        <v>1187</v>
      </c>
      <c r="E3160" s="52" t="s">
        <v>1186</v>
      </c>
      <c r="F3160" s="5" t="s">
        <v>1185</v>
      </c>
      <c r="G3160" s="3" t="s">
        <v>3190</v>
      </c>
      <c r="H3160" s="5">
        <v>0</v>
      </c>
      <c r="I3160" s="6">
        <v>710000000</v>
      </c>
      <c r="J3160" s="4" t="s">
        <v>1931</v>
      </c>
      <c r="K3160" s="4" t="s">
        <v>5297</v>
      </c>
      <c r="L3160" s="3" t="s">
        <v>1165</v>
      </c>
      <c r="M3160" s="8" t="s">
        <v>3195</v>
      </c>
      <c r="N3160" s="3" t="s">
        <v>1890</v>
      </c>
      <c r="O3160" s="8" t="s">
        <v>1935</v>
      </c>
      <c r="P3160" s="8">
        <v>796</v>
      </c>
      <c r="Q3160" s="8" t="s">
        <v>3196</v>
      </c>
      <c r="R3160" s="69">
        <v>2</v>
      </c>
      <c r="S3160" s="69">
        <v>16141.07</v>
      </c>
      <c r="T3160" s="10">
        <v>0</v>
      </c>
      <c r="U3160" s="10">
        <f t="shared" si="2003"/>
        <v>0</v>
      </c>
      <c r="V3160" s="7"/>
      <c r="W3160" s="1">
        <v>2015</v>
      </c>
      <c r="X3160" s="62">
        <v>11</v>
      </c>
    </row>
    <row r="3161" spans="1:24" s="13" customFormat="1" ht="89.25" customHeight="1" outlineLevel="1" x14ac:dyDescent="0.2">
      <c r="A3161" s="1" t="s">
        <v>8057</v>
      </c>
      <c r="B3161" s="2" t="s">
        <v>5277</v>
      </c>
      <c r="C3161" s="5" t="s">
        <v>1188</v>
      </c>
      <c r="D3161" s="52" t="s">
        <v>1187</v>
      </c>
      <c r="E3161" s="52" t="s">
        <v>1186</v>
      </c>
      <c r="F3161" s="5" t="s">
        <v>1185</v>
      </c>
      <c r="G3161" s="3" t="s">
        <v>3190</v>
      </c>
      <c r="H3161" s="5">
        <v>0</v>
      </c>
      <c r="I3161" s="6">
        <v>710000000</v>
      </c>
      <c r="J3161" s="4" t="s">
        <v>1931</v>
      </c>
      <c r="K3161" s="4" t="s">
        <v>756</v>
      </c>
      <c r="L3161" s="3" t="s">
        <v>1165</v>
      </c>
      <c r="M3161" s="8" t="s">
        <v>3195</v>
      </c>
      <c r="N3161" s="3" t="s">
        <v>1890</v>
      </c>
      <c r="O3161" s="8" t="s">
        <v>1935</v>
      </c>
      <c r="P3161" s="8">
        <v>796</v>
      </c>
      <c r="Q3161" s="8" t="s">
        <v>3196</v>
      </c>
      <c r="R3161" s="69">
        <v>2</v>
      </c>
      <c r="S3161" s="69">
        <v>16141.07</v>
      </c>
      <c r="T3161" s="10">
        <f t="shared" ref="T3161" si="2004">S3161*R3161</f>
        <v>32282.14</v>
      </c>
      <c r="U3161" s="10">
        <f t="shared" ref="U3161" si="2005">T3161*1.12</f>
        <v>36155.996800000001</v>
      </c>
      <c r="V3161" s="7"/>
      <c r="W3161" s="1">
        <v>2015</v>
      </c>
      <c r="X3161" s="62"/>
    </row>
    <row r="3162" spans="1:24" s="13" customFormat="1" ht="89.25" customHeight="1" outlineLevel="1" x14ac:dyDescent="0.2">
      <c r="A3162" s="1" t="s">
        <v>2960</v>
      </c>
      <c r="B3162" s="2" t="s">
        <v>5277</v>
      </c>
      <c r="C3162" s="2" t="s">
        <v>1183</v>
      </c>
      <c r="D3162" s="2" t="s">
        <v>1182</v>
      </c>
      <c r="E3162" s="2" t="s">
        <v>6486</v>
      </c>
      <c r="F3162" s="2" t="s">
        <v>1184</v>
      </c>
      <c r="G3162" s="3" t="s">
        <v>3190</v>
      </c>
      <c r="H3162" s="5">
        <v>0</v>
      </c>
      <c r="I3162" s="6">
        <v>710000000</v>
      </c>
      <c r="J3162" s="4" t="s">
        <v>1931</v>
      </c>
      <c r="K3162" s="4" t="s">
        <v>5297</v>
      </c>
      <c r="L3162" s="3" t="s">
        <v>1165</v>
      </c>
      <c r="M3162" s="8" t="s">
        <v>3195</v>
      </c>
      <c r="N3162" s="3" t="s">
        <v>1890</v>
      </c>
      <c r="O3162" s="8" t="s">
        <v>1935</v>
      </c>
      <c r="P3162" s="8">
        <v>796</v>
      </c>
      <c r="Q3162" s="8" t="s">
        <v>3196</v>
      </c>
      <c r="R3162" s="69">
        <v>7</v>
      </c>
      <c r="S3162" s="69">
        <v>10935.71</v>
      </c>
      <c r="T3162" s="10">
        <v>0</v>
      </c>
      <c r="U3162" s="10">
        <f t="shared" ref="U3162:U3255" si="2006">T3162*1.12</f>
        <v>0</v>
      </c>
      <c r="V3162" s="7"/>
      <c r="W3162" s="1">
        <v>2015</v>
      </c>
      <c r="X3162" s="62">
        <v>11</v>
      </c>
    </row>
    <row r="3163" spans="1:24" s="13" customFormat="1" ht="89.25" customHeight="1" outlineLevel="1" x14ac:dyDescent="0.2">
      <c r="A3163" s="1" t="s">
        <v>8058</v>
      </c>
      <c r="B3163" s="2" t="s">
        <v>5277</v>
      </c>
      <c r="C3163" s="2" t="s">
        <v>1183</v>
      </c>
      <c r="D3163" s="2" t="s">
        <v>1182</v>
      </c>
      <c r="E3163" s="2" t="s">
        <v>6486</v>
      </c>
      <c r="F3163" s="2" t="s">
        <v>1184</v>
      </c>
      <c r="G3163" s="3" t="s">
        <v>3190</v>
      </c>
      <c r="H3163" s="5">
        <v>0</v>
      </c>
      <c r="I3163" s="6">
        <v>710000000</v>
      </c>
      <c r="J3163" s="4" t="s">
        <v>1931</v>
      </c>
      <c r="K3163" s="4" t="s">
        <v>756</v>
      </c>
      <c r="L3163" s="3" t="s">
        <v>1165</v>
      </c>
      <c r="M3163" s="8" t="s">
        <v>3195</v>
      </c>
      <c r="N3163" s="3" t="s">
        <v>1890</v>
      </c>
      <c r="O3163" s="8" t="s">
        <v>1935</v>
      </c>
      <c r="P3163" s="8">
        <v>796</v>
      </c>
      <c r="Q3163" s="8" t="s">
        <v>3196</v>
      </c>
      <c r="R3163" s="69">
        <v>7</v>
      </c>
      <c r="S3163" s="69">
        <v>10935.71</v>
      </c>
      <c r="T3163" s="10">
        <f t="shared" ref="T3163" si="2007">S3163*R3163</f>
        <v>76549.97</v>
      </c>
      <c r="U3163" s="10">
        <f t="shared" ref="U3163" si="2008">T3163*1.12</f>
        <v>85735.966400000005</v>
      </c>
      <c r="V3163" s="7"/>
      <c r="W3163" s="1">
        <v>2015</v>
      </c>
      <c r="X3163" s="62"/>
    </row>
    <row r="3164" spans="1:24" s="13" customFormat="1" ht="89.25" customHeight="1" outlineLevel="1" x14ac:dyDescent="0.2">
      <c r="A3164" s="1" t="s">
        <v>2961</v>
      </c>
      <c r="B3164" s="2" t="s">
        <v>5277</v>
      </c>
      <c r="C3164" s="2" t="s">
        <v>1183</v>
      </c>
      <c r="D3164" s="2" t="s">
        <v>1182</v>
      </c>
      <c r="E3164" s="2" t="s">
        <v>6486</v>
      </c>
      <c r="F3164" s="2" t="s">
        <v>1181</v>
      </c>
      <c r="G3164" s="3" t="s">
        <v>3190</v>
      </c>
      <c r="H3164" s="5">
        <v>0</v>
      </c>
      <c r="I3164" s="6">
        <v>710000000</v>
      </c>
      <c r="J3164" s="4" t="s">
        <v>1931</v>
      </c>
      <c r="K3164" s="4" t="s">
        <v>5297</v>
      </c>
      <c r="L3164" s="3" t="s">
        <v>1165</v>
      </c>
      <c r="M3164" s="8" t="s">
        <v>3195</v>
      </c>
      <c r="N3164" s="3" t="s">
        <v>1890</v>
      </c>
      <c r="O3164" s="8" t="s">
        <v>1935</v>
      </c>
      <c r="P3164" s="8">
        <v>796</v>
      </c>
      <c r="Q3164" s="8" t="s">
        <v>3196</v>
      </c>
      <c r="R3164" s="69">
        <f>7+1</f>
        <v>8</v>
      </c>
      <c r="S3164" s="69">
        <v>19383.93</v>
      </c>
      <c r="T3164" s="10">
        <v>0</v>
      </c>
      <c r="U3164" s="10">
        <f t="shared" si="2006"/>
        <v>0</v>
      </c>
      <c r="V3164" s="7"/>
      <c r="W3164" s="1">
        <v>2015</v>
      </c>
      <c r="X3164" s="62">
        <v>11</v>
      </c>
    </row>
    <row r="3165" spans="1:24" s="13" customFormat="1" ht="89.25" customHeight="1" outlineLevel="1" x14ac:dyDescent="0.2">
      <c r="A3165" s="1" t="s">
        <v>8059</v>
      </c>
      <c r="B3165" s="2" t="s">
        <v>5277</v>
      </c>
      <c r="C3165" s="2" t="s">
        <v>1183</v>
      </c>
      <c r="D3165" s="2" t="s">
        <v>1182</v>
      </c>
      <c r="E3165" s="2" t="s">
        <v>6486</v>
      </c>
      <c r="F3165" s="2" t="s">
        <v>1181</v>
      </c>
      <c r="G3165" s="3" t="s">
        <v>3190</v>
      </c>
      <c r="H3165" s="5">
        <v>0</v>
      </c>
      <c r="I3165" s="6">
        <v>710000000</v>
      </c>
      <c r="J3165" s="4" t="s">
        <v>1931</v>
      </c>
      <c r="K3165" s="4" t="s">
        <v>756</v>
      </c>
      <c r="L3165" s="3" t="s">
        <v>1165</v>
      </c>
      <c r="M3165" s="8" t="s">
        <v>3195</v>
      </c>
      <c r="N3165" s="3" t="s">
        <v>1890</v>
      </c>
      <c r="O3165" s="8" t="s">
        <v>1935</v>
      </c>
      <c r="P3165" s="8">
        <v>796</v>
      </c>
      <c r="Q3165" s="8" t="s">
        <v>3196</v>
      </c>
      <c r="R3165" s="69">
        <f>7+1</f>
        <v>8</v>
      </c>
      <c r="S3165" s="69">
        <v>19383.93</v>
      </c>
      <c r="T3165" s="10">
        <f t="shared" ref="T3165" si="2009">S3165*R3165</f>
        <v>155071.44</v>
      </c>
      <c r="U3165" s="10">
        <f t="shared" ref="U3165" si="2010">T3165*1.12</f>
        <v>173680.01280000003</v>
      </c>
      <c r="V3165" s="7"/>
      <c r="W3165" s="1">
        <v>2015</v>
      </c>
      <c r="X3165" s="62"/>
    </row>
    <row r="3166" spans="1:24" s="13" customFormat="1" ht="76.5" customHeight="1" outlineLevel="1" x14ac:dyDescent="0.2">
      <c r="A3166" s="1" t="s">
        <v>2962</v>
      </c>
      <c r="B3166" s="2" t="s">
        <v>5277</v>
      </c>
      <c r="C3166" s="6" t="s">
        <v>1180</v>
      </c>
      <c r="D3166" s="6" t="s">
        <v>1179</v>
      </c>
      <c r="E3166" s="6" t="s">
        <v>1179</v>
      </c>
      <c r="F3166" s="2" t="s">
        <v>1178</v>
      </c>
      <c r="G3166" s="3" t="s">
        <v>3190</v>
      </c>
      <c r="H3166" s="5">
        <v>0</v>
      </c>
      <c r="I3166" s="6">
        <v>710000000</v>
      </c>
      <c r="J3166" s="4" t="s">
        <v>1931</v>
      </c>
      <c r="K3166" s="4" t="s">
        <v>5297</v>
      </c>
      <c r="L3166" s="3" t="s">
        <v>1165</v>
      </c>
      <c r="M3166" s="8" t="s">
        <v>3195</v>
      </c>
      <c r="N3166" s="3" t="s">
        <v>1890</v>
      </c>
      <c r="O3166" s="8" t="s">
        <v>1935</v>
      </c>
      <c r="P3166" s="8">
        <v>796</v>
      </c>
      <c r="Q3166" s="8" t="s">
        <v>3196</v>
      </c>
      <c r="R3166" s="69">
        <f>1+1</f>
        <v>2</v>
      </c>
      <c r="S3166" s="69">
        <v>21368.75</v>
      </c>
      <c r="T3166" s="10">
        <v>0</v>
      </c>
      <c r="U3166" s="10">
        <f t="shared" si="2006"/>
        <v>0</v>
      </c>
      <c r="V3166" s="7"/>
      <c r="W3166" s="1">
        <v>2015</v>
      </c>
      <c r="X3166" s="62">
        <v>11</v>
      </c>
    </row>
    <row r="3167" spans="1:24" s="13" customFormat="1" ht="76.5" customHeight="1" outlineLevel="1" x14ac:dyDescent="0.2">
      <c r="A3167" s="1" t="s">
        <v>8060</v>
      </c>
      <c r="B3167" s="2" t="s">
        <v>5277</v>
      </c>
      <c r="C3167" s="6" t="s">
        <v>1180</v>
      </c>
      <c r="D3167" s="6" t="s">
        <v>1179</v>
      </c>
      <c r="E3167" s="6" t="s">
        <v>1179</v>
      </c>
      <c r="F3167" s="2" t="s">
        <v>1178</v>
      </c>
      <c r="G3167" s="3" t="s">
        <v>3190</v>
      </c>
      <c r="H3167" s="5">
        <v>0</v>
      </c>
      <c r="I3167" s="6">
        <v>710000000</v>
      </c>
      <c r="J3167" s="4" t="s">
        <v>1931</v>
      </c>
      <c r="K3167" s="4" t="s">
        <v>756</v>
      </c>
      <c r="L3167" s="3" t="s">
        <v>1165</v>
      </c>
      <c r="M3167" s="8" t="s">
        <v>3195</v>
      </c>
      <c r="N3167" s="3" t="s">
        <v>1890</v>
      </c>
      <c r="O3167" s="8" t="s">
        <v>1935</v>
      </c>
      <c r="P3167" s="8">
        <v>796</v>
      </c>
      <c r="Q3167" s="8" t="s">
        <v>3196</v>
      </c>
      <c r="R3167" s="69">
        <f>1+1</f>
        <v>2</v>
      </c>
      <c r="S3167" s="69">
        <v>21368.75</v>
      </c>
      <c r="T3167" s="10">
        <f t="shared" ref="T3167" si="2011">S3167*R3167</f>
        <v>42737.5</v>
      </c>
      <c r="U3167" s="10">
        <f t="shared" ref="U3167" si="2012">T3167*1.12</f>
        <v>47866.000000000007</v>
      </c>
      <c r="V3167" s="7"/>
      <c r="W3167" s="1">
        <v>2015</v>
      </c>
      <c r="X3167" s="62"/>
    </row>
    <row r="3168" spans="1:24" s="13" customFormat="1" ht="76.5" customHeight="1" outlineLevel="1" x14ac:dyDescent="0.2">
      <c r="A3168" s="1" t="s">
        <v>2963</v>
      </c>
      <c r="B3168" s="2" t="s">
        <v>5277</v>
      </c>
      <c r="C3168" s="6" t="s">
        <v>1177</v>
      </c>
      <c r="D3168" s="6" t="s">
        <v>1176</v>
      </c>
      <c r="E3168" s="6" t="s">
        <v>1175</v>
      </c>
      <c r="F3168" s="2" t="s">
        <v>1174</v>
      </c>
      <c r="G3168" s="3" t="s">
        <v>3190</v>
      </c>
      <c r="H3168" s="5">
        <v>0</v>
      </c>
      <c r="I3168" s="6">
        <v>710000000</v>
      </c>
      <c r="J3168" s="4" t="s">
        <v>1931</v>
      </c>
      <c r="K3168" s="4" t="s">
        <v>5297</v>
      </c>
      <c r="L3168" s="3" t="s">
        <v>1165</v>
      </c>
      <c r="M3168" s="8" t="s">
        <v>3195</v>
      </c>
      <c r="N3168" s="3" t="s">
        <v>1890</v>
      </c>
      <c r="O3168" s="8" t="s">
        <v>1935</v>
      </c>
      <c r="P3168" s="8">
        <v>796</v>
      </c>
      <c r="Q3168" s="8" t="s">
        <v>3196</v>
      </c>
      <c r="R3168" s="69">
        <v>1</v>
      </c>
      <c r="S3168" s="69">
        <v>23921.43</v>
      </c>
      <c r="T3168" s="10">
        <v>0</v>
      </c>
      <c r="U3168" s="10">
        <f t="shared" si="2006"/>
        <v>0</v>
      </c>
      <c r="V3168" s="7"/>
      <c r="W3168" s="1">
        <v>2015</v>
      </c>
      <c r="X3168" s="62">
        <v>11</v>
      </c>
    </row>
    <row r="3169" spans="1:24" s="13" customFormat="1" ht="76.5" customHeight="1" outlineLevel="1" x14ac:dyDescent="0.2">
      <c r="A3169" s="1" t="s">
        <v>8061</v>
      </c>
      <c r="B3169" s="2" t="s">
        <v>5277</v>
      </c>
      <c r="C3169" s="6" t="s">
        <v>1177</v>
      </c>
      <c r="D3169" s="6" t="s">
        <v>1176</v>
      </c>
      <c r="E3169" s="6" t="s">
        <v>1175</v>
      </c>
      <c r="F3169" s="2" t="s">
        <v>1174</v>
      </c>
      <c r="G3169" s="3" t="s">
        <v>3190</v>
      </c>
      <c r="H3169" s="5">
        <v>0</v>
      </c>
      <c r="I3169" s="6">
        <v>710000000</v>
      </c>
      <c r="J3169" s="4" t="s">
        <v>1931</v>
      </c>
      <c r="K3169" s="4" t="s">
        <v>756</v>
      </c>
      <c r="L3169" s="3" t="s">
        <v>1165</v>
      </c>
      <c r="M3169" s="8" t="s">
        <v>3195</v>
      </c>
      <c r="N3169" s="3" t="s">
        <v>1890</v>
      </c>
      <c r="O3169" s="8" t="s">
        <v>1935</v>
      </c>
      <c r="P3169" s="8">
        <v>796</v>
      </c>
      <c r="Q3169" s="8" t="s">
        <v>3196</v>
      </c>
      <c r="R3169" s="69">
        <v>1</v>
      </c>
      <c r="S3169" s="69">
        <v>23921.43</v>
      </c>
      <c r="T3169" s="10">
        <f t="shared" ref="T3169" si="2013">S3169*R3169</f>
        <v>23921.43</v>
      </c>
      <c r="U3169" s="10">
        <f t="shared" ref="U3169" si="2014">T3169*1.12</f>
        <v>26792.001600000003</v>
      </c>
      <c r="V3169" s="7"/>
      <c r="W3169" s="1">
        <v>2015</v>
      </c>
      <c r="X3169" s="62"/>
    </row>
    <row r="3170" spans="1:24" s="13" customFormat="1" ht="76.5" customHeight="1" outlineLevel="1" x14ac:dyDescent="0.2">
      <c r="A3170" s="1" t="s">
        <v>2964</v>
      </c>
      <c r="B3170" s="38" t="s">
        <v>5277</v>
      </c>
      <c r="C3170" s="6" t="s">
        <v>1173</v>
      </c>
      <c r="D3170" s="6" t="s">
        <v>1172</v>
      </c>
      <c r="E3170" s="6" t="s">
        <v>1171</v>
      </c>
      <c r="F3170" s="39"/>
      <c r="G3170" s="50" t="s">
        <v>3190</v>
      </c>
      <c r="H3170" s="5">
        <v>0</v>
      </c>
      <c r="I3170" s="6">
        <v>710000000</v>
      </c>
      <c r="J3170" s="4" t="s">
        <v>1931</v>
      </c>
      <c r="K3170" s="4" t="s">
        <v>5297</v>
      </c>
      <c r="L3170" s="3" t="s">
        <v>1165</v>
      </c>
      <c r="M3170" s="8" t="s">
        <v>3195</v>
      </c>
      <c r="N3170" s="3" t="s">
        <v>1890</v>
      </c>
      <c r="O3170" s="8" t="s">
        <v>1935</v>
      </c>
      <c r="P3170" s="8">
        <v>796</v>
      </c>
      <c r="Q3170" s="8" t="s">
        <v>3196</v>
      </c>
      <c r="R3170" s="9">
        <f>1+1</f>
        <v>2</v>
      </c>
      <c r="S3170" s="9">
        <v>16000</v>
      </c>
      <c r="T3170" s="10">
        <v>0</v>
      </c>
      <c r="U3170" s="10">
        <f t="shared" si="2006"/>
        <v>0</v>
      </c>
      <c r="V3170" s="7"/>
      <c r="W3170" s="11">
        <v>2015</v>
      </c>
      <c r="X3170" s="12" t="s">
        <v>6562</v>
      </c>
    </row>
    <row r="3171" spans="1:24" s="13" customFormat="1" ht="76.5" customHeight="1" outlineLevel="1" x14ac:dyDescent="0.2">
      <c r="A3171" s="1" t="s">
        <v>6797</v>
      </c>
      <c r="B3171" s="2" t="s">
        <v>5277</v>
      </c>
      <c r="C3171" s="6" t="s">
        <v>1173</v>
      </c>
      <c r="D3171" s="6" t="s">
        <v>1172</v>
      </c>
      <c r="E3171" s="6" t="s">
        <v>1171</v>
      </c>
      <c r="F3171" s="2"/>
      <c r="G3171" s="3" t="s">
        <v>3190</v>
      </c>
      <c r="H3171" s="5">
        <v>0</v>
      </c>
      <c r="I3171" s="6">
        <v>710000000</v>
      </c>
      <c r="J3171" s="4" t="s">
        <v>1931</v>
      </c>
      <c r="K3171" s="4" t="s">
        <v>5297</v>
      </c>
      <c r="L3171" s="3" t="s">
        <v>1165</v>
      </c>
      <c r="M3171" s="8" t="s">
        <v>3195</v>
      </c>
      <c r="N3171" s="3" t="s">
        <v>1890</v>
      </c>
      <c r="O3171" s="8" t="s">
        <v>1935</v>
      </c>
      <c r="P3171" s="8">
        <v>796</v>
      </c>
      <c r="Q3171" s="8" t="s">
        <v>3196</v>
      </c>
      <c r="R3171" s="69">
        <v>1</v>
      </c>
      <c r="S3171" s="69">
        <v>16000</v>
      </c>
      <c r="T3171" s="10">
        <v>0</v>
      </c>
      <c r="U3171" s="10">
        <f t="shared" si="2006"/>
        <v>0</v>
      </c>
      <c r="V3171" s="7"/>
      <c r="W3171" s="1">
        <v>2015</v>
      </c>
      <c r="X3171" s="62">
        <v>11</v>
      </c>
    </row>
    <row r="3172" spans="1:24" s="13" customFormat="1" ht="76.5" customHeight="1" outlineLevel="1" x14ac:dyDescent="0.2">
      <c r="A3172" s="1" t="s">
        <v>8062</v>
      </c>
      <c r="B3172" s="2" t="s">
        <v>5277</v>
      </c>
      <c r="C3172" s="6" t="s">
        <v>1173</v>
      </c>
      <c r="D3172" s="6" t="s">
        <v>1172</v>
      </c>
      <c r="E3172" s="6" t="s">
        <v>1171</v>
      </c>
      <c r="F3172" s="2"/>
      <c r="G3172" s="3" t="s">
        <v>3190</v>
      </c>
      <c r="H3172" s="5">
        <v>0</v>
      </c>
      <c r="I3172" s="6">
        <v>710000000</v>
      </c>
      <c r="J3172" s="4" t="s">
        <v>1931</v>
      </c>
      <c r="K3172" s="4" t="s">
        <v>756</v>
      </c>
      <c r="L3172" s="3" t="s">
        <v>1165</v>
      </c>
      <c r="M3172" s="8" t="s">
        <v>3195</v>
      </c>
      <c r="N3172" s="3" t="s">
        <v>1890</v>
      </c>
      <c r="O3172" s="8" t="s">
        <v>1935</v>
      </c>
      <c r="P3172" s="8">
        <v>796</v>
      </c>
      <c r="Q3172" s="8" t="s">
        <v>3196</v>
      </c>
      <c r="R3172" s="69">
        <v>1</v>
      </c>
      <c r="S3172" s="69">
        <v>16000</v>
      </c>
      <c r="T3172" s="10">
        <f t="shared" ref="T3172" si="2015">S3172*R3172</f>
        <v>16000</v>
      </c>
      <c r="U3172" s="10">
        <f t="shared" ref="U3172" si="2016">T3172*1.12</f>
        <v>17920</v>
      </c>
      <c r="V3172" s="7"/>
      <c r="W3172" s="1">
        <v>2015</v>
      </c>
      <c r="X3172" s="62"/>
    </row>
    <row r="3173" spans="1:24" s="13" customFormat="1" ht="76.5" customHeight="1" outlineLevel="1" x14ac:dyDescent="0.2">
      <c r="A3173" s="1" t="s">
        <v>2965</v>
      </c>
      <c r="B3173" s="38" t="s">
        <v>5277</v>
      </c>
      <c r="C3173" s="5" t="s">
        <v>1170</v>
      </c>
      <c r="D3173" s="52" t="s">
        <v>1169</v>
      </c>
      <c r="E3173" s="52" t="s">
        <v>1168</v>
      </c>
      <c r="F3173" s="5" t="s">
        <v>1167</v>
      </c>
      <c r="G3173" s="50" t="s">
        <v>3190</v>
      </c>
      <c r="H3173" s="5">
        <v>0</v>
      </c>
      <c r="I3173" s="6">
        <v>710000000</v>
      </c>
      <c r="J3173" s="4" t="s">
        <v>1931</v>
      </c>
      <c r="K3173" s="4" t="s">
        <v>5297</v>
      </c>
      <c r="L3173" s="3" t="s">
        <v>1165</v>
      </c>
      <c r="M3173" s="8" t="s">
        <v>3195</v>
      </c>
      <c r="N3173" s="3" t="s">
        <v>1890</v>
      </c>
      <c r="O3173" s="8" t="s">
        <v>1935</v>
      </c>
      <c r="P3173" s="8">
        <v>796</v>
      </c>
      <c r="Q3173" s="8" t="s">
        <v>3196</v>
      </c>
      <c r="R3173" s="9">
        <v>1</v>
      </c>
      <c r="S3173" s="9">
        <v>84644</v>
      </c>
      <c r="T3173" s="10">
        <v>0</v>
      </c>
      <c r="U3173" s="10">
        <f t="shared" si="2006"/>
        <v>0</v>
      </c>
      <c r="V3173" s="7"/>
      <c r="W3173" s="11">
        <v>2015</v>
      </c>
      <c r="X3173" s="12" t="s">
        <v>6565</v>
      </c>
    </row>
    <row r="3174" spans="1:24" s="13" customFormat="1" ht="76.5" customHeight="1" outlineLevel="1" x14ac:dyDescent="0.2">
      <c r="A3174" s="1" t="s">
        <v>2966</v>
      </c>
      <c r="B3174" s="38" t="s">
        <v>5277</v>
      </c>
      <c r="C3174" s="6" t="s">
        <v>3398</v>
      </c>
      <c r="D3174" s="6" t="s">
        <v>6078</v>
      </c>
      <c r="E3174" s="6" t="s">
        <v>1166</v>
      </c>
      <c r="F3174" s="39"/>
      <c r="G3174" s="50" t="s">
        <v>3190</v>
      </c>
      <c r="H3174" s="5">
        <v>0</v>
      </c>
      <c r="I3174" s="6">
        <v>710000000</v>
      </c>
      <c r="J3174" s="4" t="s">
        <v>1931</v>
      </c>
      <c r="K3174" s="4" t="s">
        <v>5297</v>
      </c>
      <c r="L3174" s="3" t="s">
        <v>1165</v>
      </c>
      <c r="M3174" s="8" t="s">
        <v>3195</v>
      </c>
      <c r="N3174" s="3" t="s">
        <v>1890</v>
      </c>
      <c r="O3174" s="8" t="s">
        <v>1935</v>
      </c>
      <c r="P3174" s="8">
        <v>796</v>
      </c>
      <c r="Q3174" s="8" t="s">
        <v>3196</v>
      </c>
      <c r="R3174" s="9">
        <v>3</v>
      </c>
      <c r="S3174" s="9">
        <v>3283</v>
      </c>
      <c r="T3174" s="10">
        <v>0</v>
      </c>
      <c r="U3174" s="10">
        <f t="shared" si="2006"/>
        <v>0</v>
      </c>
      <c r="V3174" s="7"/>
      <c r="W3174" s="11">
        <v>2015</v>
      </c>
      <c r="X3174" s="12" t="s">
        <v>6562</v>
      </c>
    </row>
    <row r="3175" spans="1:24" s="13" customFormat="1" ht="76.5" customHeight="1" outlineLevel="1" x14ac:dyDescent="0.2">
      <c r="A3175" s="1" t="s">
        <v>6798</v>
      </c>
      <c r="B3175" s="2" t="s">
        <v>5277</v>
      </c>
      <c r="C3175" s="6" t="s">
        <v>3398</v>
      </c>
      <c r="D3175" s="6" t="s">
        <v>6078</v>
      </c>
      <c r="E3175" s="6" t="s">
        <v>1166</v>
      </c>
      <c r="F3175" s="2"/>
      <c r="G3175" s="3" t="s">
        <v>3190</v>
      </c>
      <c r="H3175" s="5">
        <v>0</v>
      </c>
      <c r="I3175" s="6">
        <v>710000000</v>
      </c>
      <c r="J3175" s="4" t="s">
        <v>1931</v>
      </c>
      <c r="K3175" s="4" t="s">
        <v>5297</v>
      </c>
      <c r="L3175" s="3" t="s">
        <v>1165</v>
      </c>
      <c r="M3175" s="8" t="s">
        <v>3195</v>
      </c>
      <c r="N3175" s="3" t="s">
        <v>1890</v>
      </c>
      <c r="O3175" s="8" t="s">
        <v>1935</v>
      </c>
      <c r="P3175" s="8">
        <v>796</v>
      </c>
      <c r="Q3175" s="8" t="s">
        <v>3196</v>
      </c>
      <c r="R3175" s="69">
        <v>2</v>
      </c>
      <c r="S3175" s="69">
        <v>3283</v>
      </c>
      <c r="T3175" s="10">
        <v>0</v>
      </c>
      <c r="U3175" s="10">
        <f t="shared" si="2006"/>
        <v>0</v>
      </c>
      <c r="V3175" s="7"/>
      <c r="W3175" s="1">
        <v>2015</v>
      </c>
      <c r="X3175" s="62">
        <v>11</v>
      </c>
    </row>
    <row r="3176" spans="1:24" s="13" customFormat="1" ht="76.5" customHeight="1" outlineLevel="1" x14ac:dyDescent="0.2">
      <c r="A3176" s="1" t="s">
        <v>8063</v>
      </c>
      <c r="B3176" s="2" t="s">
        <v>5277</v>
      </c>
      <c r="C3176" s="6" t="s">
        <v>3398</v>
      </c>
      <c r="D3176" s="6" t="s">
        <v>6078</v>
      </c>
      <c r="E3176" s="6" t="s">
        <v>1166</v>
      </c>
      <c r="F3176" s="2"/>
      <c r="G3176" s="3" t="s">
        <v>3190</v>
      </c>
      <c r="H3176" s="5">
        <v>0</v>
      </c>
      <c r="I3176" s="6">
        <v>710000000</v>
      </c>
      <c r="J3176" s="4" t="s">
        <v>1931</v>
      </c>
      <c r="K3176" s="4" t="s">
        <v>756</v>
      </c>
      <c r="L3176" s="3" t="s">
        <v>1165</v>
      </c>
      <c r="M3176" s="8" t="s">
        <v>3195</v>
      </c>
      <c r="N3176" s="3" t="s">
        <v>1890</v>
      </c>
      <c r="O3176" s="8" t="s">
        <v>1935</v>
      </c>
      <c r="P3176" s="8">
        <v>796</v>
      </c>
      <c r="Q3176" s="8" t="s">
        <v>3196</v>
      </c>
      <c r="R3176" s="69">
        <v>2</v>
      </c>
      <c r="S3176" s="69">
        <v>3283</v>
      </c>
      <c r="T3176" s="10">
        <f>S3176*R3176</f>
        <v>6566</v>
      </c>
      <c r="U3176" s="10">
        <f>T3176*1.12</f>
        <v>7353.920000000001</v>
      </c>
      <c r="V3176" s="7"/>
      <c r="W3176" s="1">
        <v>2015</v>
      </c>
      <c r="X3176" s="62"/>
    </row>
    <row r="3177" spans="1:24" s="13" customFormat="1" ht="76.5" customHeight="1" outlineLevel="1" x14ac:dyDescent="0.2">
      <c r="A3177" s="1" t="s">
        <v>8140</v>
      </c>
      <c r="B3177" s="38" t="s">
        <v>5277</v>
      </c>
      <c r="C3177" s="2" t="s">
        <v>8141</v>
      </c>
      <c r="D3177" s="2" t="s">
        <v>8142</v>
      </c>
      <c r="E3177" s="6" t="s">
        <v>8143</v>
      </c>
      <c r="F3177" s="52" t="s">
        <v>8144</v>
      </c>
      <c r="G3177" s="50" t="s">
        <v>3190</v>
      </c>
      <c r="H3177" s="5">
        <v>0</v>
      </c>
      <c r="I3177" s="6">
        <v>710000000</v>
      </c>
      <c r="J3177" s="4" t="s">
        <v>1931</v>
      </c>
      <c r="K3177" s="4" t="s">
        <v>5297</v>
      </c>
      <c r="L3177" s="3" t="s">
        <v>1889</v>
      </c>
      <c r="M3177" s="8" t="s">
        <v>3195</v>
      </c>
      <c r="N3177" s="3" t="s">
        <v>1890</v>
      </c>
      <c r="O3177" s="8" t="s">
        <v>1935</v>
      </c>
      <c r="P3177" s="8">
        <v>796</v>
      </c>
      <c r="Q3177" s="8" t="s">
        <v>3196</v>
      </c>
      <c r="R3177" s="9">
        <v>1</v>
      </c>
      <c r="S3177" s="9">
        <v>13393</v>
      </c>
      <c r="T3177" s="10">
        <f t="shared" ref="T3177:T3178" si="2017">S3177*R3177</f>
        <v>13393</v>
      </c>
      <c r="U3177" s="10">
        <f t="shared" si="2006"/>
        <v>15000.160000000002</v>
      </c>
      <c r="V3177" s="7"/>
      <c r="W3177" s="11">
        <v>2015</v>
      </c>
      <c r="X3177" s="12"/>
    </row>
    <row r="3178" spans="1:24" s="13" customFormat="1" ht="76.5" customHeight="1" outlineLevel="1" x14ac:dyDescent="0.2">
      <c r="A3178" s="1" t="s">
        <v>8145</v>
      </c>
      <c r="B3178" s="38" t="s">
        <v>5277</v>
      </c>
      <c r="C3178" s="2" t="s">
        <v>8146</v>
      </c>
      <c r="D3178" s="2" t="s">
        <v>8147</v>
      </c>
      <c r="E3178" s="6" t="s">
        <v>8148</v>
      </c>
      <c r="F3178" s="52" t="s">
        <v>8149</v>
      </c>
      <c r="G3178" s="50" t="s">
        <v>3190</v>
      </c>
      <c r="H3178" s="5">
        <v>0</v>
      </c>
      <c r="I3178" s="6">
        <v>710000000</v>
      </c>
      <c r="J3178" s="4" t="s">
        <v>1931</v>
      </c>
      <c r="K3178" s="4" t="s">
        <v>5297</v>
      </c>
      <c r="L3178" s="3" t="s">
        <v>1889</v>
      </c>
      <c r="M3178" s="8" t="s">
        <v>3195</v>
      </c>
      <c r="N3178" s="3" t="s">
        <v>1890</v>
      </c>
      <c r="O3178" s="8" t="s">
        <v>1935</v>
      </c>
      <c r="P3178" s="8">
        <v>796</v>
      </c>
      <c r="Q3178" s="8" t="s">
        <v>3196</v>
      </c>
      <c r="R3178" s="9">
        <v>1</v>
      </c>
      <c r="S3178" s="9">
        <v>22321</v>
      </c>
      <c r="T3178" s="10">
        <f t="shared" si="2017"/>
        <v>22321</v>
      </c>
      <c r="U3178" s="10">
        <f t="shared" si="2006"/>
        <v>24999.520000000004</v>
      </c>
      <c r="V3178" s="7"/>
      <c r="W3178" s="11">
        <v>2015</v>
      </c>
      <c r="X3178" s="12"/>
    </row>
    <row r="3179" spans="1:24" ht="76.5" customHeight="1" outlineLevel="1" x14ac:dyDescent="0.2">
      <c r="A3179" s="1" t="s">
        <v>8150</v>
      </c>
      <c r="B3179" s="38" t="s">
        <v>5277</v>
      </c>
      <c r="C3179" s="2" t="s">
        <v>8151</v>
      </c>
      <c r="D3179" s="2" t="s">
        <v>8152</v>
      </c>
      <c r="E3179" s="2" t="s">
        <v>8153</v>
      </c>
      <c r="F3179" s="25"/>
      <c r="G3179" s="50" t="s">
        <v>3190</v>
      </c>
      <c r="H3179" s="5">
        <v>0</v>
      </c>
      <c r="I3179" s="6">
        <v>710000000</v>
      </c>
      <c r="J3179" s="4" t="s">
        <v>1931</v>
      </c>
      <c r="K3179" s="4" t="s">
        <v>5297</v>
      </c>
      <c r="L3179" s="7" t="s">
        <v>1027</v>
      </c>
      <c r="M3179" s="8" t="s">
        <v>3195</v>
      </c>
      <c r="N3179" s="3" t="s">
        <v>1890</v>
      </c>
      <c r="O3179" s="8" t="s">
        <v>1935</v>
      </c>
      <c r="P3179" s="8">
        <v>796</v>
      </c>
      <c r="Q3179" s="8" t="s">
        <v>3196</v>
      </c>
      <c r="R3179" s="10">
        <v>16</v>
      </c>
      <c r="S3179" s="10">
        <v>22500</v>
      </c>
      <c r="T3179" s="10">
        <v>0</v>
      </c>
      <c r="U3179" s="10">
        <f t="shared" si="2006"/>
        <v>0</v>
      </c>
      <c r="V3179" s="7"/>
      <c r="W3179" s="11">
        <v>2015</v>
      </c>
      <c r="X3179" s="1">
        <v>11</v>
      </c>
    </row>
    <row r="3180" spans="1:24" ht="76.5" customHeight="1" outlineLevel="1" x14ac:dyDescent="0.2">
      <c r="A3180" s="1" t="s">
        <v>8154</v>
      </c>
      <c r="B3180" s="38" t="s">
        <v>5277</v>
      </c>
      <c r="C3180" s="2" t="s">
        <v>8151</v>
      </c>
      <c r="D3180" s="2" t="s">
        <v>8152</v>
      </c>
      <c r="E3180" s="2" t="s">
        <v>8153</v>
      </c>
      <c r="F3180" s="25"/>
      <c r="G3180" s="50" t="s">
        <v>3190</v>
      </c>
      <c r="H3180" s="5">
        <v>0</v>
      </c>
      <c r="I3180" s="6">
        <v>710000000</v>
      </c>
      <c r="J3180" s="4" t="s">
        <v>1931</v>
      </c>
      <c r="K3180" s="4" t="s">
        <v>5292</v>
      </c>
      <c r="L3180" s="7" t="s">
        <v>1027</v>
      </c>
      <c r="M3180" s="8" t="s">
        <v>3195</v>
      </c>
      <c r="N3180" s="3" t="s">
        <v>1890</v>
      </c>
      <c r="O3180" s="8" t="s">
        <v>1935</v>
      </c>
      <c r="P3180" s="8">
        <v>796</v>
      </c>
      <c r="Q3180" s="8" t="s">
        <v>3196</v>
      </c>
      <c r="R3180" s="10">
        <v>16</v>
      </c>
      <c r="S3180" s="10">
        <v>22500</v>
      </c>
      <c r="T3180" s="10">
        <f t="shared" ref="T3180" si="2018">S3180*R3180</f>
        <v>360000</v>
      </c>
      <c r="U3180" s="10">
        <f t="shared" si="2006"/>
        <v>403200.00000000006</v>
      </c>
      <c r="V3180" s="7"/>
      <c r="W3180" s="11">
        <v>2015</v>
      </c>
      <c r="X3180" s="20"/>
    </row>
    <row r="3181" spans="1:24" s="28" customFormat="1" ht="76.5" customHeight="1" outlineLevel="1" x14ac:dyDescent="0.2">
      <c r="A3181" s="1" t="s">
        <v>8155</v>
      </c>
      <c r="B3181" s="220" t="s">
        <v>5277</v>
      </c>
      <c r="C3181" s="7" t="s">
        <v>8156</v>
      </c>
      <c r="D3181" s="7" t="s">
        <v>5529</v>
      </c>
      <c r="E3181" s="7" t="s">
        <v>8157</v>
      </c>
      <c r="F3181" s="7" t="s">
        <v>8158</v>
      </c>
      <c r="G3181" s="7" t="s">
        <v>3190</v>
      </c>
      <c r="H3181" s="22">
        <v>0</v>
      </c>
      <c r="I3181" s="7">
        <v>710000000</v>
      </c>
      <c r="J3181" s="4" t="s">
        <v>1931</v>
      </c>
      <c r="K3181" s="4" t="s">
        <v>5282</v>
      </c>
      <c r="L3181" s="4" t="s">
        <v>5689</v>
      </c>
      <c r="M3181" s="8" t="s">
        <v>3195</v>
      </c>
      <c r="N3181" s="4" t="s">
        <v>1890</v>
      </c>
      <c r="O3181" s="8" t="s">
        <v>1935</v>
      </c>
      <c r="P3181" s="8">
        <v>796</v>
      </c>
      <c r="Q3181" s="8" t="s">
        <v>3196</v>
      </c>
      <c r="R3181" s="10">
        <v>3</v>
      </c>
      <c r="S3181" s="10">
        <v>450</v>
      </c>
      <c r="T3181" s="10">
        <v>0</v>
      </c>
      <c r="U3181" s="10">
        <f t="shared" si="2006"/>
        <v>0</v>
      </c>
      <c r="V3181" s="7"/>
      <c r="W3181" s="11">
        <v>2015</v>
      </c>
      <c r="X3181" s="1" t="s">
        <v>6565</v>
      </c>
    </row>
    <row r="3182" spans="1:24" s="28" customFormat="1" ht="76.5" customHeight="1" outlineLevel="1" x14ac:dyDescent="0.2">
      <c r="A3182" s="1" t="s">
        <v>8159</v>
      </c>
      <c r="B3182" s="220" t="s">
        <v>5277</v>
      </c>
      <c r="C3182" s="7" t="s">
        <v>8160</v>
      </c>
      <c r="D3182" s="7" t="s">
        <v>8161</v>
      </c>
      <c r="E3182" s="7" t="s">
        <v>8162</v>
      </c>
      <c r="F3182" s="7" t="s">
        <v>8163</v>
      </c>
      <c r="G3182" s="7" t="s">
        <v>3190</v>
      </c>
      <c r="H3182" s="22">
        <v>0</v>
      </c>
      <c r="I3182" s="7">
        <v>710000000</v>
      </c>
      <c r="J3182" s="4" t="s">
        <v>1931</v>
      </c>
      <c r="K3182" s="4" t="s">
        <v>5282</v>
      </c>
      <c r="L3182" s="4" t="s">
        <v>5689</v>
      </c>
      <c r="M3182" s="8" t="s">
        <v>3195</v>
      </c>
      <c r="N3182" s="4" t="s">
        <v>1890</v>
      </c>
      <c r="O3182" s="8" t="s">
        <v>1935</v>
      </c>
      <c r="P3182" s="8">
        <v>796</v>
      </c>
      <c r="Q3182" s="8" t="s">
        <v>3196</v>
      </c>
      <c r="R3182" s="10">
        <v>3</v>
      </c>
      <c r="S3182" s="10">
        <v>800</v>
      </c>
      <c r="T3182" s="10">
        <v>0</v>
      </c>
      <c r="U3182" s="10">
        <f t="shared" si="2006"/>
        <v>0</v>
      </c>
      <c r="V3182" s="7"/>
      <c r="W3182" s="11">
        <v>2015</v>
      </c>
      <c r="X3182" s="1" t="s">
        <v>6565</v>
      </c>
    </row>
    <row r="3183" spans="1:24" ht="76.5" customHeight="1" outlineLevel="1" x14ac:dyDescent="0.2">
      <c r="A3183" s="1" t="s">
        <v>8164</v>
      </c>
      <c r="B3183" s="220" t="s">
        <v>5277</v>
      </c>
      <c r="C3183" s="7" t="s">
        <v>8165</v>
      </c>
      <c r="D3183" s="7" t="s">
        <v>5189</v>
      </c>
      <c r="E3183" s="7" t="s">
        <v>5557</v>
      </c>
      <c r="F3183" s="7" t="s">
        <v>8166</v>
      </c>
      <c r="G3183" s="4" t="s">
        <v>3190</v>
      </c>
      <c r="H3183" s="22">
        <v>0</v>
      </c>
      <c r="I3183" s="18">
        <v>710000000</v>
      </c>
      <c r="J3183" s="4" t="s">
        <v>1931</v>
      </c>
      <c r="K3183" s="4" t="s">
        <v>5282</v>
      </c>
      <c r="L3183" s="4" t="s">
        <v>5689</v>
      </c>
      <c r="M3183" s="8" t="s">
        <v>3195</v>
      </c>
      <c r="N3183" s="4" t="s">
        <v>1890</v>
      </c>
      <c r="O3183" s="8" t="s">
        <v>1935</v>
      </c>
      <c r="P3183" s="8">
        <v>796</v>
      </c>
      <c r="Q3183" s="8" t="s">
        <v>3196</v>
      </c>
      <c r="R3183" s="10">
        <v>3</v>
      </c>
      <c r="S3183" s="10">
        <v>310</v>
      </c>
      <c r="T3183" s="10">
        <v>0</v>
      </c>
      <c r="U3183" s="10">
        <f t="shared" si="2006"/>
        <v>0</v>
      </c>
      <c r="V3183" s="7"/>
      <c r="W3183" s="11">
        <v>2015</v>
      </c>
      <c r="X3183" s="1" t="s">
        <v>6565</v>
      </c>
    </row>
    <row r="3184" spans="1:24" ht="76.5" customHeight="1" outlineLevel="1" x14ac:dyDescent="0.2">
      <c r="A3184" s="1" t="s">
        <v>8167</v>
      </c>
      <c r="B3184" s="220" t="s">
        <v>5277</v>
      </c>
      <c r="C3184" s="7" t="s">
        <v>4221</v>
      </c>
      <c r="D3184" s="7" t="s">
        <v>5558</v>
      </c>
      <c r="E3184" s="7" t="s">
        <v>5559</v>
      </c>
      <c r="F3184" s="7"/>
      <c r="G3184" s="4" t="s">
        <v>3190</v>
      </c>
      <c r="H3184" s="22">
        <v>0</v>
      </c>
      <c r="I3184" s="18">
        <v>710000000</v>
      </c>
      <c r="J3184" s="4" t="s">
        <v>1931</v>
      </c>
      <c r="K3184" s="4" t="s">
        <v>5282</v>
      </c>
      <c r="L3184" s="4" t="s">
        <v>5689</v>
      </c>
      <c r="M3184" s="8" t="s">
        <v>3195</v>
      </c>
      <c r="N3184" s="4" t="s">
        <v>1890</v>
      </c>
      <c r="O3184" s="8" t="s">
        <v>1935</v>
      </c>
      <c r="P3184" s="8">
        <v>796</v>
      </c>
      <c r="Q3184" s="8" t="s">
        <v>3196</v>
      </c>
      <c r="R3184" s="10">
        <f>3+3</f>
        <v>6</v>
      </c>
      <c r="S3184" s="10">
        <v>750</v>
      </c>
      <c r="T3184" s="10">
        <v>0</v>
      </c>
      <c r="U3184" s="10">
        <f t="shared" si="2006"/>
        <v>0</v>
      </c>
      <c r="V3184" s="7"/>
      <c r="W3184" s="11">
        <v>2015</v>
      </c>
      <c r="X3184" s="1" t="s">
        <v>6565</v>
      </c>
    </row>
    <row r="3185" spans="1:24" ht="76.5" customHeight="1" outlineLevel="1" x14ac:dyDescent="0.2">
      <c r="A3185" s="1" t="s">
        <v>8168</v>
      </c>
      <c r="B3185" s="220" t="s">
        <v>5277</v>
      </c>
      <c r="C3185" s="7" t="s">
        <v>4222</v>
      </c>
      <c r="D3185" s="7" t="s">
        <v>5560</v>
      </c>
      <c r="E3185" s="7" t="s">
        <v>5561</v>
      </c>
      <c r="F3185" s="7" t="s">
        <v>8169</v>
      </c>
      <c r="G3185" s="4" t="s">
        <v>3190</v>
      </c>
      <c r="H3185" s="22">
        <v>0</v>
      </c>
      <c r="I3185" s="18">
        <v>710000000</v>
      </c>
      <c r="J3185" s="4" t="s">
        <v>1931</v>
      </c>
      <c r="K3185" s="4" t="s">
        <v>5282</v>
      </c>
      <c r="L3185" s="4" t="s">
        <v>5689</v>
      </c>
      <c r="M3185" s="8" t="s">
        <v>3195</v>
      </c>
      <c r="N3185" s="4" t="s">
        <v>1890</v>
      </c>
      <c r="O3185" s="8" t="s">
        <v>1935</v>
      </c>
      <c r="P3185" s="8">
        <v>796</v>
      </c>
      <c r="Q3185" s="8" t="s">
        <v>3196</v>
      </c>
      <c r="R3185" s="10">
        <v>72</v>
      </c>
      <c r="S3185" s="10">
        <v>1080</v>
      </c>
      <c r="T3185" s="10">
        <v>0</v>
      </c>
      <c r="U3185" s="10">
        <f t="shared" si="2006"/>
        <v>0</v>
      </c>
      <c r="V3185" s="7"/>
      <c r="W3185" s="11">
        <v>2015</v>
      </c>
      <c r="X3185" s="1" t="s">
        <v>6565</v>
      </c>
    </row>
    <row r="3186" spans="1:24" ht="76.5" customHeight="1" outlineLevel="1" x14ac:dyDescent="0.2">
      <c r="A3186" s="1" t="s">
        <v>8170</v>
      </c>
      <c r="B3186" s="220" t="s">
        <v>5277</v>
      </c>
      <c r="C3186" s="7" t="s">
        <v>1829</v>
      </c>
      <c r="D3186" s="7" t="s">
        <v>5526</v>
      </c>
      <c r="E3186" s="7" t="s">
        <v>5527</v>
      </c>
      <c r="F3186" s="7" t="s">
        <v>8171</v>
      </c>
      <c r="G3186" s="4" t="s">
        <v>3190</v>
      </c>
      <c r="H3186" s="22">
        <v>0</v>
      </c>
      <c r="I3186" s="18">
        <v>710000000</v>
      </c>
      <c r="J3186" s="4" t="s">
        <v>1931</v>
      </c>
      <c r="K3186" s="4" t="s">
        <v>5282</v>
      </c>
      <c r="L3186" s="4" t="s">
        <v>5689</v>
      </c>
      <c r="M3186" s="8" t="s">
        <v>3195</v>
      </c>
      <c r="N3186" s="4" t="s">
        <v>1890</v>
      </c>
      <c r="O3186" s="8" t="s">
        <v>1935</v>
      </c>
      <c r="P3186" s="8">
        <v>796</v>
      </c>
      <c r="Q3186" s="8" t="s">
        <v>3196</v>
      </c>
      <c r="R3186" s="10">
        <v>6</v>
      </c>
      <c r="S3186" s="10">
        <v>268</v>
      </c>
      <c r="T3186" s="10">
        <v>0</v>
      </c>
      <c r="U3186" s="10">
        <f t="shared" si="2006"/>
        <v>0</v>
      </c>
      <c r="V3186" s="7"/>
      <c r="W3186" s="11">
        <v>2015</v>
      </c>
      <c r="X3186" s="1" t="s">
        <v>6565</v>
      </c>
    </row>
    <row r="3187" spans="1:24" ht="76.5" customHeight="1" outlineLevel="1" x14ac:dyDescent="0.2">
      <c r="A3187" s="1" t="s">
        <v>8172</v>
      </c>
      <c r="B3187" s="220" t="s">
        <v>5277</v>
      </c>
      <c r="C3187" s="7" t="s">
        <v>3791</v>
      </c>
      <c r="D3187" s="7" t="s">
        <v>9492</v>
      </c>
      <c r="E3187" s="7" t="s">
        <v>9493</v>
      </c>
      <c r="F3187" s="7" t="s">
        <v>8173</v>
      </c>
      <c r="G3187" s="4" t="s">
        <v>3190</v>
      </c>
      <c r="H3187" s="22">
        <v>0</v>
      </c>
      <c r="I3187" s="18">
        <v>710000000</v>
      </c>
      <c r="J3187" s="4" t="s">
        <v>1931</v>
      </c>
      <c r="K3187" s="4" t="s">
        <v>5282</v>
      </c>
      <c r="L3187" s="4" t="s">
        <v>5689</v>
      </c>
      <c r="M3187" s="8" t="s">
        <v>3195</v>
      </c>
      <c r="N3187" s="4" t="s">
        <v>1890</v>
      </c>
      <c r="O3187" s="8" t="s">
        <v>1935</v>
      </c>
      <c r="P3187" s="8">
        <v>796</v>
      </c>
      <c r="Q3187" s="8" t="s">
        <v>3196</v>
      </c>
      <c r="R3187" s="10">
        <v>6</v>
      </c>
      <c r="S3187" s="10">
        <v>850</v>
      </c>
      <c r="T3187" s="10">
        <v>0</v>
      </c>
      <c r="U3187" s="10">
        <f t="shared" si="2006"/>
        <v>0</v>
      </c>
      <c r="V3187" s="7"/>
      <c r="W3187" s="11">
        <v>2015</v>
      </c>
      <c r="X3187" s="1" t="s">
        <v>6565</v>
      </c>
    </row>
    <row r="3188" spans="1:24" ht="76.5" customHeight="1" outlineLevel="1" x14ac:dyDescent="0.2">
      <c r="A3188" s="1" t="s">
        <v>8174</v>
      </c>
      <c r="B3188" s="220" t="s">
        <v>5277</v>
      </c>
      <c r="C3188" s="7" t="s">
        <v>3789</v>
      </c>
      <c r="D3188" s="7" t="s">
        <v>5531</v>
      </c>
      <c r="E3188" s="7" t="s">
        <v>5533</v>
      </c>
      <c r="F3188" s="7"/>
      <c r="G3188" s="4" t="s">
        <v>3190</v>
      </c>
      <c r="H3188" s="22">
        <v>0</v>
      </c>
      <c r="I3188" s="18">
        <v>710000000</v>
      </c>
      <c r="J3188" s="4" t="s">
        <v>1931</v>
      </c>
      <c r="K3188" s="4" t="s">
        <v>5282</v>
      </c>
      <c r="L3188" s="4" t="s">
        <v>5689</v>
      </c>
      <c r="M3188" s="8" t="s">
        <v>3195</v>
      </c>
      <c r="N3188" s="4" t="s">
        <v>1890</v>
      </c>
      <c r="O3188" s="8" t="s">
        <v>1935</v>
      </c>
      <c r="P3188" s="8">
        <v>796</v>
      </c>
      <c r="Q3188" s="8" t="s">
        <v>3196</v>
      </c>
      <c r="R3188" s="10">
        <v>12</v>
      </c>
      <c r="S3188" s="10">
        <v>1200</v>
      </c>
      <c r="T3188" s="10">
        <v>0</v>
      </c>
      <c r="U3188" s="10">
        <f t="shared" si="2006"/>
        <v>0</v>
      </c>
      <c r="V3188" s="7"/>
      <c r="W3188" s="11">
        <v>2015</v>
      </c>
      <c r="X3188" s="1" t="s">
        <v>6565</v>
      </c>
    </row>
    <row r="3189" spans="1:24" ht="76.5" customHeight="1" outlineLevel="1" x14ac:dyDescent="0.2">
      <c r="A3189" s="1" t="s">
        <v>635</v>
      </c>
      <c r="B3189" s="24" t="s">
        <v>5277</v>
      </c>
      <c r="C3189" s="4" t="s">
        <v>597</v>
      </c>
      <c r="D3189" s="4" t="s">
        <v>6537</v>
      </c>
      <c r="E3189" s="4" t="s">
        <v>6538</v>
      </c>
      <c r="F3189" s="4" t="s">
        <v>598</v>
      </c>
      <c r="G3189" s="4" t="s">
        <v>3190</v>
      </c>
      <c r="H3189" s="22">
        <v>0</v>
      </c>
      <c r="I3189" s="18">
        <v>710000000</v>
      </c>
      <c r="J3189" s="4" t="s">
        <v>1931</v>
      </c>
      <c r="K3189" s="4" t="s">
        <v>5297</v>
      </c>
      <c r="L3189" s="7" t="s">
        <v>1933</v>
      </c>
      <c r="M3189" s="8" t="s">
        <v>3195</v>
      </c>
      <c r="N3189" s="4" t="s">
        <v>1890</v>
      </c>
      <c r="O3189" s="8" t="s">
        <v>1935</v>
      </c>
      <c r="P3189" s="4">
        <v>5042</v>
      </c>
      <c r="Q3189" s="8" t="s">
        <v>6539</v>
      </c>
      <c r="R3189" s="10">
        <v>24</v>
      </c>
      <c r="S3189" s="10">
        <v>500</v>
      </c>
      <c r="T3189" s="10">
        <f t="shared" si="1998"/>
        <v>12000</v>
      </c>
      <c r="U3189" s="10">
        <f t="shared" si="2006"/>
        <v>13440.000000000002</v>
      </c>
      <c r="V3189" s="11" t="s">
        <v>3027</v>
      </c>
      <c r="W3189" s="11">
        <v>2015</v>
      </c>
      <c r="X3189" s="4"/>
    </row>
    <row r="3190" spans="1:24" s="58" customFormat="1" ht="76.5" customHeight="1" outlineLevel="1" x14ac:dyDescent="0.2">
      <c r="A3190" s="1" t="s">
        <v>636</v>
      </c>
      <c r="B3190" s="24" t="s">
        <v>5277</v>
      </c>
      <c r="C3190" s="16" t="s">
        <v>3779</v>
      </c>
      <c r="D3190" s="16" t="s">
        <v>6187</v>
      </c>
      <c r="E3190" s="16" t="s">
        <v>6188</v>
      </c>
      <c r="F3190" s="16" t="s">
        <v>6189</v>
      </c>
      <c r="G3190" s="4" t="s">
        <v>3190</v>
      </c>
      <c r="H3190" s="22">
        <v>0</v>
      </c>
      <c r="I3190" s="1">
        <v>710000000</v>
      </c>
      <c r="J3190" s="4" t="s">
        <v>1931</v>
      </c>
      <c r="K3190" s="4" t="s">
        <v>5297</v>
      </c>
      <c r="L3190" s="7" t="s">
        <v>1933</v>
      </c>
      <c r="M3190" s="8" t="s">
        <v>3195</v>
      </c>
      <c r="N3190" s="4" t="s">
        <v>1890</v>
      </c>
      <c r="O3190" s="8" t="s">
        <v>1935</v>
      </c>
      <c r="P3190" s="8">
        <v>796</v>
      </c>
      <c r="Q3190" s="8" t="s">
        <v>3196</v>
      </c>
      <c r="R3190" s="10">
        <v>10</v>
      </c>
      <c r="S3190" s="10">
        <v>25000</v>
      </c>
      <c r="T3190" s="10">
        <f t="shared" si="1998"/>
        <v>250000</v>
      </c>
      <c r="U3190" s="10">
        <f t="shared" si="2006"/>
        <v>280000</v>
      </c>
      <c r="V3190" s="11"/>
      <c r="W3190" s="11">
        <v>2015</v>
      </c>
      <c r="X3190" s="16"/>
    </row>
    <row r="3191" spans="1:24" s="58" customFormat="1" ht="76.5" customHeight="1" outlineLevel="1" x14ac:dyDescent="0.2">
      <c r="A3191" s="1" t="s">
        <v>637</v>
      </c>
      <c r="B3191" s="24" t="s">
        <v>5277</v>
      </c>
      <c r="C3191" s="16" t="s">
        <v>6540</v>
      </c>
      <c r="D3191" s="16" t="s">
        <v>599</v>
      </c>
      <c r="E3191" s="16" t="s">
        <v>600</v>
      </c>
      <c r="F3191" s="16"/>
      <c r="G3191" s="4" t="s">
        <v>3190</v>
      </c>
      <c r="H3191" s="22">
        <v>0</v>
      </c>
      <c r="I3191" s="1">
        <v>710000000</v>
      </c>
      <c r="J3191" s="4" t="s">
        <v>1931</v>
      </c>
      <c r="K3191" s="4" t="s">
        <v>5297</v>
      </c>
      <c r="L3191" s="7" t="s">
        <v>1933</v>
      </c>
      <c r="M3191" s="8" t="s">
        <v>3195</v>
      </c>
      <c r="N3191" s="4" t="s">
        <v>1890</v>
      </c>
      <c r="O3191" s="8" t="s">
        <v>1935</v>
      </c>
      <c r="P3191" s="8">
        <v>796</v>
      </c>
      <c r="Q3191" s="8" t="s">
        <v>3196</v>
      </c>
      <c r="R3191" s="10">
        <v>2</v>
      </c>
      <c r="S3191" s="10">
        <v>30000</v>
      </c>
      <c r="T3191" s="10">
        <f t="shared" si="1998"/>
        <v>60000</v>
      </c>
      <c r="U3191" s="10">
        <f t="shared" si="2006"/>
        <v>67200</v>
      </c>
      <c r="V3191" s="11"/>
      <c r="W3191" s="11">
        <v>2015</v>
      </c>
      <c r="X3191" s="16"/>
    </row>
    <row r="3192" spans="1:24" s="58" customFormat="1" ht="76.5" customHeight="1" outlineLevel="1" x14ac:dyDescent="0.2">
      <c r="A3192" s="1" t="s">
        <v>638</v>
      </c>
      <c r="B3192" s="24" t="s">
        <v>5277</v>
      </c>
      <c r="C3192" s="16" t="s">
        <v>6541</v>
      </c>
      <c r="D3192" s="16" t="s">
        <v>601</v>
      </c>
      <c r="E3192" s="16" t="s">
        <v>602</v>
      </c>
      <c r="F3192" s="16"/>
      <c r="G3192" s="4" t="s">
        <v>3190</v>
      </c>
      <c r="H3192" s="22">
        <v>0</v>
      </c>
      <c r="I3192" s="1">
        <v>710000000</v>
      </c>
      <c r="J3192" s="4" t="s">
        <v>1931</v>
      </c>
      <c r="K3192" s="4" t="s">
        <v>5297</v>
      </c>
      <c r="L3192" s="7" t="s">
        <v>1933</v>
      </c>
      <c r="M3192" s="8" t="s">
        <v>3195</v>
      </c>
      <c r="N3192" s="4" t="s">
        <v>1890</v>
      </c>
      <c r="O3192" s="8" t="s">
        <v>1935</v>
      </c>
      <c r="P3192" s="8">
        <v>796</v>
      </c>
      <c r="Q3192" s="8" t="s">
        <v>3196</v>
      </c>
      <c r="R3192" s="10">
        <v>120</v>
      </c>
      <c r="S3192" s="10">
        <v>400</v>
      </c>
      <c r="T3192" s="10">
        <f t="shared" si="1998"/>
        <v>48000</v>
      </c>
      <c r="U3192" s="10">
        <f t="shared" si="2006"/>
        <v>53760.000000000007</v>
      </c>
      <c r="V3192" s="11"/>
      <c r="W3192" s="11">
        <v>2015</v>
      </c>
      <c r="X3192" s="16"/>
    </row>
    <row r="3193" spans="1:24" ht="76.5" customHeight="1" outlineLevel="1" x14ac:dyDescent="0.2">
      <c r="A3193" s="1" t="s">
        <v>639</v>
      </c>
      <c r="B3193" s="24" t="s">
        <v>5277</v>
      </c>
      <c r="C3193" s="7" t="s">
        <v>3099</v>
      </c>
      <c r="D3193" s="7" t="s">
        <v>5231</v>
      </c>
      <c r="E3193" s="7" t="s">
        <v>5232</v>
      </c>
      <c r="F3193" s="7" t="s">
        <v>603</v>
      </c>
      <c r="G3193" s="4" t="s">
        <v>3190</v>
      </c>
      <c r="H3193" s="22">
        <v>0</v>
      </c>
      <c r="I3193" s="18">
        <v>710000000</v>
      </c>
      <c r="J3193" s="4" t="s">
        <v>1931</v>
      </c>
      <c r="K3193" s="4" t="s">
        <v>5297</v>
      </c>
      <c r="L3193" s="7" t="s">
        <v>1933</v>
      </c>
      <c r="M3193" s="8" t="s">
        <v>3195</v>
      </c>
      <c r="N3193" s="4" t="s">
        <v>1890</v>
      </c>
      <c r="O3193" s="8" t="s">
        <v>1935</v>
      </c>
      <c r="P3193" s="8">
        <v>796</v>
      </c>
      <c r="Q3193" s="8" t="s">
        <v>3196</v>
      </c>
      <c r="R3193" s="19">
        <v>50</v>
      </c>
      <c r="S3193" s="19">
        <v>2000</v>
      </c>
      <c r="T3193" s="10">
        <f t="shared" si="1998"/>
        <v>100000</v>
      </c>
      <c r="U3193" s="10">
        <f t="shared" si="2006"/>
        <v>112000.00000000001</v>
      </c>
      <c r="V3193" s="11"/>
      <c r="W3193" s="11">
        <v>2015</v>
      </c>
      <c r="X3193" s="20"/>
    </row>
    <row r="3194" spans="1:24" ht="76.5" customHeight="1" outlineLevel="1" x14ac:dyDescent="0.2">
      <c r="A3194" s="1" t="s">
        <v>640</v>
      </c>
      <c r="B3194" s="24" t="s">
        <v>5277</v>
      </c>
      <c r="C3194" s="7" t="s">
        <v>604</v>
      </c>
      <c r="D3194" s="7" t="s">
        <v>605</v>
      </c>
      <c r="E3194" s="7" t="s">
        <v>6542</v>
      </c>
      <c r="F3194" s="7" t="s">
        <v>5210</v>
      </c>
      <c r="G3194" s="4" t="s">
        <v>3190</v>
      </c>
      <c r="H3194" s="22">
        <v>0</v>
      </c>
      <c r="I3194" s="18">
        <v>710000000</v>
      </c>
      <c r="J3194" s="4" t="s">
        <v>1931</v>
      </c>
      <c r="K3194" s="4" t="s">
        <v>5297</v>
      </c>
      <c r="L3194" s="7" t="s">
        <v>1933</v>
      </c>
      <c r="M3194" s="8" t="s">
        <v>3195</v>
      </c>
      <c r="N3194" s="4" t="s">
        <v>1890</v>
      </c>
      <c r="O3194" s="8" t="s">
        <v>1935</v>
      </c>
      <c r="P3194" s="8">
        <v>796</v>
      </c>
      <c r="Q3194" s="8" t="s">
        <v>3196</v>
      </c>
      <c r="R3194" s="19">
        <v>4</v>
      </c>
      <c r="S3194" s="19">
        <v>15000</v>
      </c>
      <c r="T3194" s="10">
        <f t="shared" si="1998"/>
        <v>60000</v>
      </c>
      <c r="U3194" s="10">
        <f t="shared" si="2006"/>
        <v>67200</v>
      </c>
      <c r="V3194" s="11"/>
      <c r="W3194" s="11">
        <v>2015</v>
      </c>
      <c r="X3194" s="20"/>
    </row>
    <row r="3195" spans="1:24" ht="76.5" customHeight="1" outlineLevel="1" x14ac:dyDescent="0.2">
      <c r="A3195" s="1" t="s">
        <v>641</v>
      </c>
      <c r="B3195" s="24" t="s">
        <v>5277</v>
      </c>
      <c r="C3195" s="7" t="s">
        <v>692</v>
      </c>
      <c r="D3195" s="7" t="s">
        <v>5545</v>
      </c>
      <c r="E3195" s="7" t="s">
        <v>606</v>
      </c>
      <c r="F3195" s="7"/>
      <c r="G3195" s="4" t="s">
        <v>3190</v>
      </c>
      <c r="H3195" s="22">
        <v>0</v>
      </c>
      <c r="I3195" s="18">
        <v>710000000</v>
      </c>
      <c r="J3195" s="4" t="s">
        <v>1931</v>
      </c>
      <c r="K3195" s="4" t="s">
        <v>5297</v>
      </c>
      <c r="L3195" s="7" t="s">
        <v>1933</v>
      </c>
      <c r="M3195" s="8" t="s">
        <v>3195</v>
      </c>
      <c r="N3195" s="4" t="s">
        <v>1890</v>
      </c>
      <c r="O3195" s="8" t="s">
        <v>1935</v>
      </c>
      <c r="P3195" s="8">
        <v>796</v>
      </c>
      <c r="Q3195" s="8" t="s">
        <v>3196</v>
      </c>
      <c r="R3195" s="19">
        <v>4</v>
      </c>
      <c r="S3195" s="19">
        <v>2000</v>
      </c>
      <c r="T3195" s="10">
        <f t="shared" si="1998"/>
        <v>8000</v>
      </c>
      <c r="U3195" s="10">
        <f t="shared" si="2006"/>
        <v>8960</v>
      </c>
      <c r="V3195" s="11"/>
      <c r="W3195" s="11">
        <v>2015</v>
      </c>
      <c r="X3195" s="20"/>
    </row>
    <row r="3196" spans="1:24" ht="76.5" customHeight="1" outlineLevel="1" x14ac:dyDescent="0.2">
      <c r="A3196" s="1" t="s">
        <v>642</v>
      </c>
      <c r="B3196" s="24" t="s">
        <v>5277</v>
      </c>
      <c r="C3196" s="7" t="s">
        <v>3797</v>
      </c>
      <c r="D3196" s="7" t="s">
        <v>3798</v>
      </c>
      <c r="E3196" s="7" t="s">
        <v>6543</v>
      </c>
      <c r="F3196" s="7"/>
      <c r="G3196" s="4" t="s">
        <v>3190</v>
      </c>
      <c r="H3196" s="22">
        <v>0</v>
      </c>
      <c r="I3196" s="18">
        <v>710000000</v>
      </c>
      <c r="J3196" s="4" t="s">
        <v>1931</v>
      </c>
      <c r="K3196" s="4" t="s">
        <v>5297</v>
      </c>
      <c r="L3196" s="7" t="s">
        <v>1933</v>
      </c>
      <c r="M3196" s="8" t="s">
        <v>3195</v>
      </c>
      <c r="N3196" s="4" t="s">
        <v>1890</v>
      </c>
      <c r="O3196" s="8" t="s">
        <v>1935</v>
      </c>
      <c r="P3196" s="8">
        <v>796</v>
      </c>
      <c r="Q3196" s="8" t="s">
        <v>3196</v>
      </c>
      <c r="R3196" s="19">
        <v>3</v>
      </c>
      <c r="S3196" s="19">
        <v>2000</v>
      </c>
      <c r="T3196" s="10">
        <f t="shared" si="1998"/>
        <v>6000</v>
      </c>
      <c r="U3196" s="10">
        <f t="shared" si="2006"/>
        <v>6720.0000000000009</v>
      </c>
      <c r="V3196" s="11"/>
      <c r="W3196" s="11">
        <v>2015</v>
      </c>
      <c r="X3196" s="20"/>
    </row>
    <row r="3197" spans="1:24" s="23" customFormat="1" ht="76.5" customHeight="1" outlineLevel="1" x14ac:dyDescent="0.2">
      <c r="A3197" s="1" t="s">
        <v>643</v>
      </c>
      <c r="B3197" s="24" t="s">
        <v>5277</v>
      </c>
      <c r="C3197" s="4" t="s">
        <v>607</v>
      </c>
      <c r="D3197" s="4" t="s">
        <v>1644</v>
      </c>
      <c r="E3197" s="4" t="s">
        <v>608</v>
      </c>
      <c r="F3197" s="4"/>
      <c r="G3197" s="4" t="s">
        <v>3190</v>
      </c>
      <c r="H3197" s="22">
        <v>0</v>
      </c>
      <c r="I3197" s="18">
        <v>710000000</v>
      </c>
      <c r="J3197" s="4" t="s">
        <v>1931</v>
      </c>
      <c r="K3197" s="4" t="s">
        <v>5297</v>
      </c>
      <c r="L3197" s="7" t="s">
        <v>1933</v>
      </c>
      <c r="M3197" s="8" t="s">
        <v>3195</v>
      </c>
      <c r="N3197" s="4" t="s">
        <v>1890</v>
      </c>
      <c r="O3197" s="8" t="s">
        <v>1935</v>
      </c>
      <c r="P3197" s="8">
        <v>796</v>
      </c>
      <c r="Q3197" s="8" t="s">
        <v>3196</v>
      </c>
      <c r="R3197" s="34">
        <v>1</v>
      </c>
      <c r="S3197" s="10">
        <v>3000</v>
      </c>
      <c r="T3197" s="10">
        <f t="shared" si="1998"/>
        <v>3000</v>
      </c>
      <c r="U3197" s="10">
        <f t="shared" si="2006"/>
        <v>3360.0000000000005</v>
      </c>
      <c r="V3197" s="11"/>
      <c r="W3197" s="11">
        <v>2015</v>
      </c>
      <c r="X3197" s="4"/>
    </row>
    <row r="3198" spans="1:24" ht="76.5" customHeight="1" outlineLevel="1" x14ac:dyDescent="0.2">
      <c r="A3198" s="1" t="s">
        <v>644</v>
      </c>
      <c r="B3198" s="24" t="s">
        <v>5277</v>
      </c>
      <c r="C3198" s="7" t="s">
        <v>609</v>
      </c>
      <c r="D3198" s="7" t="s">
        <v>610</v>
      </c>
      <c r="E3198" s="7" t="s">
        <v>611</v>
      </c>
      <c r="F3198" s="7" t="s">
        <v>612</v>
      </c>
      <c r="G3198" s="4" t="s">
        <v>3190</v>
      </c>
      <c r="H3198" s="22">
        <v>0</v>
      </c>
      <c r="I3198" s="18">
        <v>710000000</v>
      </c>
      <c r="J3198" s="4" t="s">
        <v>1931</v>
      </c>
      <c r="K3198" s="4" t="s">
        <v>5297</v>
      </c>
      <c r="L3198" s="7" t="s">
        <v>1933</v>
      </c>
      <c r="M3198" s="8" t="s">
        <v>3195</v>
      </c>
      <c r="N3198" s="4" t="s">
        <v>1890</v>
      </c>
      <c r="O3198" s="8" t="s">
        <v>1935</v>
      </c>
      <c r="P3198" s="8">
        <v>796</v>
      </c>
      <c r="Q3198" s="8" t="s">
        <v>3196</v>
      </c>
      <c r="R3198" s="19">
        <v>4</v>
      </c>
      <c r="S3198" s="10">
        <v>8000</v>
      </c>
      <c r="T3198" s="10">
        <f t="shared" si="1998"/>
        <v>32000</v>
      </c>
      <c r="U3198" s="10">
        <f t="shared" si="2006"/>
        <v>35840</v>
      </c>
      <c r="V3198" s="11"/>
      <c r="W3198" s="11">
        <v>2015</v>
      </c>
      <c r="X3198" s="20"/>
    </row>
    <row r="3199" spans="1:24" ht="76.5" customHeight="1" outlineLevel="1" x14ac:dyDescent="0.2">
      <c r="A3199" s="1" t="s">
        <v>645</v>
      </c>
      <c r="B3199" s="24" t="s">
        <v>5277</v>
      </c>
      <c r="C3199" s="7" t="s">
        <v>613</v>
      </c>
      <c r="D3199" s="7" t="s">
        <v>614</v>
      </c>
      <c r="E3199" s="7" t="s">
        <v>615</v>
      </c>
      <c r="F3199" s="7"/>
      <c r="G3199" s="4" t="s">
        <v>3190</v>
      </c>
      <c r="H3199" s="22">
        <v>0</v>
      </c>
      <c r="I3199" s="18">
        <v>710000000</v>
      </c>
      <c r="J3199" s="4" t="s">
        <v>1931</v>
      </c>
      <c r="K3199" s="4" t="s">
        <v>5297</v>
      </c>
      <c r="L3199" s="7" t="s">
        <v>1933</v>
      </c>
      <c r="M3199" s="8" t="s">
        <v>3195</v>
      </c>
      <c r="N3199" s="4" t="s">
        <v>1890</v>
      </c>
      <c r="O3199" s="8" t="s">
        <v>1935</v>
      </c>
      <c r="P3199" s="8">
        <v>715</v>
      </c>
      <c r="Q3199" s="4" t="s">
        <v>5247</v>
      </c>
      <c r="R3199" s="19">
        <v>10</v>
      </c>
      <c r="S3199" s="10">
        <v>6000</v>
      </c>
      <c r="T3199" s="10">
        <f t="shared" si="1998"/>
        <v>60000</v>
      </c>
      <c r="U3199" s="10">
        <f t="shared" si="2006"/>
        <v>67200</v>
      </c>
      <c r="V3199" s="11"/>
      <c r="W3199" s="11">
        <v>2015</v>
      </c>
      <c r="X3199" s="20"/>
    </row>
    <row r="3200" spans="1:24" s="58" customFormat="1" ht="76.5" customHeight="1" outlineLevel="1" x14ac:dyDescent="0.2">
      <c r="A3200" s="1" t="s">
        <v>646</v>
      </c>
      <c r="B3200" s="24" t="s">
        <v>5277</v>
      </c>
      <c r="C3200" s="16" t="s">
        <v>3786</v>
      </c>
      <c r="D3200" s="16" t="s">
        <v>3787</v>
      </c>
      <c r="E3200" s="16" t="s">
        <v>6203</v>
      </c>
      <c r="F3200" s="16" t="s">
        <v>6204</v>
      </c>
      <c r="G3200" s="4" t="s">
        <v>3190</v>
      </c>
      <c r="H3200" s="22">
        <v>0</v>
      </c>
      <c r="I3200" s="1">
        <v>710000000</v>
      </c>
      <c r="J3200" s="4" t="s">
        <v>1931</v>
      </c>
      <c r="K3200" s="4" t="s">
        <v>5297</v>
      </c>
      <c r="L3200" s="7" t="s">
        <v>1933</v>
      </c>
      <c r="M3200" s="8" t="s">
        <v>3195</v>
      </c>
      <c r="N3200" s="4" t="s">
        <v>1890</v>
      </c>
      <c r="O3200" s="8" t="s">
        <v>1935</v>
      </c>
      <c r="P3200" s="8">
        <v>796</v>
      </c>
      <c r="Q3200" s="8" t="s">
        <v>3196</v>
      </c>
      <c r="R3200" s="10">
        <v>3</v>
      </c>
      <c r="S3200" s="10">
        <v>5000</v>
      </c>
      <c r="T3200" s="10">
        <f t="shared" si="1998"/>
        <v>15000</v>
      </c>
      <c r="U3200" s="10">
        <f t="shared" si="2006"/>
        <v>16800</v>
      </c>
      <c r="V3200" s="11"/>
      <c r="W3200" s="11">
        <v>2015</v>
      </c>
      <c r="X3200" s="16"/>
    </row>
    <row r="3201" spans="1:46" ht="76.5" customHeight="1" outlineLevel="1" x14ac:dyDescent="0.2">
      <c r="A3201" s="1" t="s">
        <v>647</v>
      </c>
      <c r="B3201" s="32" t="s">
        <v>5277</v>
      </c>
      <c r="C3201" s="16" t="s">
        <v>3769</v>
      </c>
      <c r="D3201" s="16" t="s">
        <v>6172</v>
      </c>
      <c r="E3201" s="16" t="s">
        <v>3770</v>
      </c>
      <c r="F3201" s="16" t="s">
        <v>6173</v>
      </c>
      <c r="G3201" s="4" t="s">
        <v>3190</v>
      </c>
      <c r="H3201" s="22">
        <v>0.5</v>
      </c>
      <c r="I3201" s="1">
        <v>710000000</v>
      </c>
      <c r="J3201" s="4" t="s">
        <v>1931</v>
      </c>
      <c r="K3201" s="4" t="s">
        <v>5297</v>
      </c>
      <c r="L3201" s="7" t="s">
        <v>1933</v>
      </c>
      <c r="M3201" s="8" t="s">
        <v>3195</v>
      </c>
      <c r="N3201" s="4" t="s">
        <v>1890</v>
      </c>
      <c r="O3201" s="16" t="s">
        <v>2146</v>
      </c>
      <c r="P3201" s="8">
        <v>796</v>
      </c>
      <c r="Q3201" s="8" t="s">
        <v>3196</v>
      </c>
      <c r="R3201" s="10">
        <v>5</v>
      </c>
      <c r="S3201" s="26">
        <v>20000</v>
      </c>
      <c r="T3201" s="10">
        <f t="shared" si="1998"/>
        <v>100000</v>
      </c>
      <c r="U3201" s="10">
        <f t="shared" si="2006"/>
        <v>112000.00000000001</v>
      </c>
      <c r="V3201" s="33" t="s">
        <v>3027</v>
      </c>
      <c r="W3201" s="11">
        <v>2015</v>
      </c>
      <c r="X3201" s="1"/>
      <c r="Y3201" s="185"/>
      <c r="Z3201" s="185"/>
      <c r="AA3201" s="185"/>
      <c r="AB3201" s="185"/>
      <c r="AC3201" s="185"/>
      <c r="AD3201" s="185"/>
      <c r="AE3201" s="185"/>
      <c r="AF3201" s="185"/>
      <c r="AG3201" s="185"/>
      <c r="AH3201" s="185"/>
      <c r="AI3201" s="185"/>
      <c r="AJ3201" s="185"/>
      <c r="AK3201" s="185"/>
      <c r="AL3201" s="185"/>
      <c r="AM3201" s="185"/>
      <c r="AN3201" s="185"/>
      <c r="AO3201" s="185"/>
      <c r="AP3201" s="185"/>
      <c r="AQ3201" s="185"/>
      <c r="AR3201" s="185"/>
      <c r="AS3201" s="185"/>
      <c r="AT3201" s="185"/>
    </row>
    <row r="3202" spans="1:46" ht="76.5" customHeight="1" outlineLevel="1" x14ac:dyDescent="0.2">
      <c r="A3202" s="1" t="s">
        <v>648</v>
      </c>
      <c r="B3202" s="24" t="s">
        <v>5277</v>
      </c>
      <c r="C3202" s="7" t="s">
        <v>616</v>
      </c>
      <c r="D3202" s="7" t="s">
        <v>617</v>
      </c>
      <c r="E3202" s="7" t="s">
        <v>618</v>
      </c>
      <c r="F3202" s="7"/>
      <c r="G3202" s="4" t="s">
        <v>3190</v>
      </c>
      <c r="H3202" s="22">
        <v>0</v>
      </c>
      <c r="I3202" s="18">
        <v>710000000</v>
      </c>
      <c r="J3202" s="4" t="s">
        <v>1931</v>
      </c>
      <c r="K3202" s="4" t="s">
        <v>5297</v>
      </c>
      <c r="L3202" s="7" t="s">
        <v>1933</v>
      </c>
      <c r="M3202" s="8" t="s">
        <v>3195</v>
      </c>
      <c r="N3202" s="4" t="s">
        <v>1890</v>
      </c>
      <c r="O3202" s="8" t="s">
        <v>1935</v>
      </c>
      <c r="P3202" s="8">
        <v>796</v>
      </c>
      <c r="Q3202" s="8" t="s">
        <v>3196</v>
      </c>
      <c r="R3202" s="19">
        <v>5</v>
      </c>
      <c r="S3202" s="10">
        <v>8000</v>
      </c>
      <c r="T3202" s="10">
        <f t="shared" si="1998"/>
        <v>40000</v>
      </c>
      <c r="U3202" s="10">
        <f t="shared" si="2006"/>
        <v>44800.000000000007</v>
      </c>
      <c r="V3202" s="11"/>
      <c r="W3202" s="11">
        <v>2015</v>
      </c>
      <c r="X3202" s="20"/>
    </row>
    <row r="3203" spans="1:46" ht="76.5" customHeight="1" outlineLevel="1" x14ac:dyDescent="0.2">
      <c r="A3203" s="1" t="s">
        <v>649</v>
      </c>
      <c r="B3203" s="24" t="s">
        <v>5277</v>
      </c>
      <c r="C3203" s="7" t="s">
        <v>619</v>
      </c>
      <c r="D3203" s="7" t="s">
        <v>6048</v>
      </c>
      <c r="E3203" s="7" t="s">
        <v>620</v>
      </c>
      <c r="F3203" s="7" t="s">
        <v>621</v>
      </c>
      <c r="G3203" s="4" t="s">
        <v>3190</v>
      </c>
      <c r="H3203" s="22">
        <v>0</v>
      </c>
      <c r="I3203" s="18">
        <v>710000000</v>
      </c>
      <c r="J3203" s="4" t="s">
        <v>1931</v>
      </c>
      <c r="K3203" s="4" t="s">
        <v>5297</v>
      </c>
      <c r="L3203" s="4" t="s">
        <v>1889</v>
      </c>
      <c r="M3203" s="8" t="s">
        <v>3195</v>
      </c>
      <c r="N3203" s="4" t="s">
        <v>1890</v>
      </c>
      <c r="O3203" s="8" t="s">
        <v>1935</v>
      </c>
      <c r="P3203" s="8">
        <v>796</v>
      </c>
      <c r="Q3203" s="8" t="s">
        <v>3196</v>
      </c>
      <c r="R3203" s="19">
        <v>26</v>
      </c>
      <c r="S3203" s="10">
        <v>2302.67</v>
      </c>
      <c r="T3203" s="10">
        <v>0</v>
      </c>
      <c r="U3203" s="10">
        <f t="shared" si="2006"/>
        <v>0</v>
      </c>
      <c r="V3203" s="11"/>
      <c r="W3203" s="11">
        <v>2015</v>
      </c>
      <c r="X3203" s="1" t="s">
        <v>7518</v>
      </c>
    </row>
    <row r="3204" spans="1:46" ht="76.5" customHeight="1" outlineLevel="1" x14ac:dyDescent="0.2">
      <c r="A3204" s="1" t="s">
        <v>7637</v>
      </c>
      <c r="B3204" s="24" t="s">
        <v>5277</v>
      </c>
      <c r="C3204" s="7" t="s">
        <v>619</v>
      </c>
      <c r="D3204" s="7" t="s">
        <v>6048</v>
      </c>
      <c r="E3204" s="7" t="s">
        <v>620</v>
      </c>
      <c r="F3204" s="7" t="s">
        <v>621</v>
      </c>
      <c r="G3204" s="4" t="s">
        <v>3190</v>
      </c>
      <c r="H3204" s="22">
        <v>0</v>
      </c>
      <c r="I3204" s="18">
        <v>710000000</v>
      </c>
      <c r="J3204" s="4" t="s">
        <v>1931</v>
      </c>
      <c r="K3204" s="4" t="s">
        <v>756</v>
      </c>
      <c r="L3204" s="4" t="s">
        <v>1889</v>
      </c>
      <c r="M3204" s="8" t="s">
        <v>3195</v>
      </c>
      <c r="N3204" s="4" t="s">
        <v>1890</v>
      </c>
      <c r="O3204" s="8" t="s">
        <v>1935</v>
      </c>
      <c r="P3204" s="8">
        <v>796</v>
      </c>
      <c r="Q3204" s="8" t="s">
        <v>3196</v>
      </c>
      <c r="R3204" s="19">
        <v>6</v>
      </c>
      <c r="S3204" s="10">
        <v>2302.67</v>
      </c>
      <c r="T3204" s="10">
        <f t="shared" ref="T3204" si="2019">S3204*R3204</f>
        <v>13816.02</v>
      </c>
      <c r="U3204" s="10">
        <f t="shared" ref="U3204" si="2020">T3204*1.12</f>
        <v>15473.942400000002</v>
      </c>
      <c r="V3204" s="11"/>
      <c r="W3204" s="11">
        <v>2015</v>
      </c>
      <c r="X3204" s="20"/>
    </row>
    <row r="3205" spans="1:46" ht="76.5" customHeight="1" outlineLevel="1" x14ac:dyDescent="0.2">
      <c r="A3205" s="1" t="s">
        <v>650</v>
      </c>
      <c r="B3205" s="24" t="s">
        <v>5277</v>
      </c>
      <c r="C3205" s="7" t="s">
        <v>622</v>
      </c>
      <c r="D3205" s="7" t="s">
        <v>623</v>
      </c>
      <c r="E3205" s="7" t="s">
        <v>624</v>
      </c>
      <c r="F3205" s="7" t="s">
        <v>621</v>
      </c>
      <c r="G3205" s="4" t="s">
        <v>3190</v>
      </c>
      <c r="H3205" s="22">
        <v>0</v>
      </c>
      <c r="I3205" s="18">
        <v>710000000</v>
      </c>
      <c r="J3205" s="4" t="s">
        <v>1931</v>
      </c>
      <c r="K3205" s="4" t="s">
        <v>5297</v>
      </c>
      <c r="L3205" s="4" t="s">
        <v>1889</v>
      </c>
      <c r="M3205" s="8" t="s">
        <v>3195</v>
      </c>
      <c r="N3205" s="4" t="s">
        <v>1890</v>
      </c>
      <c r="O3205" s="8" t="s">
        <v>1935</v>
      </c>
      <c r="P3205" s="8">
        <v>796</v>
      </c>
      <c r="Q3205" s="8" t="s">
        <v>3196</v>
      </c>
      <c r="R3205" s="19">
        <v>10</v>
      </c>
      <c r="S3205" s="10">
        <v>3750</v>
      </c>
      <c r="T3205" s="10">
        <v>0</v>
      </c>
      <c r="U3205" s="10">
        <f t="shared" si="2006"/>
        <v>0</v>
      </c>
      <c r="V3205" s="11"/>
      <c r="W3205" s="11">
        <v>2015</v>
      </c>
      <c r="X3205" s="1">
        <v>11</v>
      </c>
    </row>
    <row r="3206" spans="1:46" ht="76.5" customHeight="1" outlineLevel="1" x14ac:dyDescent="0.2">
      <c r="A3206" s="1" t="s">
        <v>7638</v>
      </c>
      <c r="B3206" s="24" t="s">
        <v>5277</v>
      </c>
      <c r="C3206" s="7" t="s">
        <v>622</v>
      </c>
      <c r="D3206" s="7" t="s">
        <v>623</v>
      </c>
      <c r="E3206" s="7" t="s">
        <v>624</v>
      </c>
      <c r="F3206" s="7" t="s">
        <v>621</v>
      </c>
      <c r="G3206" s="4" t="s">
        <v>3190</v>
      </c>
      <c r="H3206" s="22">
        <v>0</v>
      </c>
      <c r="I3206" s="18">
        <v>710000000</v>
      </c>
      <c r="J3206" s="4" t="s">
        <v>1931</v>
      </c>
      <c r="K3206" s="4" t="s">
        <v>756</v>
      </c>
      <c r="L3206" s="4" t="s">
        <v>1889</v>
      </c>
      <c r="M3206" s="8" t="s">
        <v>3195</v>
      </c>
      <c r="N3206" s="4" t="s">
        <v>1890</v>
      </c>
      <c r="O3206" s="8" t="s">
        <v>1935</v>
      </c>
      <c r="P3206" s="8">
        <v>796</v>
      </c>
      <c r="Q3206" s="8" t="s">
        <v>3196</v>
      </c>
      <c r="R3206" s="19">
        <v>10</v>
      </c>
      <c r="S3206" s="10">
        <v>3750</v>
      </c>
      <c r="T3206" s="10">
        <f t="shared" ref="T3206" si="2021">S3206*R3206</f>
        <v>37500</v>
      </c>
      <c r="U3206" s="10">
        <f t="shared" ref="U3206" si="2022">T3206*1.12</f>
        <v>42000.000000000007</v>
      </c>
      <c r="V3206" s="11"/>
      <c r="W3206" s="11">
        <v>2015</v>
      </c>
      <c r="X3206" s="20"/>
    </row>
    <row r="3207" spans="1:46" ht="76.5" customHeight="1" outlineLevel="1" x14ac:dyDescent="0.2">
      <c r="A3207" s="1" t="s">
        <v>651</v>
      </c>
      <c r="B3207" s="24" t="s">
        <v>5277</v>
      </c>
      <c r="C3207" s="7" t="s">
        <v>625</v>
      </c>
      <c r="D3207" s="7" t="s">
        <v>626</v>
      </c>
      <c r="E3207" s="7" t="s">
        <v>627</v>
      </c>
      <c r="F3207" s="7"/>
      <c r="G3207" s="4" t="s">
        <v>3190</v>
      </c>
      <c r="H3207" s="22">
        <v>0</v>
      </c>
      <c r="I3207" s="18">
        <v>710000000</v>
      </c>
      <c r="J3207" s="4" t="s">
        <v>1931</v>
      </c>
      <c r="K3207" s="4" t="s">
        <v>5297</v>
      </c>
      <c r="L3207" s="4" t="s">
        <v>1889</v>
      </c>
      <c r="M3207" s="8" t="s">
        <v>3195</v>
      </c>
      <c r="N3207" s="4" t="s">
        <v>1890</v>
      </c>
      <c r="O3207" s="8" t="s">
        <v>1935</v>
      </c>
      <c r="P3207" s="8">
        <v>796</v>
      </c>
      <c r="Q3207" s="8" t="s">
        <v>3196</v>
      </c>
      <c r="R3207" s="19">
        <v>10</v>
      </c>
      <c r="S3207" s="10">
        <v>1339.3</v>
      </c>
      <c r="T3207" s="10">
        <v>0</v>
      </c>
      <c r="U3207" s="10">
        <f t="shared" si="2006"/>
        <v>0</v>
      </c>
      <c r="V3207" s="11"/>
      <c r="W3207" s="11">
        <v>2015</v>
      </c>
      <c r="X3207" s="1">
        <v>11</v>
      </c>
    </row>
    <row r="3208" spans="1:46" ht="76.5" customHeight="1" outlineLevel="1" x14ac:dyDescent="0.2">
      <c r="A3208" s="1" t="s">
        <v>7639</v>
      </c>
      <c r="B3208" s="24" t="s">
        <v>5277</v>
      </c>
      <c r="C3208" s="7" t="s">
        <v>625</v>
      </c>
      <c r="D3208" s="7" t="s">
        <v>626</v>
      </c>
      <c r="E3208" s="7" t="s">
        <v>627</v>
      </c>
      <c r="F3208" s="7"/>
      <c r="G3208" s="4" t="s">
        <v>3190</v>
      </c>
      <c r="H3208" s="22">
        <v>0</v>
      </c>
      <c r="I3208" s="18">
        <v>710000000</v>
      </c>
      <c r="J3208" s="4" t="s">
        <v>1931</v>
      </c>
      <c r="K3208" s="4" t="s">
        <v>756</v>
      </c>
      <c r="L3208" s="4" t="s">
        <v>1889</v>
      </c>
      <c r="M3208" s="8" t="s">
        <v>3195</v>
      </c>
      <c r="N3208" s="4" t="s">
        <v>1890</v>
      </c>
      <c r="O3208" s="8" t="s">
        <v>1935</v>
      </c>
      <c r="P3208" s="8">
        <v>796</v>
      </c>
      <c r="Q3208" s="8" t="s">
        <v>3196</v>
      </c>
      <c r="R3208" s="19">
        <v>10</v>
      </c>
      <c r="S3208" s="10">
        <v>1339.3</v>
      </c>
      <c r="T3208" s="10">
        <f t="shared" ref="T3208" si="2023">S3208*R3208</f>
        <v>13393</v>
      </c>
      <c r="U3208" s="10">
        <f t="shared" ref="U3208" si="2024">T3208*1.12</f>
        <v>15000.160000000002</v>
      </c>
      <c r="V3208" s="11"/>
      <c r="W3208" s="11">
        <v>2015</v>
      </c>
      <c r="X3208" s="20"/>
    </row>
    <row r="3209" spans="1:46" ht="76.5" customHeight="1" outlineLevel="1" x14ac:dyDescent="0.2">
      <c r="A3209" s="1" t="s">
        <v>652</v>
      </c>
      <c r="B3209" s="24" t="s">
        <v>5277</v>
      </c>
      <c r="C3209" s="7" t="s">
        <v>628</v>
      </c>
      <c r="D3209" s="7" t="s">
        <v>4132</v>
      </c>
      <c r="E3209" s="7" t="s">
        <v>629</v>
      </c>
      <c r="F3209" s="7"/>
      <c r="G3209" s="4" t="s">
        <v>3190</v>
      </c>
      <c r="H3209" s="22">
        <v>0</v>
      </c>
      <c r="I3209" s="18">
        <v>710000000</v>
      </c>
      <c r="J3209" s="4" t="s">
        <v>1931</v>
      </c>
      <c r="K3209" s="4" t="s">
        <v>5297</v>
      </c>
      <c r="L3209" s="4" t="s">
        <v>1889</v>
      </c>
      <c r="M3209" s="8" t="s">
        <v>3195</v>
      </c>
      <c r="N3209" s="4" t="s">
        <v>1890</v>
      </c>
      <c r="O3209" s="8" t="s">
        <v>1935</v>
      </c>
      <c r="P3209" s="8">
        <v>796</v>
      </c>
      <c r="Q3209" s="8" t="s">
        <v>3196</v>
      </c>
      <c r="R3209" s="19">
        <v>4</v>
      </c>
      <c r="S3209" s="10">
        <v>6696.5</v>
      </c>
      <c r="T3209" s="10">
        <v>0</v>
      </c>
      <c r="U3209" s="10">
        <f t="shared" si="2006"/>
        <v>0</v>
      </c>
      <c r="V3209" s="11"/>
      <c r="W3209" s="11">
        <v>2015</v>
      </c>
      <c r="X3209" s="1">
        <v>11</v>
      </c>
    </row>
    <row r="3210" spans="1:46" ht="76.5" customHeight="1" outlineLevel="1" x14ac:dyDescent="0.2">
      <c r="A3210" s="1" t="s">
        <v>7640</v>
      </c>
      <c r="B3210" s="24" t="s">
        <v>5277</v>
      </c>
      <c r="C3210" s="7" t="s">
        <v>628</v>
      </c>
      <c r="D3210" s="7" t="s">
        <v>4132</v>
      </c>
      <c r="E3210" s="7" t="s">
        <v>629</v>
      </c>
      <c r="F3210" s="7"/>
      <c r="G3210" s="4" t="s">
        <v>3190</v>
      </c>
      <c r="H3210" s="22">
        <v>0</v>
      </c>
      <c r="I3210" s="18">
        <v>710000000</v>
      </c>
      <c r="J3210" s="4" t="s">
        <v>1931</v>
      </c>
      <c r="K3210" s="4" t="s">
        <v>756</v>
      </c>
      <c r="L3210" s="4" t="s">
        <v>1889</v>
      </c>
      <c r="M3210" s="8" t="s">
        <v>3195</v>
      </c>
      <c r="N3210" s="4" t="s">
        <v>1890</v>
      </c>
      <c r="O3210" s="8" t="s">
        <v>1935</v>
      </c>
      <c r="P3210" s="8">
        <v>796</v>
      </c>
      <c r="Q3210" s="8" t="s">
        <v>3196</v>
      </c>
      <c r="R3210" s="19">
        <v>4</v>
      </c>
      <c r="S3210" s="10">
        <v>6696.5</v>
      </c>
      <c r="T3210" s="10">
        <f t="shared" ref="T3210" si="2025">S3210*R3210</f>
        <v>26786</v>
      </c>
      <c r="U3210" s="10">
        <f t="shared" ref="U3210" si="2026">T3210*1.12</f>
        <v>30000.320000000003</v>
      </c>
      <c r="V3210" s="11"/>
      <c r="W3210" s="11">
        <v>2015</v>
      </c>
      <c r="X3210" s="20"/>
    </row>
    <row r="3211" spans="1:46" ht="76.5" customHeight="1" outlineLevel="1" x14ac:dyDescent="0.2">
      <c r="A3211" s="1" t="s">
        <v>653</v>
      </c>
      <c r="B3211" s="24" t="s">
        <v>5277</v>
      </c>
      <c r="C3211" s="7" t="s">
        <v>4126</v>
      </c>
      <c r="D3211" s="7" t="s">
        <v>4127</v>
      </c>
      <c r="E3211" s="7" t="s">
        <v>5726</v>
      </c>
      <c r="F3211" s="7"/>
      <c r="G3211" s="4" t="s">
        <v>3190</v>
      </c>
      <c r="H3211" s="22">
        <v>0</v>
      </c>
      <c r="I3211" s="18">
        <v>710000000</v>
      </c>
      <c r="J3211" s="4" t="s">
        <v>1931</v>
      </c>
      <c r="K3211" s="4" t="s">
        <v>5297</v>
      </c>
      <c r="L3211" s="4" t="s">
        <v>1889</v>
      </c>
      <c r="M3211" s="8" t="s">
        <v>3195</v>
      </c>
      <c r="N3211" s="4" t="s">
        <v>1890</v>
      </c>
      <c r="O3211" s="8" t="s">
        <v>1935</v>
      </c>
      <c r="P3211" s="8">
        <v>796</v>
      </c>
      <c r="Q3211" s="8" t="s">
        <v>3196</v>
      </c>
      <c r="R3211" s="19">
        <v>4</v>
      </c>
      <c r="S3211" s="10">
        <v>4464.25</v>
      </c>
      <c r="T3211" s="10">
        <v>0</v>
      </c>
      <c r="U3211" s="10">
        <f t="shared" si="2006"/>
        <v>0</v>
      </c>
      <c r="V3211" s="11"/>
      <c r="W3211" s="11">
        <v>2015</v>
      </c>
      <c r="X3211" s="1">
        <v>11</v>
      </c>
    </row>
    <row r="3212" spans="1:46" ht="76.5" customHeight="1" outlineLevel="1" x14ac:dyDescent="0.2">
      <c r="A3212" s="1" t="s">
        <v>7641</v>
      </c>
      <c r="B3212" s="24" t="s">
        <v>5277</v>
      </c>
      <c r="C3212" s="7" t="s">
        <v>4126</v>
      </c>
      <c r="D3212" s="7" t="s">
        <v>4127</v>
      </c>
      <c r="E3212" s="7" t="s">
        <v>5726</v>
      </c>
      <c r="F3212" s="7"/>
      <c r="G3212" s="4" t="s">
        <v>3190</v>
      </c>
      <c r="H3212" s="22">
        <v>0</v>
      </c>
      <c r="I3212" s="18">
        <v>710000000</v>
      </c>
      <c r="J3212" s="4" t="s">
        <v>1931</v>
      </c>
      <c r="K3212" s="4" t="s">
        <v>756</v>
      </c>
      <c r="L3212" s="4" t="s">
        <v>1889</v>
      </c>
      <c r="M3212" s="8" t="s">
        <v>3195</v>
      </c>
      <c r="N3212" s="4" t="s">
        <v>1890</v>
      </c>
      <c r="O3212" s="8" t="s">
        <v>1935</v>
      </c>
      <c r="P3212" s="8">
        <v>796</v>
      </c>
      <c r="Q3212" s="8" t="s">
        <v>3196</v>
      </c>
      <c r="R3212" s="19">
        <v>4</v>
      </c>
      <c r="S3212" s="10">
        <v>4464.25</v>
      </c>
      <c r="T3212" s="10">
        <f t="shared" ref="T3212" si="2027">S3212*R3212</f>
        <v>17857</v>
      </c>
      <c r="U3212" s="10">
        <f t="shared" ref="U3212" si="2028">T3212*1.12</f>
        <v>19999.84</v>
      </c>
      <c r="V3212" s="11"/>
      <c r="W3212" s="11">
        <v>2015</v>
      </c>
      <c r="X3212" s="20"/>
    </row>
    <row r="3213" spans="1:46" ht="76.5" customHeight="1" outlineLevel="1" x14ac:dyDescent="0.2">
      <c r="A3213" s="1" t="s">
        <v>654</v>
      </c>
      <c r="B3213" s="24" t="s">
        <v>5277</v>
      </c>
      <c r="C3213" s="7" t="s">
        <v>3781</v>
      </c>
      <c r="D3213" s="7" t="s">
        <v>6194</v>
      </c>
      <c r="E3213" s="7" t="s">
        <v>6195</v>
      </c>
      <c r="F3213" s="7"/>
      <c r="G3213" s="4" t="s">
        <v>3190</v>
      </c>
      <c r="H3213" s="22">
        <v>0</v>
      </c>
      <c r="I3213" s="18">
        <v>710000000</v>
      </c>
      <c r="J3213" s="4" t="s">
        <v>1931</v>
      </c>
      <c r="K3213" s="4" t="s">
        <v>5297</v>
      </c>
      <c r="L3213" s="4" t="s">
        <v>1889</v>
      </c>
      <c r="M3213" s="8" t="s">
        <v>3195</v>
      </c>
      <c r="N3213" s="4" t="s">
        <v>1890</v>
      </c>
      <c r="O3213" s="8" t="s">
        <v>1935</v>
      </c>
      <c r="P3213" s="8">
        <v>715</v>
      </c>
      <c r="Q3213" s="4" t="s">
        <v>5247</v>
      </c>
      <c r="R3213" s="19">
        <v>3</v>
      </c>
      <c r="S3213" s="10">
        <v>17857</v>
      </c>
      <c r="T3213" s="10">
        <v>0</v>
      </c>
      <c r="U3213" s="10">
        <f t="shared" si="2006"/>
        <v>0</v>
      </c>
      <c r="V3213" s="11"/>
      <c r="W3213" s="11">
        <v>2015</v>
      </c>
      <c r="X3213" s="1">
        <v>11</v>
      </c>
    </row>
    <row r="3214" spans="1:46" ht="76.5" customHeight="1" outlineLevel="1" x14ac:dyDescent="0.2">
      <c r="A3214" s="1" t="s">
        <v>7642</v>
      </c>
      <c r="B3214" s="24" t="s">
        <v>5277</v>
      </c>
      <c r="C3214" s="7" t="s">
        <v>3781</v>
      </c>
      <c r="D3214" s="7" t="s">
        <v>6194</v>
      </c>
      <c r="E3214" s="7" t="s">
        <v>6195</v>
      </c>
      <c r="F3214" s="7"/>
      <c r="G3214" s="4" t="s">
        <v>3190</v>
      </c>
      <c r="H3214" s="22">
        <v>0</v>
      </c>
      <c r="I3214" s="18">
        <v>710000000</v>
      </c>
      <c r="J3214" s="4" t="s">
        <v>1931</v>
      </c>
      <c r="K3214" s="4" t="s">
        <v>756</v>
      </c>
      <c r="L3214" s="4" t="s">
        <v>1889</v>
      </c>
      <c r="M3214" s="8" t="s">
        <v>3195</v>
      </c>
      <c r="N3214" s="4" t="s">
        <v>1890</v>
      </c>
      <c r="O3214" s="8" t="s">
        <v>1935</v>
      </c>
      <c r="P3214" s="8">
        <v>715</v>
      </c>
      <c r="Q3214" s="4" t="s">
        <v>5247</v>
      </c>
      <c r="R3214" s="19">
        <v>3</v>
      </c>
      <c r="S3214" s="10">
        <v>17857</v>
      </c>
      <c r="T3214" s="10">
        <f t="shared" ref="T3214" si="2029">S3214*R3214</f>
        <v>53571</v>
      </c>
      <c r="U3214" s="10">
        <f t="shared" ref="U3214" si="2030">T3214*1.12</f>
        <v>59999.520000000004</v>
      </c>
      <c r="V3214" s="11"/>
      <c r="W3214" s="11">
        <v>2015</v>
      </c>
      <c r="X3214" s="20"/>
    </row>
    <row r="3215" spans="1:46" s="58" customFormat="1" ht="76.5" customHeight="1" outlineLevel="1" x14ac:dyDescent="0.2">
      <c r="A3215" s="1" t="s">
        <v>655</v>
      </c>
      <c r="B3215" s="24" t="s">
        <v>5277</v>
      </c>
      <c r="C3215" s="7" t="s">
        <v>4200</v>
      </c>
      <c r="D3215" s="7" t="s">
        <v>6196</v>
      </c>
      <c r="E3215" s="7" t="s">
        <v>6197</v>
      </c>
      <c r="F3215" s="16" t="s">
        <v>6198</v>
      </c>
      <c r="G3215" s="4" t="s">
        <v>3190</v>
      </c>
      <c r="H3215" s="22">
        <v>0</v>
      </c>
      <c r="I3215" s="1">
        <v>710000000</v>
      </c>
      <c r="J3215" s="4" t="s">
        <v>1931</v>
      </c>
      <c r="K3215" s="4" t="s">
        <v>5297</v>
      </c>
      <c r="L3215" s="4" t="s">
        <v>1889</v>
      </c>
      <c r="M3215" s="8" t="s">
        <v>3195</v>
      </c>
      <c r="N3215" s="4" t="s">
        <v>1890</v>
      </c>
      <c r="O3215" s="8" t="s">
        <v>1935</v>
      </c>
      <c r="P3215" s="8">
        <v>796</v>
      </c>
      <c r="Q3215" s="8" t="s">
        <v>3196</v>
      </c>
      <c r="R3215" s="10">
        <v>5</v>
      </c>
      <c r="S3215" s="10">
        <v>3125</v>
      </c>
      <c r="T3215" s="10">
        <v>0</v>
      </c>
      <c r="U3215" s="10">
        <f t="shared" si="2006"/>
        <v>0</v>
      </c>
      <c r="V3215" s="11"/>
      <c r="W3215" s="11">
        <v>2015</v>
      </c>
      <c r="X3215" s="1">
        <v>11</v>
      </c>
    </row>
    <row r="3216" spans="1:46" s="58" customFormat="1" ht="76.5" customHeight="1" outlineLevel="1" x14ac:dyDescent="0.2">
      <c r="A3216" s="1" t="s">
        <v>7643</v>
      </c>
      <c r="B3216" s="24" t="s">
        <v>5277</v>
      </c>
      <c r="C3216" s="7" t="s">
        <v>4200</v>
      </c>
      <c r="D3216" s="7" t="s">
        <v>6196</v>
      </c>
      <c r="E3216" s="7" t="s">
        <v>6197</v>
      </c>
      <c r="F3216" s="16" t="s">
        <v>6198</v>
      </c>
      <c r="G3216" s="4" t="s">
        <v>3190</v>
      </c>
      <c r="H3216" s="22">
        <v>0</v>
      </c>
      <c r="I3216" s="1">
        <v>710000000</v>
      </c>
      <c r="J3216" s="4" t="s">
        <v>1931</v>
      </c>
      <c r="K3216" s="4" t="s">
        <v>756</v>
      </c>
      <c r="L3216" s="4" t="s">
        <v>1889</v>
      </c>
      <c r="M3216" s="8" t="s">
        <v>3195</v>
      </c>
      <c r="N3216" s="4" t="s">
        <v>1890</v>
      </c>
      <c r="O3216" s="8" t="s">
        <v>1935</v>
      </c>
      <c r="P3216" s="8">
        <v>796</v>
      </c>
      <c r="Q3216" s="8" t="s">
        <v>3196</v>
      </c>
      <c r="R3216" s="10">
        <v>5</v>
      </c>
      <c r="S3216" s="10">
        <v>3125</v>
      </c>
      <c r="T3216" s="10">
        <f t="shared" ref="T3216" si="2031">S3216*R3216</f>
        <v>15625</v>
      </c>
      <c r="U3216" s="10">
        <f t="shared" ref="U3216" si="2032">T3216*1.12</f>
        <v>17500</v>
      </c>
      <c r="V3216" s="11"/>
      <c r="W3216" s="11">
        <v>2015</v>
      </c>
      <c r="X3216" s="16"/>
    </row>
    <row r="3217" spans="1:24" s="58" customFormat="1" ht="76.5" customHeight="1" outlineLevel="1" x14ac:dyDescent="0.2">
      <c r="A3217" s="1" t="s">
        <v>656</v>
      </c>
      <c r="B3217" s="24" t="s">
        <v>5277</v>
      </c>
      <c r="C3217" s="16" t="s">
        <v>3782</v>
      </c>
      <c r="D3217" s="16" t="s">
        <v>3783</v>
      </c>
      <c r="E3217" s="16" t="s">
        <v>6199</v>
      </c>
      <c r="F3217" s="16" t="s">
        <v>6200</v>
      </c>
      <c r="G3217" s="4" t="s">
        <v>3190</v>
      </c>
      <c r="H3217" s="22">
        <v>0</v>
      </c>
      <c r="I3217" s="1">
        <v>710000000</v>
      </c>
      <c r="J3217" s="4" t="s">
        <v>1931</v>
      </c>
      <c r="K3217" s="4" t="s">
        <v>5297</v>
      </c>
      <c r="L3217" s="4" t="s">
        <v>1889</v>
      </c>
      <c r="M3217" s="8" t="s">
        <v>3195</v>
      </c>
      <c r="N3217" s="4" t="s">
        <v>1890</v>
      </c>
      <c r="O3217" s="8" t="s">
        <v>1935</v>
      </c>
      <c r="P3217" s="16" t="s">
        <v>3418</v>
      </c>
      <c r="Q3217" s="16" t="s">
        <v>5247</v>
      </c>
      <c r="R3217" s="10">
        <v>4</v>
      </c>
      <c r="S3217" s="10">
        <v>11770</v>
      </c>
      <c r="T3217" s="10">
        <v>0</v>
      </c>
      <c r="U3217" s="10">
        <f t="shared" si="2006"/>
        <v>0</v>
      </c>
      <c r="V3217" s="11"/>
      <c r="W3217" s="11">
        <v>2015</v>
      </c>
      <c r="X3217" s="16">
        <v>11</v>
      </c>
    </row>
    <row r="3218" spans="1:24" s="58" customFormat="1" ht="76.5" customHeight="1" outlineLevel="1" x14ac:dyDescent="0.2">
      <c r="A3218" s="1" t="s">
        <v>7644</v>
      </c>
      <c r="B3218" s="24" t="s">
        <v>5277</v>
      </c>
      <c r="C3218" s="16" t="s">
        <v>3782</v>
      </c>
      <c r="D3218" s="16" t="s">
        <v>3783</v>
      </c>
      <c r="E3218" s="16" t="s">
        <v>6199</v>
      </c>
      <c r="F3218" s="16" t="s">
        <v>6200</v>
      </c>
      <c r="G3218" s="4" t="s">
        <v>3190</v>
      </c>
      <c r="H3218" s="22">
        <v>0</v>
      </c>
      <c r="I3218" s="1">
        <v>710000000</v>
      </c>
      <c r="J3218" s="4" t="s">
        <v>1931</v>
      </c>
      <c r="K3218" s="4" t="s">
        <v>756</v>
      </c>
      <c r="L3218" s="4" t="s">
        <v>1889</v>
      </c>
      <c r="M3218" s="8" t="s">
        <v>3195</v>
      </c>
      <c r="N3218" s="4" t="s">
        <v>1890</v>
      </c>
      <c r="O3218" s="8" t="s">
        <v>1935</v>
      </c>
      <c r="P3218" s="16" t="s">
        <v>3418</v>
      </c>
      <c r="Q3218" s="16" t="s">
        <v>5247</v>
      </c>
      <c r="R3218" s="10">
        <v>4</v>
      </c>
      <c r="S3218" s="10">
        <v>11770</v>
      </c>
      <c r="T3218" s="10">
        <f t="shared" ref="T3218" si="2033">S3218*R3218</f>
        <v>47080</v>
      </c>
      <c r="U3218" s="10">
        <f t="shared" ref="U3218" si="2034">T3218*1.12</f>
        <v>52729.600000000006</v>
      </c>
      <c r="V3218" s="11"/>
      <c r="W3218" s="11">
        <v>2015</v>
      </c>
      <c r="X3218" s="16"/>
    </row>
    <row r="3219" spans="1:24" s="58" customFormat="1" ht="76.5" customHeight="1" outlineLevel="1" x14ac:dyDescent="0.2">
      <c r="A3219" s="1" t="s">
        <v>657</v>
      </c>
      <c r="B3219" s="24" t="s">
        <v>5277</v>
      </c>
      <c r="C3219" s="16" t="s">
        <v>3782</v>
      </c>
      <c r="D3219" s="16" t="s">
        <v>3783</v>
      </c>
      <c r="E3219" s="16" t="s">
        <v>6199</v>
      </c>
      <c r="F3219" s="16" t="s">
        <v>6201</v>
      </c>
      <c r="G3219" s="4" t="s">
        <v>3190</v>
      </c>
      <c r="H3219" s="22">
        <v>0</v>
      </c>
      <c r="I3219" s="1">
        <v>710000000</v>
      </c>
      <c r="J3219" s="4" t="s">
        <v>1931</v>
      </c>
      <c r="K3219" s="4" t="s">
        <v>5297</v>
      </c>
      <c r="L3219" s="4" t="s">
        <v>1889</v>
      </c>
      <c r="M3219" s="8" t="s">
        <v>3195</v>
      </c>
      <c r="N3219" s="4" t="s">
        <v>1890</v>
      </c>
      <c r="O3219" s="8" t="s">
        <v>1935</v>
      </c>
      <c r="P3219" s="16" t="s">
        <v>3418</v>
      </c>
      <c r="Q3219" s="16" t="s">
        <v>5247</v>
      </c>
      <c r="R3219" s="10">
        <v>4</v>
      </c>
      <c r="S3219" s="10">
        <v>12840</v>
      </c>
      <c r="T3219" s="10">
        <v>0</v>
      </c>
      <c r="U3219" s="10">
        <f t="shared" si="2006"/>
        <v>0</v>
      </c>
      <c r="V3219" s="11"/>
      <c r="W3219" s="11">
        <v>2015</v>
      </c>
      <c r="X3219" s="16">
        <v>11</v>
      </c>
    </row>
    <row r="3220" spans="1:24" s="58" customFormat="1" ht="76.5" customHeight="1" outlineLevel="1" x14ac:dyDescent="0.2">
      <c r="A3220" s="1" t="s">
        <v>7645</v>
      </c>
      <c r="B3220" s="24" t="s">
        <v>5277</v>
      </c>
      <c r="C3220" s="16" t="s">
        <v>3782</v>
      </c>
      <c r="D3220" s="16" t="s">
        <v>3783</v>
      </c>
      <c r="E3220" s="16" t="s">
        <v>6199</v>
      </c>
      <c r="F3220" s="16" t="s">
        <v>6201</v>
      </c>
      <c r="G3220" s="4" t="s">
        <v>3190</v>
      </c>
      <c r="H3220" s="22">
        <v>0</v>
      </c>
      <c r="I3220" s="1">
        <v>710000000</v>
      </c>
      <c r="J3220" s="4" t="s">
        <v>1931</v>
      </c>
      <c r="K3220" s="4" t="s">
        <v>756</v>
      </c>
      <c r="L3220" s="4" t="s">
        <v>1889</v>
      </c>
      <c r="M3220" s="8" t="s">
        <v>3195</v>
      </c>
      <c r="N3220" s="4" t="s">
        <v>1890</v>
      </c>
      <c r="O3220" s="8" t="s">
        <v>1935</v>
      </c>
      <c r="P3220" s="16" t="s">
        <v>3418</v>
      </c>
      <c r="Q3220" s="16" t="s">
        <v>5247</v>
      </c>
      <c r="R3220" s="10">
        <v>4</v>
      </c>
      <c r="S3220" s="10">
        <v>12840</v>
      </c>
      <c r="T3220" s="10">
        <f t="shared" ref="T3220" si="2035">S3220*R3220</f>
        <v>51360</v>
      </c>
      <c r="U3220" s="10">
        <f t="shared" ref="U3220" si="2036">T3220*1.12</f>
        <v>57523.200000000004</v>
      </c>
      <c r="V3220" s="11"/>
      <c r="W3220" s="11">
        <v>2015</v>
      </c>
      <c r="X3220" s="16"/>
    </row>
    <row r="3221" spans="1:24" s="58" customFormat="1" ht="76.5" customHeight="1" outlineLevel="1" x14ac:dyDescent="0.2">
      <c r="A3221" s="1" t="s">
        <v>658</v>
      </c>
      <c r="B3221" s="24" t="s">
        <v>5277</v>
      </c>
      <c r="C3221" s="16" t="s">
        <v>3779</v>
      </c>
      <c r="D3221" s="16" t="s">
        <v>6187</v>
      </c>
      <c r="E3221" s="16" t="s">
        <v>6188</v>
      </c>
      <c r="F3221" s="16" t="s">
        <v>6189</v>
      </c>
      <c r="G3221" s="4" t="s">
        <v>3190</v>
      </c>
      <c r="H3221" s="22">
        <v>0</v>
      </c>
      <c r="I3221" s="1">
        <v>710000000</v>
      </c>
      <c r="J3221" s="4" t="s">
        <v>1931</v>
      </c>
      <c r="K3221" s="4" t="s">
        <v>5297</v>
      </c>
      <c r="L3221" s="4" t="s">
        <v>1889</v>
      </c>
      <c r="M3221" s="8" t="s">
        <v>3195</v>
      </c>
      <c r="N3221" s="4" t="s">
        <v>1890</v>
      </c>
      <c r="O3221" s="8" t="s">
        <v>1935</v>
      </c>
      <c r="P3221" s="8">
        <v>796</v>
      </c>
      <c r="Q3221" s="8" t="s">
        <v>3196</v>
      </c>
      <c r="R3221" s="10">
        <v>2</v>
      </c>
      <c r="S3221" s="10">
        <v>6875</v>
      </c>
      <c r="T3221" s="10">
        <v>0</v>
      </c>
      <c r="U3221" s="10">
        <f t="shared" si="2006"/>
        <v>0</v>
      </c>
      <c r="V3221" s="11"/>
      <c r="W3221" s="11">
        <v>2015</v>
      </c>
      <c r="X3221" s="16">
        <v>11</v>
      </c>
    </row>
    <row r="3222" spans="1:24" s="58" customFormat="1" ht="76.5" customHeight="1" outlineLevel="1" x14ac:dyDescent="0.2">
      <c r="A3222" s="1" t="s">
        <v>7646</v>
      </c>
      <c r="B3222" s="24" t="s">
        <v>5277</v>
      </c>
      <c r="C3222" s="16" t="s">
        <v>3779</v>
      </c>
      <c r="D3222" s="16" t="s">
        <v>6187</v>
      </c>
      <c r="E3222" s="16" t="s">
        <v>6188</v>
      </c>
      <c r="F3222" s="16" t="s">
        <v>6189</v>
      </c>
      <c r="G3222" s="4" t="s">
        <v>3190</v>
      </c>
      <c r="H3222" s="22">
        <v>0</v>
      </c>
      <c r="I3222" s="1">
        <v>710000000</v>
      </c>
      <c r="J3222" s="4" t="s">
        <v>1931</v>
      </c>
      <c r="K3222" s="4" t="s">
        <v>756</v>
      </c>
      <c r="L3222" s="4" t="s">
        <v>1889</v>
      </c>
      <c r="M3222" s="8" t="s">
        <v>3195</v>
      </c>
      <c r="N3222" s="4" t="s">
        <v>1890</v>
      </c>
      <c r="O3222" s="8" t="s">
        <v>1935</v>
      </c>
      <c r="P3222" s="8">
        <v>796</v>
      </c>
      <c r="Q3222" s="8" t="s">
        <v>3196</v>
      </c>
      <c r="R3222" s="10">
        <v>2</v>
      </c>
      <c r="S3222" s="10">
        <v>6875</v>
      </c>
      <c r="T3222" s="10">
        <f t="shared" ref="T3222" si="2037">S3222*R3222</f>
        <v>13750</v>
      </c>
      <c r="U3222" s="10">
        <f t="shared" ref="U3222" si="2038">T3222*1.12</f>
        <v>15400.000000000002</v>
      </c>
      <c r="V3222" s="11"/>
      <c r="W3222" s="11">
        <v>2015</v>
      </c>
      <c r="X3222" s="16"/>
    </row>
    <row r="3223" spans="1:24" s="58" customFormat="1" ht="76.5" customHeight="1" outlineLevel="1" x14ac:dyDescent="0.2">
      <c r="A3223" s="1" t="s">
        <v>703</v>
      </c>
      <c r="B3223" s="24" t="s">
        <v>5277</v>
      </c>
      <c r="C3223" s="16" t="s">
        <v>3779</v>
      </c>
      <c r="D3223" s="16" t="s">
        <v>6187</v>
      </c>
      <c r="E3223" s="16" t="s">
        <v>6188</v>
      </c>
      <c r="F3223" s="16" t="s">
        <v>6193</v>
      </c>
      <c r="G3223" s="4" t="s">
        <v>3190</v>
      </c>
      <c r="H3223" s="22">
        <v>0</v>
      </c>
      <c r="I3223" s="1">
        <v>710000000</v>
      </c>
      <c r="J3223" s="4" t="s">
        <v>1931</v>
      </c>
      <c r="K3223" s="4" t="s">
        <v>5297</v>
      </c>
      <c r="L3223" s="4" t="s">
        <v>1889</v>
      </c>
      <c r="M3223" s="8" t="s">
        <v>3195</v>
      </c>
      <c r="N3223" s="4" t="s">
        <v>1890</v>
      </c>
      <c r="O3223" s="8" t="s">
        <v>1935</v>
      </c>
      <c r="P3223" s="8">
        <v>796</v>
      </c>
      <c r="Q3223" s="8" t="s">
        <v>3196</v>
      </c>
      <c r="R3223" s="10">
        <v>2</v>
      </c>
      <c r="S3223" s="10">
        <v>17500</v>
      </c>
      <c r="T3223" s="10">
        <v>0</v>
      </c>
      <c r="U3223" s="10">
        <f t="shared" si="2006"/>
        <v>0</v>
      </c>
      <c r="V3223" s="11"/>
      <c r="W3223" s="11">
        <v>2015</v>
      </c>
      <c r="X3223" s="16">
        <v>11</v>
      </c>
    </row>
    <row r="3224" spans="1:24" s="58" customFormat="1" ht="76.5" customHeight="1" outlineLevel="1" x14ac:dyDescent="0.2">
      <c r="A3224" s="1" t="s">
        <v>7647</v>
      </c>
      <c r="B3224" s="24" t="s">
        <v>5277</v>
      </c>
      <c r="C3224" s="16" t="s">
        <v>3779</v>
      </c>
      <c r="D3224" s="16" t="s">
        <v>6187</v>
      </c>
      <c r="E3224" s="16" t="s">
        <v>6188</v>
      </c>
      <c r="F3224" s="16" t="s">
        <v>6193</v>
      </c>
      <c r="G3224" s="4" t="s">
        <v>3190</v>
      </c>
      <c r="H3224" s="22">
        <v>0</v>
      </c>
      <c r="I3224" s="1">
        <v>710000000</v>
      </c>
      <c r="J3224" s="4" t="s">
        <v>1931</v>
      </c>
      <c r="K3224" s="4" t="s">
        <v>756</v>
      </c>
      <c r="L3224" s="4" t="s">
        <v>1889</v>
      </c>
      <c r="M3224" s="8" t="s">
        <v>3195</v>
      </c>
      <c r="N3224" s="4" t="s">
        <v>1890</v>
      </c>
      <c r="O3224" s="8" t="s">
        <v>1935</v>
      </c>
      <c r="P3224" s="8">
        <v>796</v>
      </c>
      <c r="Q3224" s="8" t="s">
        <v>3196</v>
      </c>
      <c r="R3224" s="10">
        <v>2</v>
      </c>
      <c r="S3224" s="10">
        <v>17500</v>
      </c>
      <c r="T3224" s="10">
        <f t="shared" ref="T3224" si="2039">S3224*R3224</f>
        <v>35000</v>
      </c>
      <c r="U3224" s="10">
        <f t="shared" ref="U3224" si="2040">T3224*1.12</f>
        <v>39200.000000000007</v>
      </c>
      <c r="V3224" s="11"/>
      <c r="W3224" s="11">
        <v>2015</v>
      </c>
      <c r="X3224" s="16"/>
    </row>
    <row r="3225" spans="1:24" s="58" customFormat="1" ht="76.5" customHeight="1" outlineLevel="1" x14ac:dyDescent="0.2">
      <c r="A3225" s="1" t="s">
        <v>704</v>
      </c>
      <c r="B3225" s="24" t="s">
        <v>5277</v>
      </c>
      <c r="C3225" s="16" t="s">
        <v>3780</v>
      </c>
      <c r="D3225" s="16" t="s">
        <v>6191</v>
      </c>
      <c r="E3225" s="16" t="s">
        <v>6192</v>
      </c>
      <c r="F3225" s="16"/>
      <c r="G3225" s="4" t="s">
        <v>3190</v>
      </c>
      <c r="H3225" s="22">
        <v>0</v>
      </c>
      <c r="I3225" s="1">
        <v>710000000</v>
      </c>
      <c r="J3225" s="4" t="s">
        <v>1931</v>
      </c>
      <c r="K3225" s="4" t="s">
        <v>5297</v>
      </c>
      <c r="L3225" s="4" t="s">
        <v>1889</v>
      </c>
      <c r="M3225" s="8" t="s">
        <v>3195</v>
      </c>
      <c r="N3225" s="4" t="s">
        <v>1890</v>
      </c>
      <c r="O3225" s="8" t="s">
        <v>1935</v>
      </c>
      <c r="P3225" s="8">
        <v>796</v>
      </c>
      <c r="Q3225" s="8" t="s">
        <v>3196</v>
      </c>
      <c r="R3225" s="10">
        <v>2</v>
      </c>
      <c r="S3225" s="10">
        <v>6428</v>
      </c>
      <c r="T3225" s="10">
        <v>0</v>
      </c>
      <c r="U3225" s="10">
        <f t="shared" si="2006"/>
        <v>0</v>
      </c>
      <c r="V3225" s="11"/>
      <c r="W3225" s="11">
        <v>2015</v>
      </c>
      <c r="X3225" s="16">
        <v>11</v>
      </c>
    </row>
    <row r="3226" spans="1:24" s="58" customFormat="1" ht="76.5" customHeight="1" outlineLevel="1" x14ac:dyDescent="0.2">
      <c r="A3226" s="1" t="s">
        <v>7648</v>
      </c>
      <c r="B3226" s="24" t="s">
        <v>5277</v>
      </c>
      <c r="C3226" s="16" t="s">
        <v>3780</v>
      </c>
      <c r="D3226" s="16" t="s">
        <v>6191</v>
      </c>
      <c r="E3226" s="16" t="s">
        <v>6192</v>
      </c>
      <c r="F3226" s="16"/>
      <c r="G3226" s="4" t="s">
        <v>3190</v>
      </c>
      <c r="H3226" s="22">
        <v>0</v>
      </c>
      <c r="I3226" s="1">
        <v>710000000</v>
      </c>
      <c r="J3226" s="4" t="s">
        <v>1931</v>
      </c>
      <c r="K3226" s="4" t="s">
        <v>756</v>
      </c>
      <c r="L3226" s="4" t="s">
        <v>1889</v>
      </c>
      <c r="M3226" s="8" t="s">
        <v>3195</v>
      </c>
      <c r="N3226" s="4" t="s">
        <v>1890</v>
      </c>
      <c r="O3226" s="8" t="s">
        <v>1935</v>
      </c>
      <c r="P3226" s="8">
        <v>796</v>
      </c>
      <c r="Q3226" s="8" t="s">
        <v>3196</v>
      </c>
      <c r="R3226" s="10">
        <v>2</v>
      </c>
      <c r="S3226" s="10">
        <v>6428</v>
      </c>
      <c r="T3226" s="10">
        <f t="shared" ref="T3226" si="2041">S3226*R3226</f>
        <v>12856</v>
      </c>
      <c r="U3226" s="10">
        <f t="shared" ref="U3226" si="2042">T3226*1.12</f>
        <v>14398.720000000001</v>
      </c>
      <c r="V3226" s="11"/>
      <c r="W3226" s="11">
        <v>2015</v>
      </c>
      <c r="X3226" s="16"/>
    </row>
    <row r="3227" spans="1:24" ht="76.5" customHeight="1" outlineLevel="1" x14ac:dyDescent="0.2">
      <c r="A3227" s="1" t="s">
        <v>705</v>
      </c>
      <c r="B3227" s="24" t="s">
        <v>5277</v>
      </c>
      <c r="C3227" s="16" t="s">
        <v>3778</v>
      </c>
      <c r="D3227" s="16" t="s">
        <v>6185</v>
      </c>
      <c r="E3227" s="16" t="s">
        <v>6186</v>
      </c>
      <c r="F3227" s="59"/>
      <c r="G3227" s="4" t="s">
        <v>3190</v>
      </c>
      <c r="H3227" s="22">
        <v>0</v>
      </c>
      <c r="I3227" s="1">
        <v>710000000</v>
      </c>
      <c r="J3227" s="4" t="s">
        <v>1931</v>
      </c>
      <c r="K3227" s="4" t="s">
        <v>5297</v>
      </c>
      <c r="L3227" s="4" t="s">
        <v>1889</v>
      </c>
      <c r="M3227" s="8" t="s">
        <v>3195</v>
      </c>
      <c r="N3227" s="4" t="s">
        <v>1890</v>
      </c>
      <c r="O3227" s="8" t="s">
        <v>1935</v>
      </c>
      <c r="P3227" s="8">
        <v>796</v>
      </c>
      <c r="Q3227" s="8" t="s">
        <v>3196</v>
      </c>
      <c r="R3227" s="26">
        <v>2</v>
      </c>
      <c r="S3227" s="26">
        <v>4464.5</v>
      </c>
      <c r="T3227" s="10">
        <v>0</v>
      </c>
      <c r="U3227" s="10">
        <f t="shared" si="2006"/>
        <v>0</v>
      </c>
      <c r="V3227" s="11"/>
      <c r="W3227" s="11">
        <v>2015</v>
      </c>
      <c r="X3227" s="4">
        <v>11</v>
      </c>
    </row>
    <row r="3228" spans="1:24" ht="76.5" customHeight="1" outlineLevel="1" x14ac:dyDescent="0.2">
      <c r="A3228" s="1" t="s">
        <v>7649</v>
      </c>
      <c r="B3228" s="24" t="s">
        <v>5277</v>
      </c>
      <c r="C3228" s="16" t="s">
        <v>3778</v>
      </c>
      <c r="D3228" s="16" t="s">
        <v>6185</v>
      </c>
      <c r="E3228" s="16" t="s">
        <v>6186</v>
      </c>
      <c r="F3228" s="59"/>
      <c r="G3228" s="4" t="s">
        <v>3190</v>
      </c>
      <c r="H3228" s="22">
        <v>0</v>
      </c>
      <c r="I3228" s="1">
        <v>710000000</v>
      </c>
      <c r="J3228" s="4" t="s">
        <v>1931</v>
      </c>
      <c r="K3228" s="4" t="s">
        <v>756</v>
      </c>
      <c r="L3228" s="4" t="s">
        <v>1889</v>
      </c>
      <c r="M3228" s="8" t="s">
        <v>3195</v>
      </c>
      <c r="N3228" s="4" t="s">
        <v>1890</v>
      </c>
      <c r="O3228" s="8" t="s">
        <v>1935</v>
      </c>
      <c r="P3228" s="8">
        <v>796</v>
      </c>
      <c r="Q3228" s="8" t="s">
        <v>3196</v>
      </c>
      <c r="R3228" s="26">
        <v>2</v>
      </c>
      <c r="S3228" s="26">
        <v>4464.5</v>
      </c>
      <c r="T3228" s="10">
        <f t="shared" ref="T3228" si="2043">S3228*R3228</f>
        <v>8929</v>
      </c>
      <c r="U3228" s="10">
        <f t="shared" ref="U3228" si="2044">T3228*1.12</f>
        <v>10000.480000000001</v>
      </c>
      <c r="V3228" s="11"/>
      <c r="W3228" s="11">
        <v>2015</v>
      </c>
      <c r="X3228" s="4"/>
    </row>
    <row r="3229" spans="1:24" s="58" customFormat="1" ht="76.5" customHeight="1" outlineLevel="1" x14ac:dyDescent="0.2">
      <c r="A3229" s="1" t="s">
        <v>706</v>
      </c>
      <c r="B3229" s="24" t="s">
        <v>5277</v>
      </c>
      <c r="C3229" s="16" t="s">
        <v>6545</v>
      </c>
      <c r="D3229" s="16" t="s">
        <v>6546</v>
      </c>
      <c r="E3229" s="16" t="s">
        <v>6547</v>
      </c>
      <c r="F3229" s="16" t="s">
        <v>6544</v>
      </c>
      <c r="G3229" s="4" t="s">
        <v>3190</v>
      </c>
      <c r="H3229" s="22">
        <v>0</v>
      </c>
      <c r="I3229" s="1">
        <v>710000000</v>
      </c>
      <c r="J3229" s="4" t="s">
        <v>1931</v>
      </c>
      <c r="K3229" s="4" t="s">
        <v>5297</v>
      </c>
      <c r="L3229" s="4" t="s">
        <v>1889</v>
      </c>
      <c r="M3229" s="8" t="s">
        <v>3195</v>
      </c>
      <c r="N3229" s="4" t="s">
        <v>1890</v>
      </c>
      <c r="O3229" s="8" t="s">
        <v>1935</v>
      </c>
      <c r="P3229" s="8">
        <v>796</v>
      </c>
      <c r="Q3229" s="8" t="s">
        <v>3196</v>
      </c>
      <c r="R3229" s="10">
        <v>5</v>
      </c>
      <c r="S3229" s="10">
        <v>625</v>
      </c>
      <c r="T3229" s="10">
        <v>0</v>
      </c>
      <c r="U3229" s="10">
        <f t="shared" si="2006"/>
        <v>0</v>
      </c>
      <c r="V3229" s="11"/>
      <c r="W3229" s="11">
        <v>2015</v>
      </c>
      <c r="X3229" s="16">
        <v>11</v>
      </c>
    </row>
    <row r="3230" spans="1:24" s="58" customFormat="1" ht="76.5" customHeight="1" outlineLevel="1" x14ac:dyDescent="0.2">
      <c r="A3230" s="1" t="s">
        <v>7650</v>
      </c>
      <c r="B3230" s="24" t="s">
        <v>5277</v>
      </c>
      <c r="C3230" s="16" t="s">
        <v>6545</v>
      </c>
      <c r="D3230" s="16" t="s">
        <v>6546</v>
      </c>
      <c r="E3230" s="16" t="s">
        <v>6547</v>
      </c>
      <c r="F3230" s="16" t="s">
        <v>6544</v>
      </c>
      <c r="G3230" s="4" t="s">
        <v>3190</v>
      </c>
      <c r="H3230" s="22">
        <v>0</v>
      </c>
      <c r="I3230" s="1">
        <v>710000000</v>
      </c>
      <c r="J3230" s="4" t="s">
        <v>1931</v>
      </c>
      <c r="K3230" s="4" t="s">
        <v>756</v>
      </c>
      <c r="L3230" s="4" t="s">
        <v>1889</v>
      </c>
      <c r="M3230" s="8" t="s">
        <v>3195</v>
      </c>
      <c r="N3230" s="4" t="s">
        <v>1890</v>
      </c>
      <c r="O3230" s="8" t="s">
        <v>1935</v>
      </c>
      <c r="P3230" s="8">
        <v>796</v>
      </c>
      <c r="Q3230" s="8" t="s">
        <v>3196</v>
      </c>
      <c r="R3230" s="10">
        <v>5</v>
      </c>
      <c r="S3230" s="10">
        <v>625</v>
      </c>
      <c r="T3230" s="10">
        <f t="shared" ref="T3230" si="2045">S3230*R3230</f>
        <v>3125</v>
      </c>
      <c r="U3230" s="10">
        <f t="shared" ref="U3230" si="2046">T3230*1.12</f>
        <v>3500.0000000000005</v>
      </c>
      <c r="V3230" s="11"/>
      <c r="W3230" s="11">
        <v>2015</v>
      </c>
      <c r="X3230" s="16"/>
    </row>
    <row r="3231" spans="1:24" s="58" customFormat="1" ht="76.5" customHeight="1" outlineLevel="1" x14ac:dyDescent="0.2">
      <c r="A3231" s="1" t="s">
        <v>707</v>
      </c>
      <c r="B3231" s="24" t="s">
        <v>5277</v>
      </c>
      <c r="C3231" s="16" t="s">
        <v>6541</v>
      </c>
      <c r="D3231" s="16" t="s">
        <v>601</v>
      </c>
      <c r="E3231" s="16" t="s">
        <v>602</v>
      </c>
      <c r="F3231" s="16"/>
      <c r="G3231" s="4" t="s">
        <v>3190</v>
      </c>
      <c r="H3231" s="22">
        <v>0</v>
      </c>
      <c r="I3231" s="1">
        <v>710000000</v>
      </c>
      <c r="J3231" s="4" t="s">
        <v>1931</v>
      </c>
      <c r="K3231" s="4" t="s">
        <v>5297</v>
      </c>
      <c r="L3231" s="4" t="s">
        <v>1889</v>
      </c>
      <c r="M3231" s="8" t="s">
        <v>3195</v>
      </c>
      <c r="N3231" s="4" t="s">
        <v>1890</v>
      </c>
      <c r="O3231" s="8" t="s">
        <v>1935</v>
      </c>
      <c r="P3231" s="8">
        <v>796</v>
      </c>
      <c r="Q3231" s="8" t="s">
        <v>3196</v>
      </c>
      <c r="R3231" s="10">
        <v>100</v>
      </c>
      <c r="S3231" s="10">
        <v>62.5</v>
      </c>
      <c r="T3231" s="10">
        <v>0</v>
      </c>
      <c r="U3231" s="10">
        <f t="shared" si="2006"/>
        <v>0</v>
      </c>
      <c r="V3231" s="11"/>
      <c r="W3231" s="11">
        <v>2015</v>
      </c>
      <c r="X3231" s="16">
        <v>11</v>
      </c>
    </row>
    <row r="3232" spans="1:24" s="58" customFormat="1" ht="79.5" customHeight="1" outlineLevel="1" x14ac:dyDescent="0.2">
      <c r="A3232" s="1" t="s">
        <v>7651</v>
      </c>
      <c r="B3232" s="24" t="s">
        <v>5277</v>
      </c>
      <c r="C3232" s="16" t="s">
        <v>6541</v>
      </c>
      <c r="D3232" s="16" t="s">
        <v>601</v>
      </c>
      <c r="E3232" s="16" t="s">
        <v>602</v>
      </c>
      <c r="F3232" s="16"/>
      <c r="G3232" s="4" t="s">
        <v>3190</v>
      </c>
      <c r="H3232" s="22">
        <v>0</v>
      </c>
      <c r="I3232" s="1">
        <v>710000000</v>
      </c>
      <c r="J3232" s="4" t="s">
        <v>1931</v>
      </c>
      <c r="K3232" s="4" t="s">
        <v>756</v>
      </c>
      <c r="L3232" s="4" t="s">
        <v>1889</v>
      </c>
      <c r="M3232" s="8" t="s">
        <v>3195</v>
      </c>
      <c r="N3232" s="4" t="s">
        <v>1890</v>
      </c>
      <c r="O3232" s="8" t="s">
        <v>1935</v>
      </c>
      <c r="P3232" s="8">
        <v>796</v>
      </c>
      <c r="Q3232" s="8" t="s">
        <v>3196</v>
      </c>
      <c r="R3232" s="10">
        <v>100</v>
      </c>
      <c r="S3232" s="10">
        <v>62.5</v>
      </c>
      <c r="T3232" s="10">
        <f t="shared" ref="T3232" si="2047">S3232*R3232</f>
        <v>6250</v>
      </c>
      <c r="U3232" s="10">
        <f t="shared" ref="U3232" si="2048">T3232*1.12</f>
        <v>7000.0000000000009</v>
      </c>
      <c r="V3232" s="11"/>
      <c r="W3232" s="11">
        <v>2015</v>
      </c>
      <c r="X3232" s="16"/>
    </row>
    <row r="3233" spans="1:25" s="58" customFormat="1" ht="76.5" customHeight="1" outlineLevel="1" x14ac:dyDescent="0.2">
      <c r="A3233" s="1" t="s">
        <v>708</v>
      </c>
      <c r="B3233" s="24" t="s">
        <v>5277</v>
      </c>
      <c r="C3233" s="16" t="s">
        <v>630</v>
      </c>
      <c r="D3233" s="16" t="s">
        <v>631</v>
      </c>
      <c r="E3233" s="16" t="s">
        <v>6190</v>
      </c>
      <c r="F3233" s="16"/>
      <c r="G3233" s="4" t="s">
        <v>3190</v>
      </c>
      <c r="H3233" s="22">
        <v>0</v>
      </c>
      <c r="I3233" s="1">
        <v>710000000</v>
      </c>
      <c r="J3233" s="4" t="s">
        <v>1931</v>
      </c>
      <c r="K3233" s="4" t="s">
        <v>5297</v>
      </c>
      <c r="L3233" s="4" t="s">
        <v>1889</v>
      </c>
      <c r="M3233" s="8" t="s">
        <v>3195</v>
      </c>
      <c r="N3233" s="4" t="s">
        <v>1890</v>
      </c>
      <c r="O3233" s="8" t="s">
        <v>1935</v>
      </c>
      <c r="P3233" s="8">
        <v>796</v>
      </c>
      <c r="Q3233" s="8" t="s">
        <v>3196</v>
      </c>
      <c r="R3233" s="10">
        <v>5</v>
      </c>
      <c r="S3233" s="10">
        <v>1070</v>
      </c>
      <c r="T3233" s="10">
        <v>0</v>
      </c>
      <c r="U3233" s="10">
        <f t="shared" si="2006"/>
        <v>0</v>
      </c>
      <c r="V3233" s="11"/>
      <c r="W3233" s="11">
        <v>2015</v>
      </c>
      <c r="X3233" s="16">
        <v>11</v>
      </c>
    </row>
    <row r="3234" spans="1:25" s="58" customFormat="1" ht="76.5" customHeight="1" outlineLevel="1" x14ac:dyDescent="0.2">
      <c r="A3234" s="1" t="s">
        <v>7652</v>
      </c>
      <c r="B3234" s="24" t="s">
        <v>5277</v>
      </c>
      <c r="C3234" s="16" t="s">
        <v>630</v>
      </c>
      <c r="D3234" s="16" t="s">
        <v>631</v>
      </c>
      <c r="E3234" s="16" t="s">
        <v>6190</v>
      </c>
      <c r="F3234" s="16"/>
      <c r="G3234" s="4" t="s">
        <v>3190</v>
      </c>
      <c r="H3234" s="22">
        <v>0</v>
      </c>
      <c r="I3234" s="1">
        <v>710000000</v>
      </c>
      <c r="J3234" s="4" t="s">
        <v>1931</v>
      </c>
      <c r="K3234" s="4" t="s">
        <v>756</v>
      </c>
      <c r="L3234" s="4" t="s">
        <v>1889</v>
      </c>
      <c r="M3234" s="8" t="s">
        <v>3195</v>
      </c>
      <c r="N3234" s="4" t="s">
        <v>1890</v>
      </c>
      <c r="O3234" s="8" t="s">
        <v>1935</v>
      </c>
      <c r="P3234" s="8">
        <v>796</v>
      </c>
      <c r="Q3234" s="8" t="s">
        <v>3196</v>
      </c>
      <c r="R3234" s="10">
        <v>5</v>
      </c>
      <c r="S3234" s="10">
        <v>1070</v>
      </c>
      <c r="T3234" s="10">
        <f t="shared" ref="T3234" si="2049">S3234*R3234</f>
        <v>5350</v>
      </c>
      <c r="U3234" s="10">
        <f t="shared" ref="U3234" si="2050">T3234*1.12</f>
        <v>5992.0000000000009</v>
      </c>
      <c r="V3234" s="11"/>
      <c r="W3234" s="11">
        <v>2015</v>
      </c>
      <c r="X3234" s="16"/>
    </row>
    <row r="3235" spans="1:25" ht="76.5" customHeight="1" outlineLevel="1" x14ac:dyDescent="0.2">
      <c r="A3235" s="1" t="s">
        <v>709</v>
      </c>
      <c r="B3235" s="24" t="s">
        <v>5277</v>
      </c>
      <c r="C3235" s="7" t="s">
        <v>613</v>
      </c>
      <c r="D3235" s="7" t="s">
        <v>614</v>
      </c>
      <c r="E3235" s="7" t="s">
        <v>615</v>
      </c>
      <c r="F3235" s="7"/>
      <c r="G3235" s="4" t="s">
        <v>3190</v>
      </c>
      <c r="H3235" s="22">
        <v>0</v>
      </c>
      <c r="I3235" s="18">
        <v>710000000</v>
      </c>
      <c r="J3235" s="4" t="s">
        <v>1931</v>
      </c>
      <c r="K3235" s="4" t="s">
        <v>5297</v>
      </c>
      <c r="L3235" s="4" t="s">
        <v>1889</v>
      </c>
      <c r="M3235" s="8" t="s">
        <v>3195</v>
      </c>
      <c r="N3235" s="4" t="s">
        <v>1890</v>
      </c>
      <c r="O3235" s="8" t="s">
        <v>1935</v>
      </c>
      <c r="P3235" s="8">
        <v>715</v>
      </c>
      <c r="Q3235" s="4" t="s">
        <v>5247</v>
      </c>
      <c r="R3235" s="19">
        <v>25</v>
      </c>
      <c r="S3235" s="10">
        <v>535</v>
      </c>
      <c r="T3235" s="10">
        <v>0</v>
      </c>
      <c r="U3235" s="10">
        <f t="shared" si="2006"/>
        <v>0</v>
      </c>
      <c r="V3235" s="11"/>
      <c r="W3235" s="11">
        <v>2015</v>
      </c>
      <c r="X3235" s="1">
        <v>11</v>
      </c>
      <c r="Y3235" s="28"/>
    </row>
    <row r="3236" spans="1:25" ht="76.5" customHeight="1" outlineLevel="1" x14ac:dyDescent="0.2">
      <c r="A3236" s="1" t="s">
        <v>7653</v>
      </c>
      <c r="B3236" s="24" t="s">
        <v>5277</v>
      </c>
      <c r="C3236" s="7" t="s">
        <v>613</v>
      </c>
      <c r="D3236" s="7" t="s">
        <v>614</v>
      </c>
      <c r="E3236" s="7" t="s">
        <v>615</v>
      </c>
      <c r="F3236" s="7"/>
      <c r="G3236" s="4" t="s">
        <v>3190</v>
      </c>
      <c r="H3236" s="22">
        <v>0</v>
      </c>
      <c r="I3236" s="18">
        <v>710000000</v>
      </c>
      <c r="J3236" s="4" t="s">
        <v>1931</v>
      </c>
      <c r="K3236" s="4" t="s">
        <v>756</v>
      </c>
      <c r="L3236" s="4" t="s">
        <v>1889</v>
      </c>
      <c r="M3236" s="8" t="s">
        <v>3195</v>
      </c>
      <c r="N3236" s="4" t="s">
        <v>1890</v>
      </c>
      <c r="O3236" s="8" t="s">
        <v>1935</v>
      </c>
      <c r="P3236" s="8">
        <v>715</v>
      </c>
      <c r="Q3236" s="4" t="s">
        <v>5247</v>
      </c>
      <c r="R3236" s="19">
        <v>25</v>
      </c>
      <c r="S3236" s="10">
        <v>535</v>
      </c>
      <c r="T3236" s="10">
        <f t="shared" ref="T3236" si="2051">S3236*R3236</f>
        <v>13375</v>
      </c>
      <c r="U3236" s="10">
        <f t="shared" ref="U3236" si="2052">T3236*1.12</f>
        <v>14980.000000000002</v>
      </c>
      <c r="V3236" s="11"/>
      <c r="W3236" s="11">
        <v>2015</v>
      </c>
      <c r="X3236" s="20"/>
    </row>
    <row r="3237" spans="1:25" s="58" customFormat="1" ht="76.5" customHeight="1" outlineLevel="1" x14ac:dyDescent="0.2">
      <c r="A3237" s="1" t="s">
        <v>710</v>
      </c>
      <c r="B3237" s="24" t="s">
        <v>5277</v>
      </c>
      <c r="C3237" s="16" t="s">
        <v>3784</v>
      </c>
      <c r="D3237" s="16" t="s">
        <v>3785</v>
      </c>
      <c r="E3237" s="16" t="s">
        <v>6202</v>
      </c>
      <c r="F3237" s="16"/>
      <c r="G3237" s="4" t="s">
        <v>3190</v>
      </c>
      <c r="H3237" s="22">
        <v>0</v>
      </c>
      <c r="I3237" s="1">
        <v>710000000</v>
      </c>
      <c r="J3237" s="4" t="s">
        <v>1931</v>
      </c>
      <c r="K3237" s="4" t="s">
        <v>5297</v>
      </c>
      <c r="L3237" s="4" t="s">
        <v>1889</v>
      </c>
      <c r="M3237" s="8" t="s">
        <v>3195</v>
      </c>
      <c r="N3237" s="4" t="s">
        <v>1890</v>
      </c>
      <c r="O3237" s="8" t="s">
        <v>1935</v>
      </c>
      <c r="P3237" s="8">
        <v>796</v>
      </c>
      <c r="Q3237" s="8" t="s">
        <v>3196</v>
      </c>
      <c r="R3237" s="10">
        <v>4</v>
      </c>
      <c r="S3237" s="10">
        <v>3210</v>
      </c>
      <c r="T3237" s="10">
        <v>0</v>
      </c>
      <c r="U3237" s="10">
        <f t="shared" si="2006"/>
        <v>0</v>
      </c>
      <c r="V3237" s="11"/>
      <c r="W3237" s="11">
        <v>2015</v>
      </c>
      <c r="X3237" s="16">
        <v>11</v>
      </c>
    </row>
    <row r="3238" spans="1:25" s="58" customFormat="1" ht="76.5" customHeight="1" outlineLevel="1" x14ac:dyDescent="0.2">
      <c r="A3238" s="1" t="s">
        <v>7654</v>
      </c>
      <c r="B3238" s="24" t="s">
        <v>5277</v>
      </c>
      <c r="C3238" s="16" t="s">
        <v>3784</v>
      </c>
      <c r="D3238" s="16" t="s">
        <v>3785</v>
      </c>
      <c r="E3238" s="16" t="s">
        <v>6202</v>
      </c>
      <c r="F3238" s="16"/>
      <c r="G3238" s="4" t="s">
        <v>3190</v>
      </c>
      <c r="H3238" s="22">
        <v>0</v>
      </c>
      <c r="I3238" s="1">
        <v>710000000</v>
      </c>
      <c r="J3238" s="4" t="s">
        <v>1931</v>
      </c>
      <c r="K3238" s="4" t="s">
        <v>756</v>
      </c>
      <c r="L3238" s="4" t="s">
        <v>1889</v>
      </c>
      <c r="M3238" s="8" t="s">
        <v>3195</v>
      </c>
      <c r="N3238" s="4" t="s">
        <v>1890</v>
      </c>
      <c r="O3238" s="8" t="s">
        <v>1935</v>
      </c>
      <c r="P3238" s="8">
        <v>796</v>
      </c>
      <c r="Q3238" s="8" t="s">
        <v>3196</v>
      </c>
      <c r="R3238" s="10">
        <v>4</v>
      </c>
      <c r="S3238" s="10">
        <v>3210</v>
      </c>
      <c r="T3238" s="10">
        <f t="shared" ref="T3238" si="2053">S3238*R3238</f>
        <v>12840</v>
      </c>
      <c r="U3238" s="10">
        <f t="shared" ref="U3238" si="2054">T3238*1.12</f>
        <v>14380.800000000001</v>
      </c>
      <c r="V3238" s="11"/>
      <c r="W3238" s="11">
        <v>2015</v>
      </c>
      <c r="X3238" s="16"/>
    </row>
    <row r="3239" spans="1:25" s="58" customFormat="1" ht="76.5" customHeight="1" outlineLevel="1" x14ac:dyDescent="0.2">
      <c r="A3239" s="1" t="s">
        <v>711</v>
      </c>
      <c r="B3239" s="24" t="s">
        <v>5277</v>
      </c>
      <c r="C3239" s="16" t="s">
        <v>632</v>
      </c>
      <c r="D3239" s="16" t="s">
        <v>633</v>
      </c>
      <c r="E3239" s="16" t="s">
        <v>634</v>
      </c>
      <c r="F3239" s="16"/>
      <c r="G3239" s="4" t="s">
        <v>3190</v>
      </c>
      <c r="H3239" s="22">
        <v>0</v>
      </c>
      <c r="I3239" s="1">
        <v>710000000</v>
      </c>
      <c r="J3239" s="4" t="s">
        <v>1931</v>
      </c>
      <c r="K3239" s="4" t="s">
        <v>5297</v>
      </c>
      <c r="L3239" s="4" t="s">
        <v>1889</v>
      </c>
      <c r="M3239" s="8" t="s">
        <v>3195</v>
      </c>
      <c r="N3239" s="4" t="s">
        <v>1890</v>
      </c>
      <c r="O3239" s="8" t="s">
        <v>1935</v>
      </c>
      <c r="P3239" s="8">
        <v>796</v>
      </c>
      <c r="Q3239" s="8" t="s">
        <v>3196</v>
      </c>
      <c r="R3239" s="10">
        <v>1500</v>
      </c>
      <c r="S3239" s="10">
        <v>48.15</v>
      </c>
      <c r="T3239" s="10">
        <v>0</v>
      </c>
      <c r="U3239" s="10">
        <f t="shared" si="2006"/>
        <v>0</v>
      </c>
      <c r="V3239" s="11"/>
      <c r="W3239" s="11">
        <v>2015</v>
      </c>
      <c r="X3239" s="16">
        <v>11</v>
      </c>
    </row>
    <row r="3240" spans="1:25" s="58" customFormat="1" ht="76.5" customHeight="1" outlineLevel="1" x14ac:dyDescent="0.2">
      <c r="A3240" s="1" t="s">
        <v>7655</v>
      </c>
      <c r="B3240" s="24" t="s">
        <v>5277</v>
      </c>
      <c r="C3240" s="16" t="s">
        <v>632</v>
      </c>
      <c r="D3240" s="16" t="s">
        <v>633</v>
      </c>
      <c r="E3240" s="16" t="s">
        <v>634</v>
      </c>
      <c r="F3240" s="16"/>
      <c r="G3240" s="4" t="s">
        <v>3190</v>
      </c>
      <c r="H3240" s="22">
        <v>0</v>
      </c>
      <c r="I3240" s="1">
        <v>710000000</v>
      </c>
      <c r="J3240" s="4" t="s">
        <v>1931</v>
      </c>
      <c r="K3240" s="4" t="s">
        <v>756</v>
      </c>
      <c r="L3240" s="4" t="s">
        <v>1889</v>
      </c>
      <c r="M3240" s="8" t="s">
        <v>3195</v>
      </c>
      <c r="N3240" s="4" t="s">
        <v>1890</v>
      </c>
      <c r="O3240" s="8" t="s">
        <v>1935</v>
      </c>
      <c r="P3240" s="8">
        <v>796</v>
      </c>
      <c r="Q3240" s="8" t="s">
        <v>3196</v>
      </c>
      <c r="R3240" s="10">
        <v>1500</v>
      </c>
      <c r="S3240" s="10">
        <v>48.15</v>
      </c>
      <c r="T3240" s="10">
        <f t="shared" ref="T3240" si="2055">S3240*R3240</f>
        <v>72225</v>
      </c>
      <c r="U3240" s="10">
        <f t="shared" ref="U3240" si="2056">T3240*1.12</f>
        <v>80892.000000000015</v>
      </c>
      <c r="V3240" s="11"/>
      <c r="W3240" s="11">
        <v>2015</v>
      </c>
      <c r="X3240" s="16"/>
    </row>
    <row r="3241" spans="1:25" ht="89.25" customHeight="1" outlineLevel="1" x14ac:dyDescent="0.2">
      <c r="A3241" s="1" t="s">
        <v>712</v>
      </c>
      <c r="B3241" s="24" t="s">
        <v>5277</v>
      </c>
      <c r="C3241" s="4" t="s">
        <v>661</v>
      </c>
      <c r="D3241" s="4" t="s">
        <v>662</v>
      </c>
      <c r="E3241" s="4" t="s">
        <v>663</v>
      </c>
      <c r="F3241" s="25" t="s">
        <v>664</v>
      </c>
      <c r="G3241" s="1" t="s">
        <v>3187</v>
      </c>
      <c r="H3241" s="17">
        <v>0.4</v>
      </c>
      <c r="I3241" s="18">
        <v>710000000</v>
      </c>
      <c r="J3241" s="4" t="s">
        <v>1931</v>
      </c>
      <c r="K3241" s="4" t="s">
        <v>5292</v>
      </c>
      <c r="L3241" s="124" t="s">
        <v>1889</v>
      </c>
      <c r="M3241" s="8" t="s">
        <v>3195</v>
      </c>
      <c r="N3241" s="8" t="s">
        <v>1890</v>
      </c>
      <c r="O3241" s="8" t="s">
        <v>2146</v>
      </c>
      <c r="P3241" s="1">
        <v>839</v>
      </c>
      <c r="Q3241" s="8" t="s">
        <v>5413</v>
      </c>
      <c r="R3241" s="10">
        <v>18</v>
      </c>
      <c r="S3241" s="10">
        <v>22831.83</v>
      </c>
      <c r="T3241" s="10">
        <f t="shared" ref="T3241:T3259" si="2057">R3241*S3241</f>
        <v>410972.94000000006</v>
      </c>
      <c r="U3241" s="10">
        <f t="shared" si="2006"/>
        <v>460289.69280000014</v>
      </c>
      <c r="V3241" s="8" t="s">
        <v>665</v>
      </c>
      <c r="W3241" s="11">
        <v>2015</v>
      </c>
      <c r="X3241" s="8"/>
    </row>
    <row r="3242" spans="1:25" ht="89.25" customHeight="1" outlineLevel="1" x14ac:dyDescent="0.2">
      <c r="A3242" s="1" t="s">
        <v>713</v>
      </c>
      <c r="B3242" s="16" t="s">
        <v>5277</v>
      </c>
      <c r="C3242" s="25" t="s">
        <v>666</v>
      </c>
      <c r="D3242" s="25" t="s">
        <v>662</v>
      </c>
      <c r="E3242" s="25" t="s">
        <v>667</v>
      </c>
      <c r="F3242" s="25" t="s">
        <v>668</v>
      </c>
      <c r="G3242" s="1" t="s">
        <v>3187</v>
      </c>
      <c r="H3242" s="17">
        <v>0.4</v>
      </c>
      <c r="I3242" s="18">
        <v>710000000</v>
      </c>
      <c r="J3242" s="4" t="s">
        <v>1931</v>
      </c>
      <c r="K3242" s="4" t="s">
        <v>5292</v>
      </c>
      <c r="L3242" s="124" t="s">
        <v>1889</v>
      </c>
      <c r="M3242" s="4" t="s">
        <v>3195</v>
      </c>
      <c r="N3242" s="8" t="s">
        <v>1890</v>
      </c>
      <c r="O3242" s="8" t="s">
        <v>2146</v>
      </c>
      <c r="P3242" s="1">
        <v>839</v>
      </c>
      <c r="Q3242" s="8" t="s">
        <v>5413</v>
      </c>
      <c r="R3242" s="10">
        <v>300</v>
      </c>
      <c r="S3242" s="10">
        <v>4000</v>
      </c>
      <c r="T3242" s="10">
        <f t="shared" si="2057"/>
        <v>1200000</v>
      </c>
      <c r="U3242" s="10">
        <f t="shared" si="2006"/>
        <v>1344000.0000000002</v>
      </c>
      <c r="V3242" s="8" t="s">
        <v>665</v>
      </c>
      <c r="W3242" s="11">
        <v>2015</v>
      </c>
      <c r="X3242" s="8"/>
    </row>
    <row r="3243" spans="1:25" ht="76.5" customHeight="1" outlineLevel="1" x14ac:dyDescent="0.2">
      <c r="A3243" s="1" t="s">
        <v>714</v>
      </c>
      <c r="B3243" s="24" t="s">
        <v>5277</v>
      </c>
      <c r="C3243" s="25" t="s">
        <v>3767</v>
      </c>
      <c r="D3243" s="25" t="s">
        <v>669</v>
      </c>
      <c r="E3243" s="25" t="s">
        <v>670</v>
      </c>
      <c r="F3243" s="25" t="s">
        <v>671</v>
      </c>
      <c r="G3243" s="1" t="s">
        <v>3187</v>
      </c>
      <c r="H3243" s="17">
        <v>0.4</v>
      </c>
      <c r="I3243" s="18">
        <v>710000000</v>
      </c>
      <c r="J3243" s="4" t="s">
        <v>1931</v>
      </c>
      <c r="K3243" s="4" t="s">
        <v>5292</v>
      </c>
      <c r="L3243" s="124" t="s">
        <v>1889</v>
      </c>
      <c r="M3243" s="8" t="s">
        <v>3195</v>
      </c>
      <c r="N3243" s="8" t="s">
        <v>1890</v>
      </c>
      <c r="O3243" s="8" t="s">
        <v>2146</v>
      </c>
      <c r="P3243" s="1">
        <v>704</v>
      </c>
      <c r="Q3243" s="4" t="s">
        <v>5196</v>
      </c>
      <c r="R3243" s="10">
        <v>38</v>
      </c>
      <c r="S3243" s="10">
        <v>2857.03</v>
      </c>
      <c r="T3243" s="10">
        <f t="shared" si="2057"/>
        <v>108567.14000000001</v>
      </c>
      <c r="U3243" s="10">
        <f t="shared" si="2006"/>
        <v>121595.19680000003</v>
      </c>
      <c r="V3243" s="8" t="s">
        <v>665</v>
      </c>
      <c r="W3243" s="11">
        <v>2015</v>
      </c>
      <c r="X3243" s="8"/>
    </row>
    <row r="3244" spans="1:25" ht="76.5" customHeight="1" outlineLevel="1" x14ac:dyDescent="0.2">
      <c r="A3244" s="1" t="s">
        <v>715</v>
      </c>
      <c r="B3244" s="24" t="s">
        <v>5277</v>
      </c>
      <c r="C3244" s="25" t="s">
        <v>3767</v>
      </c>
      <c r="D3244" s="25" t="s">
        <v>669</v>
      </c>
      <c r="E3244" s="25" t="s">
        <v>670</v>
      </c>
      <c r="F3244" s="25"/>
      <c r="G3244" s="1" t="s">
        <v>3187</v>
      </c>
      <c r="H3244" s="17">
        <v>0.4</v>
      </c>
      <c r="I3244" s="18">
        <v>710000000</v>
      </c>
      <c r="J3244" s="4" t="s">
        <v>1931</v>
      </c>
      <c r="K3244" s="4" t="s">
        <v>5292</v>
      </c>
      <c r="L3244" s="124" t="s">
        <v>1889</v>
      </c>
      <c r="M3244" s="8" t="s">
        <v>3195</v>
      </c>
      <c r="N3244" s="8" t="s">
        <v>1890</v>
      </c>
      <c r="O3244" s="8" t="s">
        <v>2146</v>
      </c>
      <c r="P3244" s="1">
        <v>704</v>
      </c>
      <c r="Q3244" s="4" t="s">
        <v>5196</v>
      </c>
      <c r="R3244" s="10">
        <v>300</v>
      </c>
      <c r="S3244" s="10">
        <v>1428.57</v>
      </c>
      <c r="T3244" s="10">
        <f t="shared" si="2057"/>
        <v>428571</v>
      </c>
      <c r="U3244" s="10">
        <f>T3244*1.12</f>
        <v>479999.52</v>
      </c>
      <c r="V3244" s="8" t="s">
        <v>665</v>
      </c>
      <c r="W3244" s="11">
        <v>2015</v>
      </c>
      <c r="X3244" s="8"/>
    </row>
    <row r="3245" spans="1:25" ht="76.5" customHeight="1" outlineLevel="1" x14ac:dyDescent="0.2">
      <c r="A3245" s="1" t="s">
        <v>716</v>
      </c>
      <c r="B3245" s="16" t="s">
        <v>5277</v>
      </c>
      <c r="C3245" s="127" t="s">
        <v>672</v>
      </c>
      <c r="D3245" s="127" t="s">
        <v>673</v>
      </c>
      <c r="E3245" s="127" t="s">
        <v>674</v>
      </c>
      <c r="F3245" s="127" t="s">
        <v>675</v>
      </c>
      <c r="G3245" s="1" t="s">
        <v>3187</v>
      </c>
      <c r="H3245" s="17">
        <v>0.4</v>
      </c>
      <c r="I3245" s="18">
        <v>710000000</v>
      </c>
      <c r="J3245" s="4" t="s">
        <v>1931</v>
      </c>
      <c r="K3245" s="4" t="s">
        <v>5292</v>
      </c>
      <c r="L3245" s="124" t="s">
        <v>1889</v>
      </c>
      <c r="M3245" s="4" t="s">
        <v>3195</v>
      </c>
      <c r="N3245" s="8" t="s">
        <v>1890</v>
      </c>
      <c r="O3245" s="8" t="s">
        <v>2146</v>
      </c>
      <c r="P3245" s="8">
        <v>796</v>
      </c>
      <c r="Q3245" s="8" t="s">
        <v>3196</v>
      </c>
      <c r="R3245" s="10">
        <v>8</v>
      </c>
      <c r="S3245" s="10">
        <v>25178.63</v>
      </c>
      <c r="T3245" s="10">
        <f t="shared" si="2057"/>
        <v>201429.04</v>
      </c>
      <c r="U3245" s="10">
        <f t="shared" si="2006"/>
        <v>225600.52480000004</v>
      </c>
      <c r="V3245" s="8" t="s">
        <v>665</v>
      </c>
      <c r="W3245" s="11">
        <v>2015</v>
      </c>
      <c r="X3245" s="8"/>
    </row>
    <row r="3246" spans="1:25" ht="76.5" customHeight="1" outlineLevel="1" x14ac:dyDescent="0.2">
      <c r="A3246" s="1" t="s">
        <v>717</v>
      </c>
      <c r="B3246" s="16" t="s">
        <v>5277</v>
      </c>
      <c r="C3246" s="127" t="s">
        <v>3766</v>
      </c>
      <c r="D3246" s="127" t="s">
        <v>676</v>
      </c>
      <c r="E3246" s="127" t="s">
        <v>6168</v>
      </c>
      <c r="F3246" s="127"/>
      <c r="G3246" s="1" t="s">
        <v>3187</v>
      </c>
      <c r="H3246" s="17">
        <v>0.4</v>
      </c>
      <c r="I3246" s="18">
        <v>710000000</v>
      </c>
      <c r="J3246" s="4" t="s">
        <v>1931</v>
      </c>
      <c r="K3246" s="4" t="s">
        <v>5292</v>
      </c>
      <c r="L3246" s="124" t="s">
        <v>1889</v>
      </c>
      <c r="M3246" s="4" t="s">
        <v>3195</v>
      </c>
      <c r="N3246" s="8" t="s">
        <v>1890</v>
      </c>
      <c r="O3246" s="8" t="s">
        <v>2146</v>
      </c>
      <c r="P3246" s="8">
        <v>796</v>
      </c>
      <c r="Q3246" s="8" t="s">
        <v>3196</v>
      </c>
      <c r="R3246" s="10">
        <v>8</v>
      </c>
      <c r="S3246" s="10">
        <v>6420</v>
      </c>
      <c r="T3246" s="10">
        <f t="shared" si="2057"/>
        <v>51360</v>
      </c>
      <c r="U3246" s="10">
        <f t="shared" si="2006"/>
        <v>57523.200000000004</v>
      </c>
      <c r="V3246" s="8" t="s">
        <v>665</v>
      </c>
      <c r="W3246" s="11">
        <v>2015</v>
      </c>
      <c r="X3246" s="8"/>
    </row>
    <row r="3247" spans="1:25" ht="76.5" customHeight="1" outlineLevel="1" x14ac:dyDescent="0.2">
      <c r="A3247" s="1" t="s">
        <v>718</v>
      </c>
      <c r="B3247" s="24" t="s">
        <v>5277</v>
      </c>
      <c r="C3247" s="7" t="s">
        <v>3769</v>
      </c>
      <c r="D3247" s="7" t="s">
        <v>6172</v>
      </c>
      <c r="E3247" s="18" t="s">
        <v>3770</v>
      </c>
      <c r="F3247" s="127" t="s">
        <v>677</v>
      </c>
      <c r="G3247" s="1" t="s">
        <v>3187</v>
      </c>
      <c r="H3247" s="17">
        <v>0.4</v>
      </c>
      <c r="I3247" s="18">
        <v>710000000</v>
      </c>
      <c r="J3247" s="4" t="s">
        <v>1931</v>
      </c>
      <c r="K3247" s="4" t="s">
        <v>5292</v>
      </c>
      <c r="L3247" s="124" t="s">
        <v>1889</v>
      </c>
      <c r="M3247" s="8" t="s">
        <v>3195</v>
      </c>
      <c r="N3247" s="8" t="s">
        <v>1890</v>
      </c>
      <c r="O3247" s="8" t="s">
        <v>2146</v>
      </c>
      <c r="P3247" s="8">
        <v>796</v>
      </c>
      <c r="Q3247" s="8" t="s">
        <v>3196</v>
      </c>
      <c r="R3247" s="10">
        <v>28</v>
      </c>
      <c r="S3247" s="10">
        <v>11785.21</v>
      </c>
      <c r="T3247" s="10">
        <f t="shared" si="2057"/>
        <v>329985.88</v>
      </c>
      <c r="U3247" s="10">
        <f t="shared" si="2006"/>
        <v>369584.18560000003</v>
      </c>
      <c r="V3247" s="8" t="s">
        <v>665</v>
      </c>
      <c r="W3247" s="11">
        <v>2015</v>
      </c>
      <c r="X3247" s="8"/>
    </row>
    <row r="3248" spans="1:25" ht="76.5" customHeight="1" outlineLevel="1" x14ac:dyDescent="0.2">
      <c r="A3248" s="1" t="s">
        <v>719</v>
      </c>
      <c r="B3248" s="24" t="s">
        <v>5277</v>
      </c>
      <c r="C3248" s="24" t="s">
        <v>678</v>
      </c>
      <c r="D3248" s="24" t="s">
        <v>679</v>
      </c>
      <c r="E3248" s="24" t="s">
        <v>680</v>
      </c>
      <c r="F3248" s="24" t="s">
        <v>681</v>
      </c>
      <c r="G3248" s="1" t="s">
        <v>3187</v>
      </c>
      <c r="H3248" s="17">
        <v>0.4</v>
      </c>
      <c r="I3248" s="18">
        <v>710000000</v>
      </c>
      <c r="J3248" s="4" t="s">
        <v>1931</v>
      </c>
      <c r="K3248" s="4" t="s">
        <v>5292</v>
      </c>
      <c r="L3248" s="124" t="s">
        <v>1889</v>
      </c>
      <c r="M3248" s="8" t="s">
        <v>3195</v>
      </c>
      <c r="N3248" s="8" t="s">
        <v>1890</v>
      </c>
      <c r="O3248" s="8" t="s">
        <v>2146</v>
      </c>
      <c r="P3248" s="8">
        <v>796</v>
      </c>
      <c r="Q3248" s="8" t="s">
        <v>3196</v>
      </c>
      <c r="R3248" s="10">
        <v>10</v>
      </c>
      <c r="S3248" s="10">
        <v>2232</v>
      </c>
      <c r="T3248" s="10">
        <f t="shared" si="2057"/>
        <v>22320</v>
      </c>
      <c r="U3248" s="10">
        <f t="shared" si="2006"/>
        <v>24998.400000000001</v>
      </c>
      <c r="V3248" s="8" t="s">
        <v>665</v>
      </c>
      <c r="W3248" s="11">
        <v>2015</v>
      </c>
      <c r="X3248" s="8"/>
    </row>
    <row r="3249" spans="1:24" ht="76.5" customHeight="1" outlineLevel="1" x14ac:dyDescent="0.2">
      <c r="A3249" s="1" t="s">
        <v>720</v>
      </c>
      <c r="B3249" s="24" t="s">
        <v>5277</v>
      </c>
      <c r="C3249" s="18" t="s">
        <v>695</v>
      </c>
      <c r="D3249" s="18" t="s">
        <v>2317</v>
      </c>
      <c r="E3249" s="18" t="s">
        <v>2317</v>
      </c>
      <c r="F3249" s="4" t="s">
        <v>696</v>
      </c>
      <c r="G3249" s="1" t="s">
        <v>3187</v>
      </c>
      <c r="H3249" s="17">
        <v>0</v>
      </c>
      <c r="I3249" s="18">
        <v>710000000</v>
      </c>
      <c r="J3249" s="4" t="s">
        <v>1931</v>
      </c>
      <c r="K3249" s="4" t="s">
        <v>5297</v>
      </c>
      <c r="L3249" s="124" t="s">
        <v>1889</v>
      </c>
      <c r="M3249" s="8" t="s">
        <v>3195</v>
      </c>
      <c r="N3249" s="8" t="s">
        <v>1890</v>
      </c>
      <c r="O3249" s="8" t="s">
        <v>1935</v>
      </c>
      <c r="P3249" s="4">
        <v>166</v>
      </c>
      <c r="Q3249" s="4" t="s">
        <v>3819</v>
      </c>
      <c r="R3249" s="10">
        <f>144+125</f>
        <v>269</v>
      </c>
      <c r="S3249" s="10">
        <v>2219.79</v>
      </c>
      <c r="T3249" s="10">
        <v>0</v>
      </c>
      <c r="U3249" s="10">
        <f t="shared" si="2006"/>
        <v>0</v>
      </c>
      <c r="V3249" s="8"/>
      <c r="W3249" s="11">
        <v>2015</v>
      </c>
      <c r="X3249" s="8" t="s">
        <v>6562</v>
      </c>
    </row>
    <row r="3250" spans="1:24" ht="76.5" customHeight="1" outlineLevel="1" x14ac:dyDescent="0.2">
      <c r="A3250" s="1" t="s">
        <v>6920</v>
      </c>
      <c r="B3250" s="24" t="s">
        <v>5277</v>
      </c>
      <c r="C3250" s="18" t="s">
        <v>695</v>
      </c>
      <c r="D3250" s="18" t="s">
        <v>2317</v>
      </c>
      <c r="E3250" s="18" t="s">
        <v>2317</v>
      </c>
      <c r="F3250" s="4" t="s">
        <v>696</v>
      </c>
      <c r="G3250" s="1" t="s">
        <v>3187</v>
      </c>
      <c r="H3250" s="17">
        <v>0</v>
      </c>
      <c r="I3250" s="18">
        <v>710000000</v>
      </c>
      <c r="J3250" s="4" t="s">
        <v>1931</v>
      </c>
      <c r="K3250" s="4" t="s">
        <v>5297</v>
      </c>
      <c r="L3250" s="124" t="s">
        <v>1889</v>
      </c>
      <c r="M3250" s="8" t="s">
        <v>3195</v>
      </c>
      <c r="N3250" s="8" t="s">
        <v>1890</v>
      </c>
      <c r="O3250" s="8" t="s">
        <v>1935</v>
      </c>
      <c r="P3250" s="4">
        <v>166</v>
      </c>
      <c r="Q3250" s="4" t="s">
        <v>3819</v>
      </c>
      <c r="R3250" s="10">
        <f>144+125+250</f>
        <v>519</v>
      </c>
      <c r="S3250" s="10">
        <v>2219.79</v>
      </c>
      <c r="T3250" s="10">
        <f t="shared" ref="T3250" si="2058">R3250*S3250</f>
        <v>1152071.01</v>
      </c>
      <c r="U3250" s="10">
        <f t="shared" ref="U3250" si="2059">T3250*1.12</f>
        <v>1290319.5312000001</v>
      </c>
      <c r="V3250" s="8"/>
      <c r="W3250" s="11">
        <v>2015</v>
      </c>
      <c r="X3250" s="8"/>
    </row>
    <row r="3251" spans="1:24" ht="76.5" customHeight="1" outlineLevel="1" x14ac:dyDescent="0.2">
      <c r="A3251" s="1" t="s">
        <v>721</v>
      </c>
      <c r="B3251" s="16" t="s">
        <v>5277</v>
      </c>
      <c r="C3251" s="4" t="s">
        <v>3772</v>
      </c>
      <c r="D3251" s="4" t="s">
        <v>3773</v>
      </c>
      <c r="E3251" s="4" t="s">
        <v>6177</v>
      </c>
      <c r="F3251" s="4"/>
      <c r="G3251" s="1" t="s">
        <v>3187</v>
      </c>
      <c r="H3251" s="22">
        <v>0</v>
      </c>
      <c r="I3251" s="18">
        <v>710000000</v>
      </c>
      <c r="J3251" s="4" t="s">
        <v>1931</v>
      </c>
      <c r="K3251" s="4" t="s">
        <v>5297</v>
      </c>
      <c r="L3251" s="124" t="s">
        <v>1889</v>
      </c>
      <c r="M3251" s="4" t="s">
        <v>3195</v>
      </c>
      <c r="N3251" s="8" t="s">
        <v>1890</v>
      </c>
      <c r="O3251" s="4" t="s">
        <v>1935</v>
      </c>
      <c r="P3251" s="4">
        <v>112</v>
      </c>
      <c r="Q3251" s="4" t="s">
        <v>3026</v>
      </c>
      <c r="R3251" s="10">
        <v>179</v>
      </c>
      <c r="S3251" s="10">
        <v>1447.85</v>
      </c>
      <c r="T3251" s="10">
        <v>0</v>
      </c>
      <c r="U3251" s="10">
        <f t="shared" si="2006"/>
        <v>0</v>
      </c>
      <c r="V3251" s="4"/>
      <c r="W3251" s="11">
        <v>2015</v>
      </c>
      <c r="X3251" s="8" t="s">
        <v>6562</v>
      </c>
    </row>
    <row r="3252" spans="1:24" ht="76.5" customHeight="1" outlineLevel="1" x14ac:dyDescent="0.2">
      <c r="A3252" s="1" t="s">
        <v>6921</v>
      </c>
      <c r="B3252" s="16" t="s">
        <v>5277</v>
      </c>
      <c r="C3252" s="4" t="s">
        <v>3772</v>
      </c>
      <c r="D3252" s="4" t="s">
        <v>3773</v>
      </c>
      <c r="E3252" s="4" t="s">
        <v>6177</v>
      </c>
      <c r="F3252" s="4"/>
      <c r="G3252" s="1" t="s">
        <v>3187</v>
      </c>
      <c r="H3252" s="22">
        <v>0</v>
      </c>
      <c r="I3252" s="18">
        <v>710000000</v>
      </c>
      <c r="J3252" s="4" t="s">
        <v>1931</v>
      </c>
      <c r="K3252" s="4" t="s">
        <v>5297</v>
      </c>
      <c r="L3252" s="124" t="s">
        <v>1889</v>
      </c>
      <c r="M3252" s="4" t="s">
        <v>3195</v>
      </c>
      <c r="N3252" s="8" t="s">
        <v>1890</v>
      </c>
      <c r="O3252" s="4" t="s">
        <v>1935</v>
      </c>
      <c r="P3252" s="4">
        <v>112</v>
      </c>
      <c r="Q3252" s="4" t="s">
        <v>3026</v>
      </c>
      <c r="R3252" s="10">
        <f>179+140</f>
        <v>319</v>
      </c>
      <c r="S3252" s="10">
        <v>1447.85</v>
      </c>
      <c r="T3252" s="10">
        <f t="shared" ref="T3252" si="2060">R3252*S3252</f>
        <v>461864.14999999997</v>
      </c>
      <c r="U3252" s="10">
        <f t="shared" ref="U3252" si="2061">T3252*1.12</f>
        <v>517287.848</v>
      </c>
      <c r="V3252" s="4"/>
      <c r="W3252" s="11">
        <v>2015</v>
      </c>
      <c r="X3252" s="8"/>
    </row>
    <row r="3253" spans="1:24" ht="76.5" customHeight="1" outlineLevel="1" x14ac:dyDescent="0.2">
      <c r="A3253" s="1" t="s">
        <v>722</v>
      </c>
      <c r="B3253" s="16" t="s">
        <v>5277</v>
      </c>
      <c r="C3253" s="4" t="s">
        <v>3776</v>
      </c>
      <c r="D3253" s="4" t="s">
        <v>6180</v>
      </c>
      <c r="E3253" s="4" t="s">
        <v>6181</v>
      </c>
      <c r="F3253" s="16"/>
      <c r="G3253" s="1" t="s">
        <v>3187</v>
      </c>
      <c r="H3253" s="22">
        <v>0</v>
      </c>
      <c r="I3253" s="18">
        <v>710000000</v>
      </c>
      <c r="J3253" s="4" t="s">
        <v>1931</v>
      </c>
      <c r="K3253" s="4" t="s">
        <v>5297</v>
      </c>
      <c r="L3253" s="124" t="s">
        <v>1889</v>
      </c>
      <c r="M3253" s="4" t="s">
        <v>3195</v>
      </c>
      <c r="N3253" s="8" t="s">
        <v>1890</v>
      </c>
      <c r="O3253" s="4" t="s">
        <v>1935</v>
      </c>
      <c r="P3253" s="4">
        <v>778</v>
      </c>
      <c r="Q3253" s="4" t="s">
        <v>3327</v>
      </c>
      <c r="R3253" s="10">
        <v>17</v>
      </c>
      <c r="S3253" s="10">
        <v>3059.71</v>
      </c>
      <c r="T3253" s="10">
        <f t="shared" si="2057"/>
        <v>52015.07</v>
      </c>
      <c r="U3253" s="10">
        <f t="shared" si="2006"/>
        <v>58256.878400000009</v>
      </c>
      <c r="V3253" s="4"/>
      <c r="W3253" s="11">
        <v>2015</v>
      </c>
      <c r="X3253" s="8"/>
    </row>
    <row r="3254" spans="1:24" ht="76.5" customHeight="1" outlineLevel="1" x14ac:dyDescent="0.2">
      <c r="A3254" s="1" t="s">
        <v>723</v>
      </c>
      <c r="B3254" s="16" t="s">
        <v>5277</v>
      </c>
      <c r="C3254" s="16" t="s">
        <v>3777</v>
      </c>
      <c r="D3254" s="16" t="s">
        <v>6182</v>
      </c>
      <c r="E3254" s="16" t="s">
        <v>6183</v>
      </c>
      <c r="F3254" s="16" t="s">
        <v>6184</v>
      </c>
      <c r="G3254" s="1" t="s">
        <v>3187</v>
      </c>
      <c r="H3254" s="22">
        <v>0</v>
      </c>
      <c r="I3254" s="18">
        <v>710000000</v>
      </c>
      <c r="J3254" s="4" t="s">
        <v>1931</v>
      </c>
      <c r="K3254" s="4" t="s">
        <v>5297</v>
      </c>
      <c r="L3254" s="124" t="s">
        <v>1889</v>
      </c>
      <c r="M3254" s="4" t="s">
        <v>3195</v>
      </c>
      <c r="N3254" s="8" t="s">
        <v>1890</v>
      </c>
      <c r="O3254" s="4" t="s">
        <v>1935</v>
      </c>
      <c r="P3254" s="4">
        <v>166</v>
      </c>
      <c r="Q3254" s="4" t="s">
        <v>3819</v>
      </c>
      <c r="R3254" s="10">
        <v>194</v>
      </c>
      <c r="S3254" s="10">
        <v>906.07</v>
      </c>
      <c r="T3254" s="10">
        <f t="shared" si="2057"/>
        <v>175777.58000000002</v>
      </c>
      <c r="U3254" s="10">
        <f t="shared" si="2006"/>
        <v>196870.88960000002</v>
      </c>
      <c r="V3254" s="4"/>
      <c r="W3254" s="11">
        <v>2015</v>
      </c>
      <c r="X3254" s="8"/>
    </row>
    <row r="3255" spans="1:24" ht="76.5" customHeight="1" outlineLevel="1" x14ac:dyDescent="0.2">
      <c r="A3255" s="1" t="s">
        <v>724</v>
      </c>
      <c r="B3255" s="16" t="s">
        <v>5277</v>
      </c>
      <c r="C3255" s="16" t="s">
        <v>3774</v>
      </c>
      <c r="D3255" s="16" t="s">
        <v>3775</v>
      </c>
      <c r="E3255" s="16" t="s">
        <v>6178</v>
      </c>
      <c r="F3255" s="16" t="s">
        <v>6179</v>
      </c>
      <c r="G3255" s="1" t="s">
        <v>3187</v>
      </c>
      <c r="H3255" s="22">
        <v>0</v>
      </c>
      <c r="I3255" s="18">
        <v>710000000</v>
      </c>
      <c r="J3255" s="4" t="s">
        <v>1931</v>
      </c>
      <c r="K3255" s="4" t="s">
        <v>5297</v>
      </c>
      <c r="L3255" s="124" t="s">
        <v>1889</v>
      </c>
      <c r="M3255" s="4" t="s">
        <v>3195</v>
      </c>
      <c r="N3255" s="8" t="s">
        <v>1890</v>
      </c>
      <c r="O3255" s="4" t="s">
        <v>1935</v>
      </c>
      <c r="P3255" s="4">
        <v>166</v>
      </c>
      <c r="Q3255" s="4" t="s">
        <v>3324</v>
      </c>
      <c r="R3255" s="10">
        <v>28</v>
      </c>
      <c r="S3255" s="10">
        <v>1068</v>
      </c>
      <c r="T3255" s="10">
        <f t="shared" si="2057"/>
        <v>29904</v>
      </c>
      <c r="U3255" s="10">
        <f t="shared" si="2006"/>
        <v>33492.480000000003</v>
      </c>
      <c r="V3255" s="4"/>
      <c r="W3255" s="11">
        <v>2015</v>
      </c>
      <c r="X3255" s="8"/>
    </row>
    <row r="3256" spans="1:24" ht="76.5" customHeight="1" outlineLevel="1" x14ac:dyDescent="0.2">
      <c r="A3256" s="1" t="s">
        <v>6426</v>
      </c>
      <c r="B3256" s="16" t="s">
        <v>5277</v>
      </c>
      <c r="C3256" s="16" t="s">
        <v>3777</v>
      </c>
      <c r="D3256" s="16" t="s">
        <v>6182</v>
      </c>
      <c r="E3256" s="16" t="s">
        <v>6183</v>
      </c>
      <c r="F3256" s="16" t="s">
        <v>6184</v>
      </c>
      <c r="G3256" s="1" t="s">
        <v>3187</v>
      </c>
      <c r="H3256" s="22">
        <v>0</v>
      </c>
      <c r="I3256" s="18">
        <v>710000000</v>
      </c>
      <c r="J3256" s="4" t="s">
        <v>1931</v>
      </c>
      <c r="K3256" s="4" t="s">
        <v>5297</v>
      </c>
      <c r="L3256" s="8" t="s">
        <v>1933</v>
      </c>
      <c r="M3256" s="4" t="s">
        <v>3195</v>
      </c>
      <c r="N3256" s="8" t="s">
        <v>1890</v>
      </c>
      <c r="O3256" s="4" t="s">
        <v>1935</v>
      </c>
      <c r="P3256" s="4">
        <v>166</v>
      </c>
      <c r="Q3256" s="4" t="s">
        <v>3819</v>
      </c>
      <c r="R3256" s="10">
        <v>1815</v>
      </c>
      <c r="S3256" s="10">
        <v>384</v>
      </c>
      <c r="T3256" s="10">
        <f t="shared" si="2057"/>
        <v>696960</v>
      </c>
      <c r="U3256" s="10">
        <f>T3256*1.12</f>
        <v>780595.20000000007</v>
      </c>
      <c r="V3256" s="4"/>
      <c r="W3256" s="11">
        <v>2015</v>
      </c>
      <c r="X3256" s="8"/>
    </row>
    <row r="3257" spans="1:24" ht="76.5" customHeight="1" outlineLevel="1" x14ac:dyDescent="0.2">
      <c r="A3257" s="1" t="s">
        <v>6427</v>
      </c>
      <c r="B3257" s="16" t="s">
        <v>5277</v>
      </c>
      <c r="C3257" s="4" t="s">
        <v>3772</v>
      </c>
      <c r="D3257" s="4" t="s">
        <v>3773</v>
      </c>
      <c r="E3257" s="4" t="s">
        <v>6177</v>
      </c>
      <c r="F3257" s="4"/>
      <c r="G3257" s="1" t="s">
        <v>3187</v>
      </c>
      <c r="H3257" s="22">
        <v>0</v>
      </c>
      <c r="I3257" s="18">
        <v>710000000</v>
      </c>
      <c r="J3257" s="4" t="s">
        <v>1931</v>
      </c>
      <c r="K3257" s="4" t="s">
        <v>5297</v>
      </c>
      <c r="L3257" s="8" t="s">
        <v>1933</v>
      </c>
      <c r="M3257" s="4" t="s">
        <v>3195</v>
      </c>
      <c r="N3257" s="8" t="s">
        <v>1890</v>
      </c>
      <c r="O3257" s="4" t="s">
        <v>1935</v>
      </c>
      <c r="P3257" s="4">
        <v>112</v>
      </c>
      <c r="Q3257" s="4" t="s">
        <v>3026</v>
      </c>
      <c r="R3257" s="10">
        <v>90</v>
      </c>
      <c r="S3257" s="10">
        <v>1138</v>
      </c>
      <c r="T3257" s="10">
        <f t="shared" si="2057"/>
        <v>102420</v>
      </c>
      <c r="U3257" s="10">
        <f>T3257*1.12</f>
        <v>114710.40000000001</v>
      </c>
      <c r="V3257" s="4"/>
      <c r="W3257" s="11">
        <v>2015</v>
      </c>
      <c r="X3257" s="8"/>
    </row>
    <row r="3258" spans="1:24" ht="76.5" customHeight="1" outlineLevel="1" x14ac:dyDescent="0.2">
      <c r="A3258" s="1" t="s">
        <v>6428</v>
      </c>
      <c r="B3258" s="24" t="s">
        <v>5277</v>
      </c>
      <c r="C3258" s="18" t="s">
        <v>695</v>
      </c>
      <c r="D3258" s="18" t="s">
        <v>2317</v>
      </c>
      <c r="E3258" s="18" t="s">
        <v>2317</v>
      </c>
      <c r="F3258" s="4" t="s">
        <v>697</v>
      </c>
      <c r="G3258" s="1" t="s">
        <v>3187</v>
      </c>
      <c r="H3258" s="17">
        <v>0</v>
      </c>
      <c r="I3258" s="18">
        <v>710000000</v>
      </c>
      <c r="J3258" s="4" t="s">
        <v>1931</v>
      </c>
      <c r="K3258" s="4" t="s">
        <v>5297</v>
      </c>
      <c r="L3258" s="8" t="s">
        <v>1933</v>
      </c>
      <c r="M3258" s="8" t="s">
        <v>3195</v>
      </c>
      <c r="N3258" s="8" t="s">
        <v>1890</v>
      </c>
      <c r="O3258" s="8" t="s">
        <v>1935</v>
      </c>
      <c r="P3258" s="4">
        <v>166</v>
      </c>
      <c r="Q3258" s="4" t="s">
        <v>3819</v>
      </c>
      <c r="R3258" s="10">
        <v>1815</v>
      </c>
      <c r="S3258" s="10">
        <v>312.5</v>
      </c>
      <c r="T3258" s="10">
        <f t="shared" si="2057"/>
        <v>567187.5</v>
      </c>
      <c r="U3258" s="10">
        <f>T3258*1.12</f>
        <v>635250.00000000012</v>
      </c>
      <c r="V3258" s="8"/>
      <c r="W3258" s="11">
        <v>2015</v>
      </c>
      <c r="X3258" s="8"/>
    </row>
    <row r="3259" spans="1:24" ht="76.5" customHeight="1" outlineLevel="1" x14ac:dyDescent="0.2">
      <c r="A3259" s="1" t="s">
        <v>6433</v>
      </c>
      <c r="B3259" s="24" t="s">
        <v>5277</v>
      </c>
      <c r="C3259" s="4" t="s">
        <v>698</v>
      </c>
      <c r="D3259" s="4" t="s">
        <v>699</v>
      </c>
      <c r="E3259" s="4" t="s">
        <v>700</v>
      </c>
      <c r="F3259" s="4"/>
      <c r="G3259" s="1" t="s">
        <v>3187</v>
      </c>
      <c r="H3259" s="17">
        <v>0</v>
      </c>
      <c r="I3259" s="18">
        <v>710000000</v>
      </c>
      <c r="J3259" s="4" t="s">
        <v>1931</v>
      </c>
      <c r="K3259" s="4" t="s">
        <v>5297</v>
      </c>
      <c r="L3259" s="8" t="s">
        <v>1933</v>
      </c>
      <c r="M3259" s="8" t="s">
        <v>3195</v>
      </c>
      <c r="N3259" s="8" t="s">
        <v>1890</v>
      </c>
      <c r="O3259" s="8" t="s">
        <v>1935</v>
      </c>
      <c r="P3259" s="4">
        <v>166</v>
      </c>
      <c r="Q3259" s="4" t="s">
        <v>3819</v>
      </c>
      <c r="R3259" s="10">
        <v>105</v>
      </c>
      <c r="S3259" s="10">
        <v>433.6</v>
      </c>
      <c r="T3259" s="10">
        <f t="shared" si="2057"/>
        <v>45528</v>
      </c>
      <c r="U3259" s="10">
        <f>T3259*1.12</f>
        <v>50991.360000000008</v>
      </c>
      <c r="V3259" s="8"/>
      <c r="W3259" s="11">
        <v>2015</v>
      </c>
      <c r="X3259" s="8"/>
    </row>
    <row r="3260" spans="1:24" ht="129" customHeight="1" outlineLevel="1" x14ac:dyDescent="0.2">
      <c r="A3260" s="1" t="s">
        <v>6616</v>
      </c>
      <c r="B3260" s="24" t="s">
        <v>5277</v>
      </c>
      <c r="C3260" s="24" t="s">
        <v>6618</v>
      </c>
      <c r="D3260" s="24" t="s">
        <v>6619</v>
      </c>
      <c r="E3260" s="24" t="s">
        <v>6620</v>
      </c>
      <c r="F3260" s="24" t="s">
        <v>6919</v>
      </c>
      <c r="G3260" s="1" t="s">
        <v>3190</v>
      </c>
      <c r="H3260" s="17">
        <v>0</v>
      </c>
      <c r="I3260" s="18">
        <v>710000000</v>
      </c>
      <c r="J3260" s="4" t="s">
        <v>1931</v>
      </c>
      <c r="K3260" s="4" t="s">
        <v>5297</v>
      </c>
      <c r="L3260" s="124" t="s">
        <v>2140</v>
      </c>
      <c r="M3260" s="8" t="s">
        <v>3195</v>
      </c>
      <c r="N3260" s="8" t="s">
        <v>1890</v>
      </c>
      <c r="O3260" s="8" t="s">
        <v>2146</v>
      </c>
      <c r="P3260" s="8">
        <v>796</v>
      </c>
      <c r="Q3260" s="8" t="s">
        <v>3196</v>
      </c>
      <c r="R3260" s="10">
        <v>1</v>
      </c>
      <c r="S3260" s="10">
        <v>553571</v>
      </c>
      <c r="T3260" s="10">
        <f t="shared" ref="T3260" si="2062">R3260*S3260</f>
        <v>553571</v>
      </c>
      <c r="U3260" s="10">
        <f t="shared" ref="U3260" si="2063">T3260*1.12</f>
        <v>619999.52</v>
      </c>
      <c r="V3260" s="8"/>
      <c r="W3260" s="11">
        <v>2015</v>
      </c>
      <c r="X3260" s="8"/>
    </row>
    <row r="3261" spans="1:24" ht="76.5" customHeight="1" outlineLevel="1" x14ac:dyDescent="0.2">
      <c r="A3261" s="1" t="s">
        <v>6617</v>
      </c>
      <c r="B3261" s="24" t="s">
        <v>5277</v>
      </c>
      <c r="C3261" s="24" t="s">
        <v>6622</v>
      </c>
      <c r="D3261" s="24" t="s">
        <v>6623</v>
      </c>
      <c r="E3261" s="24" t="s">
        <v>6624</v>
      </c>
      <c r="F3261" s="24" t="s">
        <v>6621</v>
      </c>
      <c r="G3261" s="1" t="s">
        <v>3190</v>
      </c>
      <c r="H3261" s="17">
        <v>0</v>
      </c>
      <c r="I3261" s="18">
        <v>710000000</v>
      </c>
      <c r="J3261" s="4" t="s">
        <v>1931</v>
      </c>
      <c r="K3261" s="4" t="s">
        <v>5297</v>
      </c>
      <c r="L3261" s="124" t="s">
        <v>2140</v>
      </c>
      <c r="M3261" s="8" t="s">
        <v>3195</v>
      </c>
      <c r="N3261" s="8" t="s">
        <v>1890</v>
      </c>
      <c r="O3261" s="8" t="s">
        <v>2146</v>
      </c>
      <c r="P3261" s="8">
        <v>796</v>
      </c>
      <c r="Q3261" s="8" t="s">
        <v>3196</v>
      </c>
      <c r="R3261" s="10">
        <v>20</v>
      </c>
      <c r="S3261" s="10">
        <v>18931</v>
      </c>
      <c r="T3261" s="10">
        <f t="shared" ref="T3261" si="2064">R3261*S3261</f>
        <v>378620</v>
      </c>
      <c r="U3261" s="10">
        <f t="shared" ref="U3261" si="2065">T3261*1.12</f>
        <v>424054.4</v>
      </c>
      <c r="V3261" s="8"/>
      <c r="W3261" s="11">
        <v>2015</v>
      </c>
      <c r="X3261" s="8"/>
    </row>
    <row r="3262" spans="1:24" ht="107.25" customHeight="1" outlineLevel="1" x14ac:dyDescent="0.2">
      <c r="A3262" s="1" t="s">
        <v>6756</v>
      </c>
      <c r="B3262" s="24" t="s">
        <v>5277</v>
      </c>
      <c r="C3262" s="24" t="s">
        <v>6757</v>
      </c>
      <c r="D3262" s="1" t="s">
        <v>5716</v>
      </c>
      <c r="E3262" s="24" t="s">
        <v>6758</v>
      </c>
      <c r="F3262" s="24" t="s">
        <v>6763</v>
      </c>
      <c r="G3262" s="1" t="s">
        <v>1888</v>
      </c>
      <c r="H3262" s="17">
        <v>0.4</v>
      </c>
      <c r="I3262" s="18">
        <v>710000000</v>
      </c>
      <c r="J3262" s="4" t="s">
        <v>1931</v>
      </c>
      <c r="K3262" s="4" t="s">
        <v>5706</v>
      </c>
      <c r="L3262" s="4" t="s">
        <v>5668</v>
      </c>
      <c r="M3262" s="8" t="s">
        <v>3195</v>
      </c>
      <c r="N3262" s="8" t="s">
        <v>1890</v>
      </c>
      <c r="O3262" s="8" t="s">
        <v>2146</v>
      </c>
      <c r="P3262" s="8">
        <v>796</v>
      </c>
      <c r="Q3262" s="8" t="s">
        <v>3196</v>
      </c>
      <c r="R3262" s="10">
        <v>3</v>
      </c>
      <c r="S3262" s="10">
        <v>15000</v>
      </c>
      <c r="T3262" s="10">
        <f t="shared" ref="T3262" si="2066">R3262*S3262</f>
        <v>45000</v>
      </c>
      <c r="U3262" s="10">
        <f t="shared" ref="U3262" si="2067">T3262*1.12</f>
        <v>50400.000000000007</v>
      </c>
      <c r="V3262" s="8" t="s">
        <v>3027</v>
      </c>
      <c r="W3262" s="11">
        <v>2015</v>
      </c>
      <c r="X3262" s="8"/>
    </row>
    <row r="3263" spans="1:24" ht="127.5" customHeight="1" outlineLevel="1" x14ac:dyDescent="0.2">
      <c r="A3263" s="1" t="s">
        <v>6762</v>
      </c>
      <c r="B3263" s="24" t="s">
        <v>5277</v>
      </c>
      <c r="C3263" s="24" t="s">
        <v>6759</v>
      </c>
      <c r="D3263" s="24" t="s">
        <v>6760</v>
      </c>
      <c r="E3263" s="24" t="s">
        <v>6761</v>
      </c>
      <c r="F3263" s="24" t="s">
        <v>6764</v>
      </c>
      <c r="G3263" s="1" t="s">
        <v>1888</v>
      </c>
      <c r="H3263" s="17">
        <v>0.4</v>
      </c>
      <c r="I3263" s="18">
        <v>710000000</v>
      </c>
      <c r="J3263" s="4" t="s">
        <v>1931</v>
      </c>
      <c r="K3263" s="4" t="s">
        <v>5706</v>
      </c>
      <c r="L3263" s="4" t="s">
        <v>5668</v>
      </c>
      <c r="M3263" s="8" t="s">
        <v>3195</v>
      </c>
      <c r="N3263" s="8" t="s">
        <v>1890</v>
      </c>
      <c r="O3263" s="8" t="s">
        <v>2146</v>
      </c>
      <c r="P3263" s="8">
        <v>796</v>
      </c>
      <c r="Q3263" s="8" t="s">
        <v>3196</v>
      </c>
      <c r="R3263" s="10">
        <v>33</v>
      </c>
      <c r="S3263" s="10">
        <v>14499.86</v>
      </c>
      <c r="T3263" s="10">
        <f t="shared" ref="T3263" si="2068">R3263*S3263</f>
        <v>478495.38</v>
      </c>
      <c r="U3263" s="10">
        <f t="shared" ref="U3263" si="2069">T3263*1.12</f>
        <v>535914.8256000001</v>
      </c>
      <c r="V3263" s="8" t="s">
        <v>3027</v>
      </c>
      <c r="W3263" s="11">
        <v>2015</v>
      </c>
      <c r="X3263" s="8"/>
    </row>
    <row r="3264" spans="1:24" ht="127.5" customHeight="1" outlineLevel="1" x14ac:dyDescent="0.2">
      <c r="A3264" s="1" t="s">
        <v>6766</v>
      </c>
      <c r="B3264" s="24" t="s">
        <v>5277</v>
      </c>
      <c r="C3264" s="24" t="s">
        <v>6767</v>
      </c>
      <c r="D3264" s="24" t="s">
        <v>4130</v>
      </c>
      <c r="E3264" s="24" t="s">
        <v>6768</v>
      </c>
      <c r="F3264" s="24"/>
      <c r="G3264" s="1" t="s">
        <v>1888</v>
      </c>
      <c r="H3264" s="17">
        <v>0.4</v>
      </c>
      <c r="I3264" s="18">
        <v>710000000</v>
      </c>
      <c r="J3264" s="4" t="s">
        <v>1931</v>
      </c>
      <c r="K3264" s="4" t="s">
        <v>5706</v>
      </c>
      <c r="L3264" s="4" t="s">
        <v>5668</v>
      </c>
      <c r="M3264" s="8" t="s">
        <v>3195</v>
      </c>
      <c r="N3264" s="8" t="s">
        <v>1890</v>
      </c>
      <c r="O3264" s="8" t="s">
        <v>2146</v>
      </c>
      <c r="P3264" s="8">
        <v>715</v>
      </c>
      <c r="Q3264" s="8" t="s">
        <v>5247</v>
      </c>
      <c r="R3264" s="10">
        <v>118</v>
      </c>
      <c r="S3264" s="10">
        <v>172.55</v>
      </c>
      <c r="T3264" s="10">
        <f t="shared" ref="T3264" si="2070">R3264*S3264</f>
        <v>20360.900000000001</v>
      </c>
      <c r="U3264" s="10">
        <f t="shared" ref="U3264:U3372" si="2071">T3264*1.12</f>
        <v>22804.208000000002</v>
      </c>
      <c r="V3264" s="8" t="s">
        <v>3027</v>
      </c>
      <c r="W3264" s="11">
        <v>2015</v>
      </c>
      <c r="X3264" s="8"/>
    </row>
    <row r="3265" spans="1:24" ht="76.5" customHeight="1" outlineLevel="1" x14ac:dyDescent="0.2">
      <c r="A3265" s="1" t="s">
        <v>6769</v>
      </c>
      <c r="B3265" s="24" t="s">
        <v>5277</v>
      </c>
      <c r="C3265" s="7" t="s">
        <v>1398</v>
      </c>
      <c r="D3265" s="7" t="s">
        <v>1399</v>
      </c>
      <c r="E3265" s="18" t="s">
        <v>1400</v>
      </c>
      <c r="F3265" s="25" t="s">
        <v>6770</v>
      </c>
      <c r="G3265" s="1" t="s">
        <v>3190</v>
      </c>
      <c r="H3265" s="17">
        <v>0</v>
      </c>
      <c r="I3265" s="18">
        <v>710000000</v>
      </c>
      <c r="J3265" s="4" t="s">
        <v>1931</v>
      </c>
      <c r="K3265" s="4" t="s">
        <v>5297</v>
      </c>
      <c r="L3265" s="7" t="s">
        <v>5689</v>
      </c>
      <c r="M3265" s="8" t="s">
        <v>3195</v>
      </c>
      <c r="N3265" s="8" t="s">
        <v>1890</v>
      </c>
      <c r="O3265" s="8" t="s">
        <v>1935</v>
      </c>
      <c r="P3265" s="8">
        <v>796</v>
      </c>
      <c r="Q3265" s="8" t="s">
        <v>3196</v>
      </c>
      <c r="R3265" s="10">
        <v>10</v>
      </c>
      <c r="S3265" s="69">
        <v>3755.5</v>
      </c>
      <c r="T3265" s="10">
        <f t="shared" ref="T3265" si="2072">S3265*R3265</f>
        <v>37555</v>
      </c>
      <c r="U3265" s="10">
        <f t="shared" si="2071"/>
        <v>42061.600000000006</v>
      </c>
      <c r="V3265" s="8"/>
      <c r="W3265" s="11">
        <v>2015</v>
      </c>
      <c r="X3265" s="1"/>
    </row>
    <row r="3266" spans="1:24" s="13" customFormat="1" ht="76.5" customHeight="1" outlineLevel="1" x14ac:dyDescent="0.2">
      <c r="A3266" s="1" t="s">
        <v>6855</v>
      </c>
      <c r="B3266" s="2" t="s">
        <v>5277</v>
      </c>
      <c r="C3266" s="2" t="s">
        <v>3147</v>
      </c>
      <c r="D3266" s="2" t="s">
        <v>5490</v>
      </c>
      <c r="E3266" s="6" t="s">
        <v>5491</v>
      </c>
      <c r="F3266" s="52" t="s">
        <v>291</v>
      </c>
      <c r="G3266" s="4" t="s">
        <v>1888</v>
      </c>
      <c r="H3266" s="5">
        <v>0</v>
      </c>
      <c r="I3266" s="6">
        <v>710000000</v>
      </c>
      <c r="J3266" s="4" t="s">
        <v>1931</v>
      </c>
      <c r="K3266" s="4" t="s">
        <v>5297</v>
      </c>
      <c r="L3266" s="4" t="s">
        <v>1889</v>
      </c>
      <c r="M3266" s="8" t="s">
        <v>3195</v>
      </c>
      <c r="N3266" s="3" t="s">
        <v>1890</v>
      </c>
      <c r="O3266" s="8" t="s">
        <v>1935</v>
      </c>
      <c r="P3266" s="8">
        <v>796</v>
      </c>
      <c r="Q3266" s="8" t="s">
        <v>3196</v>
      </c>
      <c r="R3266" s="69">
        <v>80</v>
      </c>
      <c r="S3266" s="69">
        <v>419.14</v>
      </c>
      <c r="T3266" s="10">
        <v>0</v>
      </c>
      <c r="U3266" s="10">
        <f t="shared" si="2071"/>
        <v>0</v>
      </c>
      <c r="V3266" s="7"/>
      <c r="W3266" s="1">
        <v>2015</v>
      </c>
      <c r="X3266" s="62">
        <v>7.11</v>
      </c>
    </row>
    <row r="3267" spans="1:24" s="13" customFormat="1" ht="76.5" customHeight="1" outlineLevel="1" x14ac:dyDescent="0.2">
      <c r="A3267" s="1" t="s">
        <v>8064</v>
      </c>
      <c r="B3267" s="2" t="s">
        <v>5277</v>
      </c>
      <c r="C3267" s="2" t="s">
        <v>3147</v>
      </c>
      <c r="D3267" s="2" t="s">
        <v>5490</v>
      </c>
      <c r="E3267" s="6" t="s">
        <v>5491</v>
      </c>
      <c r="F3267" s="52" t="s">
        <v>291</v>
      </c>
      <c r="G3267" s="3" t="s">
        <v>3190</v>
      </c>
      <c r="H3267" s="5">
        <v>0</v>
      </c>
      <c r="I3267" s="6">
        <v>710000000</v>
      </c>
      <c r="J3267" s="4" t="s">
        <v>1931</v>
      </c>
      <c r="K3267" s="4" t="s">
        <v>756</v>
      </c>
      <c r="L3267" s="4" t="s">
        <v>1889</v>
      </c>
      <c r="M3267" s="8" t="s">
        <v>3195</v>
      </c>
      <c r="N3267" s="3" t="s">
        <v>1890</v>
      </c>
      <c r="O3267" s="8" t="s">
        <v>1935</v>
      </c>
      <c r="P3267" s="8">
        <v>796</v>
      </c>
      <c r="Q3267" s="8" t="s">
        <v>3196</v>
      </c>
      <c r="R3267" s="69">
        <v>80</v>
      </c>
      <c r="S3267" s="69">
        <v>419.14</v>
      </c>
      <c r="T3267" s="10">
        <f t="shared" ref="T3267" si="2073">S3267*R3267</f>
        <v>33531.199999999997</v>
      </c>
      <c r="U3267" s="10">
        <f t="shared" ref="U3267" si="2074">T3267*1.12</f>
        <v>37554.944000000003</v>
      </c>
      <c r="V3267" s="7"/>
      <c r="W3267" s="1">
        <v>2015</v>
      </c>
      <c r="X3267" s="62"/>
    </row>
    <row r="3268" spans="1:24" s="13" customFormat="1" ht="76.5" customHeight="1" outlineLevel="1" x14ac:dyDescent="0.2">
      <c r="A3268" s="1" t="s">
        <v>6856</v>
      </c>
      <c r="B3268" s="2" t="s">
        <v>5277</v>
      </c>
      <c r="C3268" s="2" t="s">
        <v>290</v>
      </c>
      <c r="D3268" s="2" t="s">
        <v>5492</v>
      </c>
      <c r="E3268" s="2" t="s">
        <v>5493</v>
      </c>
      <c r="F3268" s="52" t="s">
        <v>289</v>
      </c>
      <c r="G3268" s="4" t="s">
        <v>1888</v>
      </c>
      <c r="H3268" s="5">
        <v>0</v>
      </c>
      <c r="I3268" s="6">
        <v>710000000</v>
      </c>
      <c r="J3268" s="4" t="s">
        <v>1931</v>
      </c>
      <c r="K3268" s="4" t="s">
        <v>5297</v>
      </c>
      <c r="L3268" s="4" t="s">
        <v>1889</v>
      </c>
      <c r="M3268" s="8" t="s">
        <v>3195</v>
      </c>
      <c r="N3268" s="3" t="s">
        <v>1890</v>
      </c>
      <c r="O3268" s="8" t="s">
        <v>1935</v>
      </c>
      <c r="P3268" s="62">
        <v>5108</v>
      </c>
      <c r="Q3268" s="3" t="s">
        <v>6034</v>
      </c>
      <c r="R3268" s="69">
        <v>65</v>
      </c>
      <c r="S3268" s="69">
        <v>875</v>
      </c>
      <c r="T3268" s="10">
        <v>0</v>
      </c>
      <c r="U3268" s="10">
        <f t="shared" si="2071"/>
        <v>0</v>
      </c>
      <c r="V3268" s="7"/>
      <c r="W3268" s="1">
        <v>2015</v>
      </c>
      <c r="X3268" s="62">
        <v>7.11</v>
      </c>
    </row>
    <row r="3269" spans="1:24" s="13" customFormat="1" ht="76.5" customHeight="1" outlineLevel="1" x14ac:dyDescent="0.2">
      <c r="A3269" s="1" t="s">
        <v>8065</v>
      </c>
      <c r="B3269" s="2" t="s">
        <v>5277</v>
      </c>
      <c r="C3269" s="2" t="s">
        <v>290</v>
      </c>
      <c r="D3269" s="2" t="s">
        <v>5492</v>
      </c>
      <c r="E3269" s="2" t="s">
        <v>5493</v>
      </c>
      <c r="F3269" s="52" t="s">
        <v>289</v>
      </c>
      <c r="G3269" s="3" t="s">
        <v>3190</v>
      </c>
      <c r="H3269" s="5">
        <v>0</v>
      </c>
      <c r="I3269" s="6">
        <v>710000000</v>
      </c>
      <c r="J3269" s="4" t="s">
        <v>1931</v>
      </c>
      <c r="K3269" s="4" t="s">
        <v>756</v>
      </c>
      <c r="L3269" s="4" t="s">
        <v>1889</v>
      </c>
      <c r="M3269" s="8" t="s">
        <v>3195</v>
      </c>
      <c r="N3269" s="3" t="s">
        <v>1890</v>
      </c>
      <c r="O3269" s="8" t="s">
        <v>1935</v>
      </c>
      <c r="P3269" s="62">
        <v>5108</v>
      </c>
      <c r="Q3269" s="3" t="s">
        <v>6034</v>
      </c>
      <c r="R3269" s="69">
        <v>65</v>
      </c>
      <c r="S3269" s="69">
        <v>875</v>
      </c>
      <c r="T3269" s="10">
        <f t="shared" ref="T3269" si="2075">S3269*R3269</f>
        <v>56875</v>
      </c>
      <c r="U3269" s="10">
        <f t="shared" ref="U3269" si="2076">T3269*1.12</f>
        <v>63700.000000000007</v>
      </c>
      <c r="V3269" s="7"/>
      <c r="W3269" s="1">
        <v>2015</v>
      </c>
      <c r="X3269" s="62"/>
    </row>
    <row r="3270" spans="1:24" s="13" customFormat="1" ht="76.5" customHeight="1" outlineLevel="1" x14ac:dyDescent="0.2">
      <c r="A3270" s="1" t="s">
        <v>6857</v>
      </c>
      <c r="B3270" s="2" t="s">
        <v>5277</v>
      </c>
      <c r="C3270" s="2" t="s">
        <v>3089</v>
      </c>
      <c r="D3270" s="2" t="s">
        <v>5465</v>
      </c>
      <c r="E3270" s="6" t="s">
        <v>5213</v>
      </c>
      <c r="F3270" s="52" t="s">
        <v>308</v>
      </c>
      <c r="G3270" s="4" t="s">
        <v>1888</v>
      </c>
      <c r="H3270" s="5">
        <v>0</v>
      </c>
      <c r="I3270" s="6">
        <v>710000000</v>
      </c>
      <c r="J3270" s="4" t="s">
        <v>1931</v>
      </c>
      <c r="K3270" s="4" t="s">
        <v>5297</v>
      </c>
      <c r="L3270" s="4" t="s">
        <v>1889</v>
      </c>
      <c r="M3270" s="8" t="s">
        <v>3195</v>
      </c>
      <c r="N3270" s="3" t="s">
        <v>1890</v>
      </c>
      <c r="O3270" s="8" t="s">
        <v>1935</v>
      </c>
      <c r="P3270" s="60">
        <v>166</v>
      </c>
      <c r="Q3270" s="3" t="s">
        <v>3324</v>
      </c>
      <c r="R3270" s="69">
        <v>5</v>
      </c>
      <c r="S3270" s="69">
        <v>2964.2</v>
      </c>
      <c r="T3270" s="10">
        <v>0</v>
      </c>
      <c r="U3270" s="10">
        <f t="shared" si="2071"/>
        <v>0</v>
      </c>
      <c r="V3270" s="7"/>
      <c r="W3270" s="1">
        <v>2015</v>
      </c>
      <c r="X3270" s="62">
        <v>7.11</v>
      </c>
    </row>
    <row r="3271" spans="1:24" s="13" customFormat="1" ht="76.5" customHeight="1" outlineLevel="1" x14ac:dyDescent="0.2">
      <c r="A3271" s="1" t="s">
        <v>8066</v>
      </c>
      <c r="B3271" s="2" t="s">
        <v>5277</v>
      </c>
      <c r="C3271" s="2" t="s">
        <v>3089</v>
      </c>
      <c r="D3271" s="2" t="s">
        <v>5465</v>
      </c>
      <c r="E3271" s="6" t="s">
        <v>5213</v>
      </c>
      <c r="F3271" s="52" t="s">
        <v>308</v>
      </c>
      <c r="G3271" s="3" t="s">
        <v>3190</v>
      </c>
      <c r="H3271" s="5">
        <v>0</v>
      </c>
      <c r="I3271" s="6">
        <v>710000000</v>
      </c>
      <c r="J3271" s="4" t="s">
        <v>1931</v>
      </c>
      <c r="K3271" s="4" t="s">
        <v>756</v>
      </c>
      <c r="L3271" s="4" t="s">
        <v>1889</v>
      </c>
      <c r="M3271" s="8" t="s">
        <v>3195</v>
      </c>
      <c r="N3271" s="3" t="s">
        <v>1890</v>
      </c>
      <c r="O3271" s="8" t="s">
        <v>1935</v>
      </c>
      <c r="P3271" s="60">
        <v>166</v>
      </c>
      <c r="Q3271" s="3" t="s">
        <v>3324</v>
      </c>
      <c r="R3271" s="69">
        <v>5</v>
      </c>
      <c r="S3271" s="69">
        <v>2964.2</v>
      </c>
      <c r="T3271" s="10">
        <v>0</v>
      </c>
      <c r="U3271" s="10">
        <f t="shared" ref="U3271" si="2077">T3271*1.12</f>
        <v>0</v>
      </c>
      <c r="V3271" s="7"/>
      <c r="W3271" s="1">
        <v>2015</v>
      </c>
      <c r="X3271" s="62" t="s">
        <v>7518</v>
      </c>
    </row>
    <row r="3272" spans="1:24" s="13" customFormat="1" ht="76.5" customHeight="1" outlineLevel="1" x14ac:dyDescent="0.2">
      <c r="A3272" s="1" t="s">
        <v>9413</v>
      </c>
      <c r="B3272" s="2" t="s">
        <v>5277</v>
      </c>
      <c r="C3272" s="2" t="s">
        <v>3089</v>
      </c>
      <c r="D3272" s="2" t="s">
        <v>5465</v>
      </c>
      <c r="E3272" s="6" t="s">
        <v>5213</v>
      </c>
      <c r="F3272" s="52" t="s">
        <v>308</v>
      </c>
      <c r="G3272" s="3" t="s">
        <v>3190</v>
      </c>
      <c r="H3272" s="5">
        <v>0</v>
      </c>
      <c r="I3272" s="6">
        <v>710000000</v>
      </c>
      <c r="J3272" s="4" t="s">
        <v>1931</v>
      </c>
      <c r="K3272" s="4" t="s">
        <v>9276</v>
      </c>
      <c r="L3272" s="4" t="s">
        <v>1889</v>
      </c>
      <c r="M3272" s="8" t="s">
        <v>3195</v>
      </c>
      <c r="N3272" s="3" t="s">
        <v>1890</v>
      </c>
      <c r="O3272" s="8" t="s">
        <v>1935</v>
      </c>
      <c r="P3272" s="60">
        <v>166</v>
      </c>
      <c r="Q3272" s="3" t="s">
        <v>3324</v>
      </c>
      <c r="R3272" s="69">
        <f>5+8</f>
        <v>13</v>
      </c>
      <c r="S3272" s="69">
        <v>2964.2</v>
      </c>
      <c r="T3272" s="10">
        <f t="shared" ref="T3272" si="2078">S3272*R3272</f>
        <v>38534.6</v>
      </c>
      <c r="U3272" s="10">
        <f t="shared" ref="U3272" si="2079">T3272*1.12</f>
        <v>43158.752</v>
      </c>
      <c r="V3272" s="7"/>
      <c r="W3272" s="1">
        <v>2015</v>
      </c>
      <c r="X3272" s="62"/>
    </row>
    <row r="3273" spans="1:24" s="13" customFormat="1" ht="76.5" customHeight="1" outlineLevel="1" x14ac:dyDescent="0.2">
      <c r="A3273" s="1" t="s">
        <v>6858</v>
      </c>
      <c r="B3273" s="2" t="s">
        <v>5277</v>
      </c>
      <c r="C3273" s="2" t="s">
        <v>3089</v>
      </c>
      <c r="D3273" s="2" t="s">
        <v>5465</v>
      </c>
      <c r="E3273" s="6" t="s">
        <v>5213</v>
      </c>
      <c r="F3273" s="52" t="s">
        <v>309</v>
      </c>
      <c r="G3273" s="4" t="s">
        <v>1888</v>
      </c>
      <c r="H3273" s="5">
        <v>0</v>
      </c>
      <c r="I3273" s="6">
        <v>710000000</v>
      </c>
      <c r="J3273" s="4" t="s">
        <v>1931</v>
      </c>
      <c r="K3273" s="4" t="s">
        <v>5297</v>
      </c>
      <c r="L3273" s="4" t="s">
        <v>1889</v>
      </c>
      <c r="M3273" s="8" t="s">
        <v>3195</v>
      </c>
      <c r="N3273" s="3" t="s">
        <v>1890</v>
      </c>
      <c r="O3273" s="8" t="s">
        <v>1935</v>
      </c>
      <c r="P3273" s="60">
        <v>166</v>
      </c>
      <c r="Q3273" s="3" t="s">
        <v>3324</v>
      </c>
      <c r="R3273" s="69">
        <v>75</v>
      </c>
      <c r="S3273" s="69">
        <v>43</v>
      </c>
      <c r="T3273" s="10">
        <v>0</v>
      </c>
      <c r="U3273" s="10">
        <f t="shared" si="2071"/>
        <v>0</v>
      </c>
      <c r="V3273" s="7"/>
      <c r="W3273" s="1">
        <v>2015</v>
      </c>
      <c r="X3273" s="62">
        <v>7.11</v>
      </c>
    </row>
    <row r="3274" spans="1:24" s="13" customFormat="1" ht="76.5" customHeight="1" outlineLevel="1" x14ac:dyDescent="0.2">
      <c r="A3274" s="1" t="s">
        <v>8067</v>
      </c>
      <c r="B3274" s="2" t="s">
        <v>5277</v>
      </c>
      <c r="C3274" s="2" t="s">
        <v>3089</v>
      </c>
      <c r="D3274" s="2" t="s">
        <v>5465</v>
      </c>
      <c r="E3274" s="6" t="s">
        <v>5213</v>
      </c>
      <c r="F3274" s="52" t="s">
        <v>309</v>
      </c>
      <c r="G3274" s="3" t="s">
        <v>3190</v>
      </c>
      <c r="H3274" s="5">
        <v>0</v>
      </c>
      <c r="I3274" s="6">
        <v>710000000</v>
      </c>
      <c r="J3274" s="4" t="s">
        <v>1931</v>
      </c>
      <c r="K3274" s="4" t="s">
        <v>756</v>
      </c>
      <c r="L3274" s="4" t="s">
        <v>1889</v>
      </c>
      <c r="M3274" s="8" t="s">
        <v>3195</v>
      </c>
      <c r="N3274" s="3" t="s">
        <v>1890</v>
      </c>
      <c r="O3274" s="8" t="s">
        <v>1935</v>
      </c>
      <c r="P3274" s="60">
        <v>166</v>
      </c>
      <c r="Q3274" s="3" t="s">
        <v>3324</v>
      </c>
      <c r="R3274" s="69">
        <v>75</v>
      </c>
      <c r="S3274" s="69">
        <v>43</v>
      </c>
      <c r="T3274" s="10">
        <f t="shared" ref="T3274" si="2080">S3274*R3274</f>
        <v>3225</v>
      </c>
      <c r="U3274" s="10">
        <f t="shared" ref="U3274" si="2081">T3274*1.12</f>
        <v>3612.0000000000005</v>
      </c>
      <c r="V3274" s="7"/>
      <c r="W3274" s="1">
        <v>2015</v>
      </c>
      <c r="X3274" s="62"/>
    </row>
    <row r="3275" spans="1:24" s="13" customFormat="1" ht="76.5" customHeight="1" outlineLevel="1" x14ac:dyDescent="0.2">
      <c r="A3275" s="1" t="s">
        <v>6859</v>
      </c>
      <c r="B3275" s="2" t="s">
        <v>5277</v>
      </c>
      <c r="C3275" s="2" t="s">
        <v>3089</v>
      </c>
      <c r="D3275" s="2" t="s">
        <v>5465</v>
      </c>
      <c r="E3275" s="6" t="s">
        <v>5213</v>
      </c>
      <c r="F3275" s="52"/>
      <c r="G3275" s="4" t="s">
        <v>1888</v>
      </c>
      <c r="H3275" s="5">
        <v>0</v>
      </c>
      <c r="I3275" s="6">
        <v>710000000</v>
      </c>
      <c r="J3275" s="4" t="s">
        <v>1931</v>
      </c>
      <c r="K3275" s="4" t="s">
        <v>5297</v>
      </c>
      <c r="L3275" s="4" t="s">
        <v>1889</v>
      </c>
      <c r="M3275" s="8" t="s">
        <v>3195</v>
      </c>
      <c r="N3275" s="3" t="s">
        <v>1890</v>
      </c>
      <c r="O3275" s="8" t="s">
        <v>1935</v>
      </c>
      <c r="P3275" s="60">
        <v>166</v>
      </c>
      <c r="Q3275" s="3" t="s">
        <v>3324</v>
      </c>
      <c r="R3275" s="69">
        <v>250</v>
      </c>
      <c r="S3275" s="69">
        <v>45</v>
      </c>
      <c r="T3275" s="10">
        <v>0</v>
      </c>
      <c r="U3275" s="10">
        <f t="shared" si="2071"/>
        <v>0</v>
      </c>
      <c r="V3275" s="7"/>
      <c r="W3275" s="1">
        <v>2015</v>
      </c>
      <c r="X3275" s="62">
        <v>7.11</v>
      </c>
    </row>
    <row r="3276" spans="1:24" s="13" customFormat="1" ht="76.5" customHeight="1" outlineLevel="1" x14ac:dyDescent="0.2">
      <c r="A3276" s="1" t="s">
        <v>8068</v>
      </c>
      <c r="B3276" s="2" t="s">
        <v>5277</v>
      </c>
      <c r="C3276" s="2" t="s">
        <v>3089</v>
      </c>
      <c r="D3276" s="2" t="s">
        <v>5465</v>
      </c>
      <c r="E3276" s="6" t="s">
        <v>5213</v>
      </c>
      <c r="F3276" s="52"/>
      <c r="G3276" s="3" t="s">
        <v>3190</v>
      </c>
      <c r="H3276" s="5">
        <v>0</v>
      </c>
      <c r="I3276" s="6">
        <v>710000000</v>
      </c>
      <c r="J3276" s="4" t="s">
        <v>1931</v>
      </c>
      <c r="K3276" s="4" t="s">
        <v>756</v>
      </c>
      <c r="L3276" s="4" t="s">
        <v>1889</v>
      </c>
      <c r="M3276" s="8" t="s">
        <v>3195</v>
      </c>
      <c r="N3276" s="3" t="s">
        <v>1890</v>
      </c>
      <c r="O3276" s="8" t="s">
        <v>1935</v>
      </c>
      <c r="P3276" s="60">
        <v>166</v>
      </c>
      <c r="Q3276" s="3" t="s">
        <v>3324</v>
      </c>
      <c r="R3276" s="69">
        <v>250</v>
      </c>
      <c r="S3276" s="69">
        <v>45</v>
      </c>
      <c r="T3276" s="10">
        <v>0</v>
      </c>
      <c r="U3276" s="10">
        <f t="shared" ref="U3276" si="2082">T3276*1.12</f>
        <v>0</v>
      </c>
      <c r="V3276" s="7"/>
      <c r="W3276" s="1">
        <v>2015</v>
      </c>
      <c r="X3276" s="62" t="s">
        <v>7518</v>
      </c>
    </row>
    <row r="3277" spans="1:24" s="13" customFormat="1" ht="76.5" customHeight="1" outlineLevel="1" x14ac:dyDescent="0.2">
      <c r="A3277" s="1" t="s">
        <v>9422</v>
      </c>
      <c r="B3277" s="2" t="s">
        <v>5277</v>
      </c>
      <c r="C3277" s="2" t="s">
        <v>3089</v>
      </c>
      <c r="D3277" s="2" t="s">
        <v>5465</v>
      </c>
      <c r="E3277" s="6" t="s">
        <v>5213</v>
      </c>
      <c r="F3277" s="52"/>
      <c r="G3277" s="3" t="s">
        <v>3190</v>
      </c>
      <c r="H3277" s="5">
        <v>0</v>
      </c>
      <c r="I3277" s="6">
        <v>710000000</v>
      </c>
      <c r="J3277" s="4" t="s">
        <v>1931</v>
      </c>
      <c r="K3277" s="4" t="s">
        <v>9276</v>
      </c>
      <c r="L3277" s="4" t="s">
        <v>1889</v>
      </c>
      <c r="M3277" s="8" t="s">
        <v>3195</v>
      </c>
      <c r="N3277" s="3" t="s">
        <v>1890</v>
      </c>
      <c r="O3277" s="8" t="s">
        <v>1935</v>
      </c>
      <c r="P3277" s="60">
        <v>166</v>
      </c>
      <c r="Q3277" s="3" t="s">
        <v>3324</v>
      </c>
      <c r="R3277" s="69">
        <f>250+160</f>
        <v>410</v>
      </c>
      <c r="S3277" s="69">
        <v>45</v>
      </c>
      <c r="T3277" s="10">
        <f t="shared" ref="T3277" si="2083">S3277*R3277</f>
        <v>18450</v>
      </c>
      <c r="U3277" s="10">
        <f t="shared" ref="U3277" si="2084">T3277*1.12</f>
        <v>20664.000000000004</v>
      </c>
      <c r="V3277" s="7"/>
      <c r="W3277" s="1">
        <v>2015</v>
      </c>
      <c r="X3277" s="62"/>
    </row>
    <row r="3278" spans="1:24" s="13" customFormat="1" ht="76.5" customHeight="1" outlineLevel="1" x14ac:dyDescent="0.2">
      <c r="A3278" s="1" t="s">
        <v>6860</v>
      </c>
      <c r="B3278" s="2" t="s">
        <v>5277</v>
      </c>
      <c r="C3278" s="6" t="s">
        <v>259</v>
      </c>
      <c r="D3278" s="6" t="s">
        <v>5224</v>
      </c>
      <c r="E3278" s="6" t="s">
        <v>258</v>
      </c>
      <c r="F3278" s="2"/>
      <c r="G3278" s="4" t="s">
        <v>1888</v>
      </c>
      <c r="H3278" s="5">
        <v>0</v>
      </c>
      <c r="I3278" s="6">
        <v>710000000</v>
      </c>
      <c r="J3278" s="4" t="s">
        <v>1931</v>
      </c>
      <c r="K3278" s="4" t="s">
        <v>5297</v>
      </c>
      <c r="L3278" s="4" t="s">
        <v>1889</v>
      </c>
      <c r="M3278" s="8" t="s">
        <v>3195</v>
      </c>
      <c r="N3278" s="3" t="s">
        <v>1890</v>
      </c>
      <c r="O3278" s="8" t="s">
        <v>1935</v>
      </c>
      <c r="P3278" s="62">
        <v>166</v>
      </c>
      <c r="Q3278" s="3" t="s">
        <v>3324</v>
      </c>
      <c r="R3278" s="69">
        <v>115</v>
      </c>
      <c r="S3278" s="69">
        <v>440.14</v>
      </c>
      <c r="T3278" s="10">
        <v>0</v>
      </c>
      <c r="U3278" s="10">
        <f t="shared" si="2071"/>
        <v>0</v>
      </c>
      <c r="V3278" s="7"/>
      <c r="W3278" s="1">
        <v>2015</v>
      </c>
      <c r="X3278" s="62">
        <v>7.11</v>
      </c>
    </row>
    <row r="3279" spans="1:24" s="13" customFormat="1" ht="76.5" customHeight="1" outlineLevel="1" x14ac:dyDescent="0.2">
      <c r="A3279" s="1" t="s">
        <v>8069</v>
      </c>
      <c r="B3279" s="2" t="s">
        <v>5277</v>
      </c>
      <c r="C3279" s="6" t="s">
        <v>259</v>
      </c>
      <c r="D3279" s="6" t="s">
        <v>5224</v>
      </c>
      <c r="E3279" s="6" t="s">
        <v>258</v>
      </c>
      <c r="F3279" s="2"/>
      <c r="G3279" s="3" t="s">
        <v>3190</v>
      </c>
      <c r="H3279" s="5">
        <v>0</v>
      </c>
      <c r="I3279" s="6">
        <v>710000000</v>
      </c>
      <c r="J3279" s="4" t="s">
        <v>1931</v>
      </c>
      <c r="K3279" s="4" t="s">
        <v>756</v>
      </c>
      <c r="L3279" s="4" t="s">
        <v>1889</v>
      </c>
      <c r="M3279" s="8" t="s">
        <v>3195</v>
      </c>
      <c r="N3279" s="3" t="s">
        <v>1890</v>
      </c>
      <c r="O3279" s="8" t="s">
        <v>1935</v>
      </c>
      <c r="P3279" s="62">
        <v>166</v>
      </c>
      <c r="Q3279" s="3" t="s">
        <v>3324</v>
      </c>
      <c r="R3279" s="69">
        <v>115</v>
      </c>
      <c r="S3279" s="69">
        <v>440.14</v>
      </c>
      <c r="T3279" s="10">
        <f t="shared" ref="T3279" si="2085">S3279*R3279</f>
        <v>50616.1</v>
      </c>
      <c r="U3279" s="10">
        <f t="shared" ref="U3279" si="2086">T3279*1.12</f>
        <v>56690.032000000007</v>
      </c>
      <c r="V3279" s="7"/>
      <c r="W3279" s="1">
        <v>2015</v>
      </c>
      <c r="X3279" s="62"/>
    </row>
    <row r="3280" spans="1:24" s="13" customFormat="1" ht="76.5" customHeight="1" outlineLevel="1" x14ac:dyDescent="0.2">
      <c r="A3280" s="1" t="s">
        <v>6861</v>
      </c>
      <c r="B3280" s="2" t="s">
        <v>5277</v>
      </c>
      <c r="C3280" s="2" t="s">
        <v>3100</v>
      </c>
      <c r="D3280" s="2" t="s">
        <v>5236</v>
      </c>
      <c r="E3280" s="6" t="s">
        <v>5237</v>
      </c>
      <c r="F3280" s="52" t="s">
        <v>5238</v>
      </c>
      <c r="G3280" s="4" t="s">
        <v>1888</v>
      </c>
      <c r="H3280" s="5">
        <v>0</v>
      </c>
      <c r="I3280" s="6">
        <v>710000000</v>
      </c>
      <c r="J3280" s="4" t="s">
        <v>1931</v>
      </c>
      <c r="K3280" s="4" t="s">
        <v>5297</v>
      </c>
      <c r="L3280" s="4" t="s">
        <v>1889</v>
      </c>
      <c r="M3280" s="8" t="s">
        <v>3195</v>
      </c>
      <c r="N3280" s="3" t="s">
        <v>1890</v>
      </c>
      <c r="O3280" s="8" t="s">
        <v>1935</v>
      </c>
      <c r="P3280" s="60">
        <v>166</v>
      </c>
      <c r="Q3280" s="3" t="s">
        <v>3324</v>
      </c>
      <c r="R3280" s="69">
        <v>17</v>
      </c>
      <c r="S3280" s="69">
        <v>4740.88</v>
      </c>
      <c r="T3280" s="10">
        <v>0</v>
      </c>
      <c r="U3280" s="10">
        <f t="shared" si="2071"/>
        <v>0</v>
      </c>
      <c r="V3280" s="7"/>
      <c r="W3280" s="1">
        <v>2015</v>
      </c>
      <c r="X3280" s="62">
        <v>7.11</v>
      </c>
    </row>
    <row r="3281" spans="1:24" s="13" customFormat="1" ht="76.5" customHeight="1" outlineLevel="1" x14ac:dyDescent="0.2">
      <c r="A3281" s="1" t="s">
        <v>8070</v>
      </c>
      <c r="B3281" s="2" t="s">
        <v>5277</v>
      </c>
      <c r="C3281" s="2" t="s">
        <v>3100</v>
      </c>
      <c r="D3281" s="2" t="s">
        <v>5236</v>
      </c>
      <c r="E3281" s="6" t="s">
        <v>5237</v>
      </c>
      <c r="F3281" s="52" t="s">
        <v>5238</v>
      </c>
      <c r="G3281" s="3" t="s">
        <v>3190</v>
      </c>
      <c r="H3281" s="5">
        <v>0</v>
      </c>
      <c r="I3281" s="6">
        <v>710000000</v>
      </c>
      <c r="J3281" s="4" t="s">
        <v>1931</v>
      </c>
      <c r="K3281" s="4" t="s">
        <v>756</v>
      </c>
      <c r="L3281" s="4" t="s">
        <v>1889</v>
      </c>
      <c r="M3281" s="8" t="s">
        <v>3195</v>
      </c>
      <c r="N3281" s="3" t="s">
        <v>1890</v>
      </c>
      <c r="O3281" s="8" t="s">
        <v>1935</v>
      </c>
      <c r="P3281" s="60">
        <v>166</v>
      </c>
      <c r="Q3281" s="3" t="s">
        <v>3324</v>
      </c>
      <c r="R3281" s="69">
        <v>17</v>
      </c>
      <c r="S3281" s="69">
        <v>4740.88</v>
      </c>
      <c r="T3281" s="10">
        <v>0</v>
      </c>
      <c r="U3281" s="10">
        <f t="shared" ref="U3281" si="2087">T3281*1.12</f>
        <v>0</v>
      </c>
      <c r="V3281" s="7"/>
      <c r="W3281" s="1">
        <v>2015</v>
      </c>
      <c r="X3281" s="62" t="s">
        <v>7518</v>
      </c>
    </row>
    <row r="3282" spans="1:24" s="13" customFormat="1" ht="76.5" customHeight="1" outlineLevel="1" x14ac:dyDescent="0.2">
      <c r="A3282" s="1" t="s">
        <v>9145</v>
      </c>
      <c r="B3282" s="2" t="s">
        <v>5277</v>
      </c>
      <c r="C3282" s="2" t="s">
        <v>3100</v>
      </c>
      <c r="D3282" s="2" t="s">
        <v>5236</v>
      </c>
      <c r="E3282" s="6" t="s">
        <v>5237</v>
      </c>
      <c r="F3282" s="52" t="s">
        <v>5238</v>
      </c>
      <c r="G3282" s="3" t="s">
        <v>3190</v>
      </c>
      <c r="H3282" s="5">
        <v>0</v>
      </c>
      <c r="I3282" s="6">
        <v>710000000</v>
      </c>
      <c r="J3282" s="4" t="s">
        <v>1931</v>
      </c>
      <c r="K3282" s="4" t="s">
        <v>9142</v>
      </c>
      <c r="L3282" s="4" t="s">
        <v>1889</v>
      </c>
      <c r="M3282" s="8" t="s">
        <v>3195</v>
      </c>
      <c r="N3282" s="3" t="s">
        <v>1890</v>
      </c>
      <c r="O3282" s="8" t="s">
        <v>1935</v>
      </c>
      <c r="P3282" s="60">
        <v>166</v>
      </c>
      <c r="Q3282" s="3" t="s">
        <v>3324</v>
      </c>
      <c r="R3282" s="69">
        <v>25</v>
      </c>
      <c r="S3282" s="69">
        <v>4740.88</v>
      </c>
      <c r="T3282" s="10">
        <v>0</v>
      </c>
      <c r="U3282" s="10">
        <f t="shared" ref="U3282" si="2088">T3282*1.12</f>
        <v>0</v>
      </c>
      <c r="V3282" s="7"/>
      <c r="W3282" s="1">
        <v>2015</v>
      </c>
      <c r="X3282" s="62" t="s">
        <v>6562</v>
      </c>
    </row>
    <row r="3283" spans="1:24" s="13" customFormat="1" ht="76.5" customHeight="1" outlineLevel="1" x14ac:dyDescent="0.2">
      <c r="A3283" s="1" t="s">
        <v>9213</v>
      </c>
      <c r="B3283" s="2" t="s">
        <v>5277</v>
      </c>
      <c r="C3283" s="2" t="s">
        <v>3100</v>
      </c>
      <c r="D3283" s="2" t="s">
        <v>5236</v>
      </c>
      <c r="E3283" s="6" t="s">
        <v>5237</v>
      </c>
      <c r="F3283" s="52" t="s">
        <v>5238</v>
      </c>
      <c r="G3283" s="3" t="s">
        <v>3190</v>
      </c>
      <c r="H3283" s="5">
        <v>0</v>
      </c>
      <c r="I3283" s="6">
        <v>710000000</v>
      </c>
      <c r="J3283" s="4" t="s">
        <v>1931</v>
      </c>
      <c r="K3283" s="4" t="s">
        <v>9142</v>
      </c>
      <c r="L3283" s="4" t="s">
        <v>1889</v>
      </c>
      <c r="M3283" s="8" t="s">
        <v>3195</v>
      </c>
      <c r="N3283" s="3" t="s">
        <v>1890</v>
      </c>
      <c r="O3283" s="8" t="s">
        <v>1935</v>
      </c>
      <c r="P3283" s="60">
        <v>166</v>
      </c>
      <c r="Q3283" s="3" t="s">
        <v>3324</v>
      </c>
      <c r="R3283" s="69">
        <f>25+4</f>
        <v>29</v>
      </c>
      <c r="S3283" s="69">
        <v>4740.88</v>
      </c>
      <c r="T3283" s="10">
        <v>0</v>
      </c>
      <c r="U3283" s="10">
        <f t="shared" ref="U3283" si="2089">T3283*1.12</f>
        <v>0</v>
      </c>
      <c r="V3283" s="7"/>
      <c r="W3283" s="1">
        <v>2015</v>
      </c>
      <c r="X3283" s="62" t="s">
        <v>6562</v>
      </c>
    </row>
    <row r="3284" spans="1:24" s="13" customFormat="1" ht="76.5" customHeight="1" outlineLevel="1" x14ac:dyDescent="0.2">
      <c r="A3284" s="1" t="s">
        <v>9414</v>
      </c>
      <c r="B3284" s="2" t="s">
        <v>5277</v>
      </c>
      <c r="C3284" s="2" t="s">
        <v>3100</v>
      </c>
      <c r="D3284" s="2" t="s">
        <v>5236</v>
      </c>
      <c r="E3284" s="6" t="s">
        <v>5237</v>
      </c>
      <c r="F3284" s="52" t="s">
        <v>5238</v>
      </c>
      <c r="G3284" s="3" t="s">
        <v>3190</v>
      </c>
      <c r="H3284" s="5">
        <v>0</v>
      </c>
      <c r="I3284" s="6">
        <v>710000000</v>
      </c>
      <c r="J3284" s="4" t="s">
        <v>1931</v>
      </c>
      <c r="K3284" s="4" t="s">
        <v>9142</v>
      </c>
      <c r="L3284" s="4" t="s">
        <v>1889</v>
      </c>
      <c r="M3284" s="8" t="s">
        <v>3195</v>
      </c>
      <c r="N3284" s="3" t="s">
        <v>1890</v>
      </c>
      <c r="O3284" s="8" t="s">
        <v>1935</v>
      </c>
      <c r="P3284" s="60">
        <v>166</v>
      </c>
      <c r="Q3284" s="3" t="s">
        <v>3324</v>
      </c>
      <c r="R3284" s="69">
        <f>25+4+8</f>
        <v>37</v>
      </c>
      <c r="S3284" s="69">
        <v>4740.88</v>
      </c>
      <c r="T3284" s="10">
        <v>0</v>
      </c>
      <c r="U3284" s="10">
        <f t="shared" ref="U3284" si="2090">T3284*1.12</f>
        <v>0</v>
      </c>
      <c r="V3284" s="7"/>
      <c r="W3284" s="1">
        <v>2015</v>
      </c>
      <c r="X3284" s="62" t="s">
        <v>7518</v>
      </c>
    </row>
    <row r="3285" spans="1:24" s="13" customFormat="1" ht="76.5" customHeight="1" outlineLevel="1" x14ac:dyDescent="0.2">
      <c r="A3285" s="1" t="s">
        <v>9635</v>
      </c>
      <c r="B3285" s="2" t="s">
        <v>5277</v>
      </c>
      <c r="C3285" s="2" t="s">
        <v>3100</v>
      </c>
      <c r="D3285" s="2" t="s">
        <v>5236</v>
      </c>
      <c r="E3285" s="6" t="s">
        <v>5237</v>
      </c>
      <c r="F3285" s="52" t="s">
        <v>5238</v>
      </c>
      <c r="G3285" s="3" t="s">
        <v>3190</v>
      </c>
      <c r="H3285" s="5">
        <v>0</v>
      </c>
      <c r="I3285" s="6">
        <v>710000000</v>
      </c>
      <c r="J3285" s="4" t="s">
        <v>1931</v>
      </c>
      <c r="K3285" s="4" t="s">
        <v>9636</v>
      </c>
      <c r="L3285" s="4" t="s">
        <v>1889</v>
      </c>
      <c r="M3285" s="8" t="s">
        <v>3195</v>
      </c>
      <c r="N3285" s="3" t="s">
        <v>1890</v>
      </c>
      <c r="O3285" s="8" t="s">
        <v>1935</v>
      </c>
      <c r="P3285" s="60">
        <v>166</v>
      </c>
      <c r="Q3285" s="3" t="s">
        <v>3324</v>
      </c>
      <c r="R3285" s="69">
        <f>25+4+8+14</f>
        <v>51</v>
      </c>
      <c r="S3285" s="69">
        <v>4740.88</v>
      </c>
      <c r="T3285" s="10">
        <f t="shared" ref="T3285" si="2091">S3285*R3285</f>
        <v>241784.88</v>
      </c>
      <c r="U3285" s="10">
        <f t="shared" ref="U3285" si="2092">T3285*1.12</f>
        <v>270799.06560000003</v>
      </c>
      <c r="V3285" s="7"/>
      <c r="W3285" s="1">
        <v>2015</v>
      </c>
      <c r="X3285" s="62"/>
    </row>
    <row r="3286" spans="1:24" s="13" customFormat="1" ht="76.5" customHeight="1" outlineLevel="1" x14ac:dyDescent="0.2">
      <c r="A3286" s="1" t="s">
        <v>6862</v>
      </c>
      <c r="B3286" s="2" t="s">
        <v>5277</v>
      </c>
      <c r="C3286" s="2" t="s">
        <v>3087</v>
      </c>
      <c r="D3286" s="2" t="s">
        <v>3088</v>
      </c>
      <c r="E3286" s="6" t="s">
        <v>5489</v>
      </c>
      <c r="F3286" s="52" t="s">
        <v>5695</v>
      </c>
      <c r="G3286" s="4" t="s">
        <v>1888</v>
      </c>
      <c r="H3286" s="5">
        <v>0</v>
      </c>
      <c r="I3286" s="6">
        <v>710000000</v>
      </c>
      <c r="J3286" s="4" t="s">
        <v>1931</v>
      </c>
      <c r="K3286" s="4" t="s">
        <v>5297</v>
      </c>
      <c r="L3286" s="4" t="s">
        <v>1889</v>
      </c>
      <c r="M3286" s="8" t="s">
        <v>3195</v>
      </c>
      <c r="N3286" s="3" t="s">
        <v>1890</v>
      </c>
      <c r="O3286" s="8" t="s">
        <v>1935</v>
      </c>
      <c r="P3286" s="60">
        <v>868</v>
      </c>
      <c r="Q3286" s="3" t="s">
        <v>5488</v>
      </c>
      <c r="R3286" s="69">
        <v>20</v>
      </c>
      <c r="S3286" s="69">
        <v>1250</v>
      </c>
      <c r="T3286" s="10">
        <v>0</v>
      </c>
      <c r="U3286" s="10">
        <f t="shared" si="2071"/>
        <v>0</v>
      </c>
      <c r="V3286" s="7"/>
      <c r="W3286" s="1">
        <v>2015</v>
      </c>
      <c r="X3286" s="62">
        <v>7.11</v>
      </c>
    </row>
    <row r="3287" spans="1:24" s="13" customFormat="1" ht="76.5" customHeight="1" outlineLevel="1" x14ac:dyDescent="0.2">
      <c r="A3287" s="1" t="s">
        <v>8071</v>
      </c>
      <c r="B3287" s="2" t="s">
        <v>5277</v>
      </c>
      <c r="C3287" s="2" t="s">
        <v>3087</v>
      </c>
      <c r="D3287" s="2" t="s">
        <v>3088</v>
      </c>
      <c r="E3287" s="6" t="s">
        <v>5489</v>
      </c>
      <c r="F3287" s="52" t="s">
        <v>5695</v>
      </c>
      <c r="G3287" s="3" t="s">
        <v>3190</v>
      </c>
      <c r="H3287" s="5">
        <v>0</v>
      </c>
      <c r="I3287" s="6">
        <v>710000000</v>
      </c>
      <c r="J3287" s="4" t="s">
        <v>1931</v>
      </c>
      <c r="K3287" s="4" t="s">
        <v>756</v>
      </c>
      <c r="L3287" s="4" t="s">
        <v>1889</v>
      </c>
      <c r="M3287" s="8" t="s">
        <v>3195</v>
      </c>
      <c r="N3287" s="3" t="s">
        <v>1890</v>
      </c>
      <c r="O3287" s="8" t="s">
        <v>1935</v>
      </c>
      <c r="P3287" s="60">
        <v>868</v>
      </c>
      <c r="Q3287" s="3" t="s">
        <v>5488</v>
      </c>
      <c r="R3287" s="69">
        <v>20</v>
      </c>
      <c r="S3287" s="69">
        <v>1250</v>
      </c>
      <c r="T3287" s="10">
        <f t="shared" ref="T3287" si="2093">S3287*R3287</f>
        <v>25000</v>
      </c>
      <c r="U3287" s="10">
        <f t="shared" ref="U3287" si="2094">T3287*1.12</f>
        <v>28000.000000000004</v>
      </c>
      <c r="V3287" s="7"/>
      <c r="W3287" s="1">
        <v>2015</v>
      </c>
      <c r="X3287" s="62"/>
    </row>
    <row r="3288" spans="1:24" s="13" customFormat="1" ht="76.5" customHeight="1" outlineLevel="1" x14ac:dyDescent="0.2">
      <c r="A3288" s="1" t="s">
        <v>6863</v>
      </c>
      <c r="B3288" s="2" t="s">
        <v>5277</v>
      </c>
      <c r="C3288" s="2" t="s">
        <v>314</v>
      </c>
      <c r="D3288" s="2" t="s">
        <v>313</v>
      </c>
      <c r="E3288" s="6" t="s">
        <v>312</v>
      </c>
      <c r="F3288" s="2" t="s">
        <v>6799</v>
      </c>
      <c r="G3288" s="4" t="s">
        <v>1888</v>
      </c>
      <c r="H3288" s="5">
        <v>0</v>
      </c>
      <c r="I3288" s="6">
        <v>710000000</v>
      </c>
      <c r="J3288" s="4" t="s">
        <v>1931</v>
      </c>
      <c r="K3288" s="4" t="s">
        <v>5297</v>
      </c>
      <c r="L3288" s="4" t="s">
        <v>1889</v>
      </c>
      <c r="M3288" s="8" t="s">
        <v>3195</v>
      </c>
      <c r="N3288" s="3" t="s">
        <v>1890</v>
      </c>
      <c r="O3288" s="8" t="s">
        <v>1935</v>
      </c>
      <c r="P3288" s="60">
        <v>166</v>
      </c>
      <c r="Q3288" s="3" t="s">
        <v>3324</v>
      </c>
      <c r="R3288" s="69">
        <v>10</v>
      </c>
      <c r="S3288" s="69">
        <v>1250</v>
      </c>
      <c r="T3288" s="10">
        <v>0</v>
      </c>
      <c r="U3288" s="10">
        <f t="shared" si="2071"/>
        <v>0</v>
      </c>
      <c r="V3288" s="7"/>
      <c r="W3288" s="1">
        <v>2015</v>
      </c>
      <c r="X3288" s="62">
        <v>7.11</v>
      </c>
    </row>
    <row r="3289" spans="1:24" s="13" customFormat="1" ht="76.5" customHeight="1" outlineLevel="1" x14ac:dyDescent="0.2">
      <c r="A3289" s="1" t="s">
        <v>8072</v>
      </c>
      <c r="B3289" s="2" t="s">
        <v>5277</v>
      </c>
      <c r="C3289" s="2" t="s">
        <v>314</v>
      </c>
      <c r="D3289" s="2" t="s">
        <v>313</v>
      </c>
      <c r="E3289" s="6" t="s">
        <v>312</v>
      </c>
      <c r="F3289" s="2" t="s">
        <v>6799</v>
      </c>
      <c r="G3289" s="3" t="s">
        <v>3190</v>
      </c>
      <c r="H3289" s="5">
        <v>0</v>
      </c>
      <c r="I3289" s="6">
        <v>710000000</v>
      </c>
      <c r="J3289" s="4" t="s">
        <v>1931</v>
      </c>
      <c r="K3289" s="4" t="s">
        <v>756</v>
      </c>
      <c r="L3289" s="4" t="s">
        <v>1889</v>
      </c>
      <c r="M3289" s="8" t="s">
        <v>3195</v>
      </c>
      <c r="N3289" s="3" t="s">
        <v>1890</v>
      </c>
      <c r="O3289" s="8" t="s">
        <v>1935</v>
      </c>
      <c r="P3289" s="60">
        <v>166</v>
      </c>
      <c r="Q3289" s="3" t="s">
        <v>3324</v>
      </c>
      <c r="R3289" s="69">
        <v>10</v>
      </c>
      <c r="S3289" s="69">
        <v>1250</v>
      </c>
      <c r="T3289" s="10">
        <f t="shared" ref="T3289" si="2095">S3289*R3289</f>
        <v>12500</v>
      </c>
      <c r="U3289" s="10">
        <f t="shared" ref="U3289" si="2096">T3289*1.12</f>
        <v>14000.000000000002</v>
      </c>
      <c r="V3289" s="7"/>
      <c r="W3289" s="1">
        <v>2015</v>
      </c>
      <c r="X3289" s="62"/>
    </row>
    <row r="3290" spans="1:24" ht="76.5" customHeight="1" outlineLevel="1" x14ac:dyDescent="0.2">
      <c r="A3290" s="1" t="s">
        <v>6864</v>
      </c>
      <c r="B3290" s="16" t="s">
        <v>5277</v>
      </c>
      <c r="C3290" s="2" t="s">
        <v>6800</v>
      </c>
      <c r="D3290" s="2" t="s">
        <v>5520</v>
      </c>
      <c r="E3290" s="2" t="s">
        <v>6801</v>
      </c>
      <c r="F3290" s="25" t="s">
        <v>6802</v>
      </c>
      <c r="G3290" s="1" t="s">
        <v>1888</v>
      </c>
      <c r="H3290" s="17">
        <v>0.5</v>
      </c>
      <c r="I3290" s="18">
        <v>710000000</v>
      </c>
      <c r="J3290" s="4" t="s">
        <v>1931</v>
      </c>
      <c r="K3290" s="4" t="s">
        <v>5297</v>
      </c>
      <c r="L3290" s="4" t="s">
        <v>1889</v>
      </c>
      <c r="M3290" s="8" t="s">
        <v>3195</v>
      </c>
      <c r="N3290" s="8" t="s">
        <v>1890</v>
      </c>
      <c r="O3290" s="8" t="s">
        <v>1935</v>
      </c>
      <c r="P3290" s="1">
        <v>868</v>
      </c>
      <c r="Q3290" s="3" t="s">
        <v>5521</v>
      </c>
      <c r="R3290" s="10">
        <v>16</v>
      </c>
      <c r="S3290" s="10">
        <v>2286.69</v>
      </c>
      <c r="T3290" s="10">
        <v>0</v>
      </c>
      <c r="U3290" s="10">
        <f t="shared" si="2071"/>
        <v>0</v>
      </c>
      <c r="V3290" s="8"/>
      <c r="W3290" s="1">
        <v>2015</v>
      </c>
      <c r="X3290" s="62">
        <v>7.11</v>
      </c>
    </row>
    <row r="3291" spans="1:24" ht="76.5" customHeight="1" outlineLevel="1" x14ac:dyDescent="0.2">
      <c r="A3291" s="1" t="s">
        <v>8073</v>
      </c>
      <c r="B3291" s="16" t="s">
        <v>5277</v>
      </c>
      <c r="C3291" s="2" t="s">
        <v>6800</v>
      </c>
      <c r="D3291" s="2" t="s">
        <v>5520</v>
      </c>
      <c r="E3291" s="2" t="s">
        <v>6801</v>
      </c>
      <c r="F3291" s="25" t="s">
        <v>6802</v>
      </c>
      <c r="G3291" s="3" t="s">
        <v>3190</v>
      </c>
      <c r="H3291" s="17">
        <v>0.5</v>
      </c>
      <c r="I3291" s="18">
        <v>710000000</v>
      </c>
      <c r="J3291" s="4" t="s">
        <v>1931</v>
      </c>
      <c r="K3291" s="4" t="s">
        <v>756</v>
      </c>
      <c r="L3291" s="4" t="s">
        <v>1889</v>
      </c>
      <c r="M3291" s="8" t="s">
        <v>3195</v>
      </c>
      <c r="N3291" s="8" t="s">
        <v>1890</v>
      </c>
      <c r="O3291" s="8" t="s">
        <v>1935</v>
      </c>
      <c r="P3291" s="1">
        <v>868</v>
      </c>
      <c r="Q3291" s="3" t="s">
        <v>5521</v>
      </c>
      <c r="R3291" s="10">
        <v>16</v>
      </c>
      <c r="S3291" s="10">
        <v>2286.69</v>
      </c>
      <c r="T3291" s="10">
        <f t="shared" ref="T3291" si="2097">S3291*R3291</f>
        <v>36587.040000000001</v>
      </c>
      <c r="U3291" s="10">
        <f t="shared" ref="U3291" si="2098">T3291*1.12</f>
        <v>40977.484800000006</v>
      </c>
      <c r="V3291" s="8"/>
      <c r="W3291" s="1">
        <v>2015</v>
      </c>
      <c r="X3291" s="1"/>
    </row>
    <row r="3292" spans="1:24" s="13" customFormat="1" ht="76.5" customHeight="1" outlineLevel="1" x14ac:dyDescent="0.2">
      <c r="A3292" s="1" t="s">
        <v>6865</v>
      </c>
      <c r="B3292" s="2" t="s">
        <v>5277</v>
      </c>
      <c r="C3292" s="2" t="s">
        <v>6803</v>
      </c>
      <c r="D3292" s="2" t="s">
        <v>5143</v>
      </c>
      <c r="E3292" s="2" t="s">
        <v>6804</v>
      </c>
      <c r="F3292" s="6" t="s">
        <v>6805</v>
      </c>
      <c r="G3292" s="4" t="s">
        <v>1888</v>
      </c>
      <c r="H3292" s="5">
        <v>0</v>
      </c>
      <c r="I3292" s="6">
        <v>710000000</v>
      </c>
      <c r="J3292" s="4" t="s">
        <v>1931</v>
      </c>
      <c r="K3292" s="4" t="s">
        <v>5297</v>
      </c>
      <c r="L3292" s="4" t="s">
        <v>1889</v>
      </c>
      <c r="M3292" s="8" t="s">
        <v>3195</v>
      </c>
      <c r="N3292" s="3" t="s">
        <v>1890</v>
      </c>
      <c r="O3292" s="8" t="s">
        <v>1935</v>
      </c>
      <c r="P3292" s="60">
        <v>881</v>
      </c>
      <c r="Q3292" s="3" t="s">
        <v>2746</v>
      </c>
      <c r="R3292" s="69">
        <v>25</v>
      </c>
      <c r="S3292" s="69">
        <v>1429.61</v>
      </c>
      <c r="T3292" s="10">
        <v>0</v>
      </c>
      <c r="U3292" s="10">
        <f t="shared" si="2071"/>
        <v>0</v>
      </c>
      <c r="V3292" s="7"/>
      <c r="W3292" s="1">
        <v>2015</v>
      </c>
      <c r="X3292" s="62">
        <v>7.11</v>
      </c>
    </row>
    <row r="3293" spans="1:24" s="13" customFormat="1" ht="76.5" customHeight="1" outlineLevel="1" x14ac:dyDescent="0.2">
      <c r="A3293" s="1" t="s">
        <v>8074</v>
      </c>
      <c r="B3293" s="2" t="s">
        <v>5277</v>
      </c>
      <c r="C3293" s="2" t="s">
        <v>6803</v>
      </c>
      <c r="D3293" s="2" t="s">
        <v>5143</v>
      </c>
      <c r="E3293" s="2" t="s">
        <v>6804</v>
      </c>
      <c r="F3293" s="6" t="s">
        <v>6805</v>
      </c>
      <c r="G3293" s="3" t="s">
        <v>3190</v>
      </c>
      <c r="H3293" s="5">
        <v>0</v>
      </c>
      <c r="I3293" s="6">
        <v>710000000</v>
      </c>
      <c r="J3293" s="4" t="s">
        <v>1931</v>
      </c>
      <c r="K3293" s="4" t="s">
        <v>756</v>
      </c>
      <c r="L3293" s="4" t="s">
        <v>1889</v>
      </c>
      <c r="M3293" s="8" t="s">
        <v>3195</v>
      </c>
      <c r="N3293" s="3" t="s">
        <v>1890</v>
      </c>
      <c r="O3293" s="8" t="s">
        <v>1935</v>
      </c>
      <c r="P3293" s="60">
        <v>881</v>
      </c>
      <c r="Q3293" s="3" t="s">
        <v>2746</v>
      </c>
      <c r="R3293" s="69">
        <v>25</v>
      </c>
      <c r="S3293" s="69">
        <v>1429.61</v>
      </c>
      <c r="T3293" s="10">
        <v>0</v>
      </c>
      <c r="U3293" s="10">
        <f t="shared" ref="U3293" si="2099">T3293*1.12</f>
        <v>0</v>
      </c>
      <c r="V3293" s="7"/>
      <c r="W3293" s="1">
        <v>2015</v>
      </c>
      <c r="X3293" s="62" t="s">
        <v>7518</v>
      </c>
    </row>
    <row r="3294" spans="1:24" s="13" customFormat="1" ht="76.5" customHeight="1" outlineLevel="1" x14ac:dyDescent="0.2">
      <c r="A3294" s="1" t="s">
        <v>9215</v>
      </c>
      <c r="B3294" s="2" t="s">
        <v>5277</v>
      </c>
      <c r="C3294" s="2" t="s">
        <v>6803</v>
      </c>
      <c r="D3294" s="2" t="s">
        <v>5143</v>
      </c>
      <c r="E3294" s="2" t="s">
        <v>6804</v>
      </c>
      <c r="F3294" s="6" t="s">
        <v>6805</v>
      </c>
      <c r="G3294" s="3" t="s">
        <v>3190</v>
      </c>
      <c r="H3294" s="5">
        <v>0</v>
      </c>
      <c r="I3294" s="6">
        <v>710000000</v>
      </c>
      <c r="J3294" s="4" t="s">
        <v>1931</v>
      </c>
      <c r="K3294" s="4" t="s">
        <v>9142</v>
      </c>
      <c r="L3294" s="4" t="s">
        <v>1889</v>
      </c>
      <c r="M3294" s="8" t="s">
        <v>3195</v>
      </c>
      <c r="N3294" s="3" t="s">
        <v>1890</v>
      </c>
      <c r="O3294" s="8" t="s">
        <v>1935</v>
      </c>
      <c r="P3294" s="60">
        <v>881</v>
      </c>
      <c r="Q3294" s="3" t="s">
        <v>2746</v>
      </c>
      <c r="R3294" s="69">
        <f>25+25</f>
        <v>50</v>
      </c>
      <c r="S3294" s="69">
        <v>1429.61</v>
      </c>
      <c r="T3294" s="10">
        <f t="shared" ref="T3294" si="2100">S3294*R3294</f>
        <v>71480.5</v>
      </c>
      <c r="U3294" s="10">
        <f t="shared" ref="U3294" si="2101">T3294*1.12</f>
        <v>80058.16</v>
      </c>
      <c r="V3294" s="7"/>
      <c r="W3294" s="1">
        <v>2015</v>
      </c>
      <c r="X3294" s="62"/>
    </row>
    <row r="3295" spans="1:24" s="13" customFormat="1" ht="76.5" customHeight="1" outlineLevel="1" x14ac:dyDescent="0.2">
      <c r="A3295" s="1" t="s">
        <v>6866</v>
      </c>
      <c r="B3295" s="2" t="s">
        <v>5277</v>
      </c>
      <c r="C3295" s="2" t="s">
        <v>6806</v>
      </c>
      <c r="D3295" s="2" t="s">
        <v>5143</v>
      </c>
      <c r="E3295" s="2" t="s">
        <v>6807</v>
      </c>
      <c r="F3295" s="6" t="s">
        <v>6805</v>
      </c>
      <c r="G3295" s="4" t="s">
        <v>1888</v>
      </c>
      <c r="H3295" s="5">
        <v>0</v>
      </c>
      <c r="I3295" s="6">
        <v>710000000</v>
      </c>
      <c r="J3295" s="4" t="s">
        <v>1931</v>
      </c>
      <c r="K3295" s="4" t="s">
        <v>5297</v>
      </c>
      <c r="L3295" s="4" t="s">
        <v>1889</v>
      </c>
      <c r="M3295" s="8" t="s">
        <v>3195</v>
      </c>
      <c r="N3295" s="3" t="s">
        <v>1890</v>
      </c>
      <c r="O3295" s="8" t="s">
        <v>1935</v>
      </c>
      <c r="P3295" s="60">
        <v>881</v>
      </c>
      <c r="Q3295" s="3" t="s">
        <v>2746</v>
      </c>
      <c r="R3295" s="69">
        <v>20</v>
      </c>
      <c r="S3295" s="69">
        <v>1429.61</v>
      </c>
      <c r="T3295" s="10">
        <v>0</v>
      </c>
      <c r="U3295" s="10">
        <f t="shared" si="2071"/>
        <v>0</v>
      </c>
      <c r="V3295" s="7"/>
      <c r="W3295" s="1">
        <v>2015</v>
      </c>
      <c r="X3295" s="62">
        <v>7.11</v>
      </c>
    </row>
    <row r="3296" spans="1:24" s="13" customFormat="1" ht="76.5" customHeight="1" outlineLevel="1" x14ac:dyDescent="0.2">
      <c r="A3296" s="1" t="s">
        <v>8075</v>
      </c>
      <c r="B3296" s="2" t="s">
        <v>5277</v>
      </c>
      <c r="C3296" s="2" t="s">
        <v>6806</v>
      </c>
      <c r="D3296" s="2" t="s">
        <v>5143</v>
      </c>
      <c r="E3296" s="2" t="s">
        <v>6807</v>
      </c>
      <c r="F3296" s="6" t="s">
        <v>6805</v>
      </c>
      <c r="G3296" s="3" t="s">
        <v>3190</v>
      </c>
      <c r="H3296" s="5">
        <v>0</v>
      </c>
      <c r="I3296" s="6">
        <v>710000000</v>
      </c>
      <c r="J3296" s="4" t="s">
        <v>1931</v>
      </c>
      <c r="K3296" s="4" t="s">
        <v>756</v>
      </c>
      <c r="L3296" s="4" t="s">
        <v>1889</v>
      </c>
      <c r="M3296" s="8" t="s">
        <v>3195</v>
      </c>
      <c r="N3296" s="3" t="s">
        <v>1890</v>
      </c>
      <c r="O3296" s="8" t="s">
        <v>1935</v>
      </c>
      <c r="P3296" s="60">
        <v>881</v>
      </c>
      <c r="Q3296" s="3" t="s">
        <v>2746</v>
      </c>
      <c r="R3296" s="69">
        <v>20</v>
      </c>
      <c r="S3296" s="69">
        <v>1429.61</v>
      </c>
      <c r="T3296" s="10">
        <v>0</v>
      </c>
      <c r="U3296" s="10">
        <f t="shared" ref="U3296" si="2102">T3296*1.12</f>
        <v>0</v>
      </c>
      <c r="V3296" s="7"/>
      <c r="W3296" s="1">
        <v>2015</v>
      </c>
      <c r="X3296" s="62" t="s">
        <v>7518</v>
      </c>
    </row>
    <row r="3297" spans="1:24" s="13" customFormat="1" ht="76.5" customHeight="1" outlineLevel="1" x14ac:dyDescent="0.2">
      <c r="A3297" s="1" t="s">
        <v>9216</v>
      </c>
      <c r="B3297" s="2" t="s">
        <v>5277</v>
      </c>
      <c r="C3297" s="2" t="s">
        <v>6806</v>
      </c>
      <c r="D3297" s="2" t="s">
        <v>5143</v>
      </c>
      <c r="E3297" s="2" t="s">
        <v>6807</v>
      </c>
      <c r="F3297" s="6" t="s">
        <v>6805</v>
      </c>
      <c r="G3297" s="3" t="s">
        <v>3190</v>
      </c>
      <c r="H3297" s="5">
        <v>0</v>
      </c>
      <c r="I3297" s="6">
        <v>710000000</v>
      </c>
      <c r="J3297" s="4" t="s">
        <v>1931</v>
      </c>
      <c r="K3297" s="4" t="s">
        <v>9142</v>
      </c>
      <c r="L3297" s="4" t="s">
        <v>1889</v>
      </c>
      <c r="M3297" s="8" t="s">
        <v>3195</v>
      </c>
      <c r="N3297" s="3" t="s">
        <v>1890</v>
      </c>
      <c r="O3297" s="8" t="s">
        <v>1935</v>
      </c>
      <c r="P3297" s="60">
        <v>881</v>
      </c>
      <c r="Q3297" s="3" t="s">
        <v>2746</v>
      </c>
      <c r="R3297" s="69">
        <f>20+20</f>
        <v>40</v>
      </c>
      <c r="S3297" s="69">
        <v>1429.61</v>
      </c>
      <c r="T3297" s="10">
        <f t="shared" ref="T3297" si="2103">S3297*R3297</f>
        <v>57184.399999999994</v>
      </c>
      <c r="U3297" s="10">
        <f t="shared" ref="U3297" si="2104">T3297*1.12</f>
        <v>64046.527999999998</v>
      </c>
      <c r="V3297" s="7"/>
      <c r="W3297" s="1">
        <v>2015</v>
      </c>
      <c r="X3297" s="62"/>
    </row>
    <row r="3298" spans="1:24" s="13" customFormat="1" ht="76.5" customHeight="1" outlineLevel="1" x14ac:dyDescent="0.2">
      <c r="A3298" s="1" t="s">
        <v>6867</v>
      </c>
      <c r="B3298" s="2" t="s">
        <v>5277</v>
      </c>
      <c r="C3298" s="2" t="s">
        <v>6808</v>
      </c>
      <c r="D3298" s="2" t="s">
        <v>5143</v>
      </c>
      <c r="E3298" s="2" t="s">
        <v>294</v>
      </c>
      <c r="F3298" s="6" t="s">
        <v>6805</v>
      </c>
      <c r="G3298" s="4" t="s">
        <v>1888</v>
      </c>
      <c r="H3298" s="5">
        <v>0</v>
      </c>
      <c r="I3298" s="6">
        <v>710000000</v>
      </c>
      <c r="J3298" s="4" t="s">
        <v>1931</v>
      </c>
      <c r="K3298" s="4" t="s">
        <v>5297</v>
      </c>
      <c r="L3298" s="4" t="s">
        <v>1889</v>
      </c>
      <c r="M3298" s="8" t="s">
        <v>3195</v>
      </c>
      <c r="N3298" s="3" t="s">
        <v>1890</v>
      </c>
      <c r="O3298" s="8" t="s">
        <v>1935</v>
      </c>
      <c r="P3298" s="60">
        <v>881</v>
      </c>
      <c r="Q3298" s="3" t="s">
        <v>2746</v>
      </c>
      <c r="R3298" s="69">
        <v>20</v>
      </c>
      <c r="S3298" s="69">
        <v>1429.61</v>
      </c>
      <c r="T3298" s="10">
        <v>0</v>
      </c>
      <c r="U3298" s="10">
        <f t="shared" si="2071"/>
        <v>0</v>
      </c>
      <c r="V3298" s="7"/>
      <c r="W3298" s="1">
        <v>2015</v>
      </c>
      <c r="X3298" s="62">
        <v>7.11</v>
      </c>
    </row>
    <row r="3299" spans="1:24" s="13" customFormat="1" ht="76.5" customHeight="1" outlineLevel="1" x14ac:dyDescent="0.2">
      <c r="A3299" s="1" t="s">
        <v>8076</v>
      </c>
      <c r="B3299" s="2" t="s">
        <v>5277</v>
      </c>
      <c r="C3299" s="2" t="s">
        <v>6808</v>
      </c>
      <c r="D3299" s="2" t="s">
        <v>5143</v>
      </c>
      <c r="E3299" s="2" t="s">
        <v>294</v>
      </c>
      <c r="F3299" s="6" t="s">
        <v>6805</v>
      </c>
      <c r="G3299" s="3" t="s">
        <v>3190</v>
      </c>
      <c r="H3299" s="5">
        <v>0</v>
      </c>
      <c r="I3299" s="6">
        <v>710000000</v>
      </c>
      <c r="J3299" s="4" t="s">
        <v>1931</v>
      </c>
      <c r="K3299" s="4" t="s">
        <v>756</v>
      </c>
      <c r="L3299" s="4" t="s">
        <v>1889</v>
      </c>
      <c r="M3299" s="8" t="s">
        <v>3195</v>
      </c>
      <c r="N3299" s="3" t="s">
        <v>1890</v>
      </c>
      <c r="O3299" s="8" t="s">
        <v>1935</v>
      </c>
      <c r="P3299" s="60">
        <v>881</v>
      </c>
      <c r="Q3299" s="3" t="s">
        <v>2746</v>
      </c>
      <c r="R3299" s="69">
        <v>20</v>
      </c>
      <c r="S3299" s="69">
        <v>1429.61</v>
      </c>
      <c r="T3299" s="10">
        <v>0</v>
      </c>
      <c r="U3299" s="10">
        <f t="shared" ref="U3299" si="2105">T3299*1.12</f>
        <v>0</v>
      </c>
      <c r="V3299" s="7"/>
      <c r="W3299" s="1">
        <v>2015</v>
      </c>
      <c r="X3299" s="62" t="s">
        <v>7518</v>
      </c>
    </row>
    <row r="3300" spans="1:24" s="13" customFormat="1" ht="76.5" customHeight="1" outlineLevel="1" x14ac:dyDescent="0.2">
      <c r="A3300" s="1" t="s">
        <v>9217</v>
      </c>
      <c r="B3300" s="2" t="s">
        <v>5277</v>
      </c>
      <c r="C3300" s="2" t="s">
        <v>6808</v>
      </c>
      <c r="D3300" s="2" t="s">
        <v>5143</v>
      </c>
      <c r="E3300" s="2" t="s">
        <v>294</v>
      </c>
      <c r="F3300" s="6" t="s">
        <v>6805</v>
      </c>
      <c r="G3300" s="3" t="s">
        <v>3190</v>
      </c>
      <c r="H3300" s="5">
        <v>0</v>
      </c>
      <c r="I3300" s="6">
        <v>710000000</v>
      </c>
      <c r="J3300" s="4" t="s">
        <v>1931</v>
      </c>
      <c r="K3300" s="4" t="s">
        <v>9142</v>
      </c>
      <c r="L3300" s="4" t="s">
        <v>1889</v>
      </c>
      <c r="M3300" s="8" t="s">
        <v>3195</v>
      </c>
      <c r="N3300" s="3" t="s">
        <v>1890</v>
      </c>
      <c r="O3300" s="8" t="s">
        <v>1935</v>
      </c>
      <c r="P3300" s="60">
        <v>881</v>
      </c>
      <c r="Q3300" s="3" t="s">
        <v>2746</v>
      </c>
      <c r="R3300" s="69">
        <f>20+20</f>
        <v>40</v>
      </c>
      <c r="S3300" s="69">
        <v>1429.61</v>
      </c>
      <c r="T3300" s="10">
        <f t="shared" ref="T3300" si="2106">S3300*R3300</f>
        <v>57184.399999999994</v>
      </c>
      <c r="U3300" s="10">
        <f t="shared" ref="U3300" si="2107">T3300*1.12</f>
        <v>64046.527999999998</v>
      </c>
      <c r="V3300" s="7"/>
      <c r="W3300" s="1">
        <v>2015</v>
      </c>
      <c r="X3300" s="62"/>
    </row>
    <row r="3301" spans="1:24" s="13" customFormat="1" ht="76.5" customHeight="1" outlineLevel="1" x14ac:dyDescent="0.2">
      <c r="A3301" s="1" t="s">
        <v>6868</v>
      </c>
      <c r="B3301" s="2" t="s">
        <v>5277</v>
      </c>
      <c r="C3301" s="2" t="s">
        <v>6809</v>
      </c>
      <c r="D3301" s="2" t="s">
        <v>5143</v>
      </c>
      <c r="E3301" s="2" t="s">
        <v>6810</v>
      </c>
      <c r="F3301" s="80"/>
      <c r="G3301" s="4" t="s">
        <v>1888</v>
      </c>
      <c r="H3301" s="5">
        <v>0</v>
      </c>
      <c r="I3301" s="6">
        <v>710000000</v>
      </c>
      <c r="J3301" s="4" t="s">
        <v>1931</v>
      </c>
      <c r="K3301" s="4" t="s">
        <v>5297</v>
      </c>
      <c r="L3301" s="4" t="s">
        <v>1889</v>
      </c>
      <c r="M3301" s="8" t="s">
        <v>3195</v>
      </c>
      <c r="N3301" s="3" t="s">
        <v>1890</v>
      </c>
      <c r="O3301" s="8" t="s">
        <v>1935</v>
      </c>
      <c r="P3301" s="60">
        <v>881</v>
      </c>
      <c r="Q3301" s="3" t="s">
        <v>2746</v>
      </c>
      <c r="R3301" s="69">
        <v>20</v>
      </c>
      <c r="S3301" s="69">
        <v>1429.61</v>
      </c>
      <c r="T3301" s="10">
        <v>0</v>
      </c>
      <c r="U3301" s="10">
        <f t="shared" si="2071"/>
        <v>0</v>
      </c>
      <c r="V3301" s="7"/>
      <c r="W3301" s="1">
        <v>2015</v>
      </c>
      <c r="X3301" s="62">
        <v>7.11</v>
      </c>
    </row>
    <row r="3302" spans="1:24" s="13" customFormat="1" ht="76.5" customHeight="1" outlineLevel="1" x14ac:dyDescent="0.2">
      <c r="A3302" s="1" t="s">
        <v>8077</v>
      </c>
      <c r="B3302" s="2" t="s">
        <v>5277</v>
      </c>
      <c r="C3302" s="2" t="s">
        <v>6809</v>
      </c>
      <c r="D3302" s="2" t="s">
        <v>5143</v>
      </c>
      <c r="E3302" s="2" t="s">
        <v>6810</v>
      </c>
      <c r="F3302" s="80"/>
      <c r="G3302" s="3" t="s">
        <v>3190</v>
      </c>
      <c r="H3302" s="5">
        <v>0</v>
      </c>
      <c r="I3302" s="6">
        <v>710000000</v>
      </c>
      <c r="J3302" s="4" t="s">
        <v>1931</v>
      </c>
      <c r="K3302" s="4" t="s">
        <v>756</v>
      </c>
      <c r="L3302" s="4" t="s">
        <v>1889</v>
      </c>
      <c r="M3302" s="8" t="s">
        <v>3195</v>
      </c>
      <c r="N3302" s="3" t="s">
        <v>1890</v>
      </c>
      <c r="O3302" s="8" t="s">
        <v>1935</v>
      </c>
      <c r="P3302" s="60">
        <v>881</v>
      </c>
      <c r="Q3302" s="3" t="s">
        <v>2746</v>
      </c>
      <c r="R3302" s="69">
        <v>20</v>
      </c>
      <c r="S3302" s="69">
        <v>1429.61</v>
      </c>
      <c r="T3302" s="10">
        <v>0</v>
      </c>
      <c r="U3302" s="10">
        <f t="shared" ref="U3302" si="2108">T3302*1.12</f>
        <v>0</v>
      </c>
      <c r="V3302" s="7"/>
      <c r="W3302" s="1">
        <v>2015</v>
      </c>
      <c r="X3302" s="62" t="s">
        <v>7518</v>
      </c>
    </row>
    <row r="3303" spans="1:24" s="13" customFormat="1" ht="76.5" customHeight="1" outlineLevel="1" x14ac:dyDescent="0.2">
      <c r="A3303" s="1" t="s">
        <v>9495</v>
      </c>
      <c r="B3303" s="2" t="s">
        <v>5277</v>
      </c>
      <c r="C3303" s="2" t="s">
        <v>6809</v>
      </c>
      <c r="D3303" s="2" t="s">
        <v>5143</v>
      </c>
      <c r="E3303" s="2" t="s">
        <v>6810</v>
      </c>
      <c r="F3303" s="80"/>
      <c r="G3303" s="3" t="s">
        <v>3190</v>
      </c>
      <c r="H3303" s="5">
        <v>0</v>
      </c>
      <c r="I3303" s="6">
        <v>710000000</v>
      </c>
      <c r="J3303" s="4" t="s">
        <v>1931</v>
      </c>
      <c r="K3303" s="4" t="s">
        <v>9142</v>
      </c>
      <c r="L3303" s="4" t="s">
        <v>1889</v>
      </c>
      <c r="M3303" s="8" t="s">
        <v>3195</v>
      </c>
      <c r="N3303" s="3" t="s">
        <v>1890</v>
      </c>
      <c r="O3303" s="8" t="s">
        <v>1935</v>
      </c>
      <c r="P3303" s="60">
        <v>881</v>
      </c>
      <c r="Q3303" s="3" t="s">
        <v>2746</v>
      </c>
      <c r="R3303" s="69">
        <f>20+20</f>
        <v>40</v>
      </c>
      <c r="S3303" s="69">
        <v>1429.61</v>
      </c>
      <c r="T3303" s="10">
        <v>0</v>
      </c>
      <c r="U3303" s="10">
        <f t="shared" ref="U3303" si="2109">T3303*1.12</f>
        <v>0</v>
      </c>
      <c r="V3303" s="7"/>
      <c r="W3303" s="1">
        <v>2015</v>
      </c>
      <c r="X3303" s="62" t="s">
        <v>7518</v>
      </c>
    </row>
    <row r="3304" spans="1:24" s="13" customFormat="1" ht="76.5" customHeight="1" outlineLevel="1" x14ac:dyDescent="0.2">
      <c r="A3304" s="1" t="s">
        <v>9637</v>
      </c>
      <c r="B3304" s="2" t="s">
        <v>5277</v>
      </c>
      <c r="C3304" s="2" t="s">
        <v>6809</v>
      </c>
      <c r="D3304" s="2" t="s">
        <v>5143</v>
      </c>
      <c r="E3304" s="2" t="s">
        <v>6810</v>
      </c>
      <c r="F3304" s="80"/>
      <c r="G3304" s="3" t="s">
        <v>3190</v>
      </c>
      <c r="H3304" s="5">
        <v>0</v>
      </c>
      <c r="I3304" s="6">
        <v>710000000</v>
      </c>
      <c r="J3304" s="4" t="s">
        <v>1931</v>
      </c>
      <c r="K3304" s="4" t="s">
        <v>9636</v>
      </c>
      <c r="L3304" s="4" t="s">
        <v>1889</v>
      </c>
      <c r="M3304" s="8" t="s">
        <v>3195</v>
      </c>
      <c r="N3304" s="3" t="s">
        <v>1890</v>
      </c>
      <c r="O3304" s="8" t="s">
        <v>1935</v>
      </c>
      <c r="P3304" s="60">
        <v>881</v>
      </c>
      <c r="Q3304" s="3" t="s">
        <v>2746</v>
      </c>
      <c r="R3304" s="69">
        <f>20+20+6</f>
        <v>46</v>
      </c>
      <c r="S3304" s="69">
        <v>1429.61</v>
      </c>
      <c r="T3304" s="10">
        <f t="shared" ref="T3304" si="2110">S3304*R3304</f>
        <v>65762.06</v>
      </c>
      <c r="U3304" s="10">
        <f t="shared" ref="U3304" si="2111">T3304*1.12</f>
        <v>73653.507200000007</v>
      </c>
      <c r="V3304" s="7"/>
      <c r="W3304" s="1">
        <v>2015</v>
      </c>
      <c r="X3304" s="62"/>
    </row>
    <row r="3305" spans="1:24" s="13" customFormat="1" ht="76.5" customHeight="1" outlineLevel="1" x14ac:dyDescent="0.2">
      <c r="A3305" s="1" t="s">
        <v>6869</v>
      </c>
      <c r="B3305" s="2" t="s">
        <v>5277</v>
      </c>
      <c r="C3305" s="2" t="s">
        <v>3096</v>
      </c>
      <c r="D3305" s="2" t="s">
        <v>5241</v>
      </c>
      <c r="E3305" s="6" t="s">
        <v>5227</v>
      </c>
      <c r="F3305" s="52" t="s">
        <v>5242</v>
      </c>
      <c r="G3305" s="4" t="s">
        <v>1888</v>
      </c>
      <c r="H3305" s="5">
        <v>0</v>
      </c>
      <c r="I3305" s="6">
        <v>710000000</v>
      </c>
      <c r="J3305" s="4" t="s">
        <v>1931</v>
      </c>
      <c r="K3305" s="4" t="s">
        <v>5297</v>
      </c>
      <c r="L3305" s="4" t="s">
        <v>1889</v>
      </c>
      <c r="M3305" s="8" t="s">
        <v>3195</v>
      </c>
      <c r="N3305" s="3" t="s">
        <v>1890</v>
      </c>
      <c r="O3305" s="8" t="s">
        <v>1935</v>
      </c>
      <c r="P3305" s="60" t="s">
        <v>3332</v>
      </c>
      <c r="Q3305" s="3" t="s">
        <v>5475</v>
      </c>
      <c r="R3305" s="69">
        <v>10</v>
      </c>
      <c r="S3305" s="69">
        <v>7142.9</v>
      </c>
      <c r="T3305" s="10">
        <v>0</v>
      </c>
      <c r="U3305" s="10">
        <f t="shared" si="2071"/>
        <v>0</v>
      </c>
      <c r="V3305" s="7"/>
      <c r="W3305" s="1">
        <v>2015</v>
      </c>
      <c r="X3305" s="62">
        <v>7.11</v>
      </c>
    </row>
    <row r="3306" spans="1:24" s="13" customFormat="1" ht="76.5" customHeight="1" outlineLevel="1" x14ac:dyDescent="0.2">
      <c r="A3306" s="1" t="s">
        <v>8078</v>
      </c>
      <c r="B3306" s="2" t="s">
        <v>5277</v>
      </c>
      <c r="C3306" s="2" t="s">
        <v>3096</v>
      </c>
      <c r="D3306" s="2" t="s">
        <v>5241</v>
      </c>
      <c r="E3306" s="6" t="s">
        <v>5227</v>
      </c>
      <c r="F3306" s="52" t="s">
        <v>5242</v>
      </c>
      <c r="G3306" s="3" t="s">
        <v>3190</v>
      </c>
      <c r="H3306" s="5">
        <v>0</v>
      </c>
      <c r="I3306" s="6">
        <v>710000000</v>
      </c>
      <c r="J3306" s="4" t="s">
        <v>1931</v>
      </c>
      <c r="K3306" s="4" t="s">
        <v>756</v>
      </c>
      <c r="L3306" s="4" t="s">
        <v>1889</v>
      </c>
      <c r="M3306" s="8" t="s">
        <v>3195</v>
      </c>
      <c r="N3306" s="3" t="s">
        <v>1890</v>
      </c>
      <c r="O3306" s="8" t="s">
        <v>1935</v>
      </c>
      <c r="P3306" s="60" t="s">
        <v>3332</v>
      </c>
      <c r="Q3306" s="3" t="s">
        <v>5475</v>
      </c>
      <c r="R3306" s="69">
        <v>10</v>
      </c>
      <c r="S3306" s="69">
        <v>7142.9</v>
      </c>
      <c r="T3306" s="10">
        <v>0</v>
      </c>
      <c r="U3306" s="10">
        <f t="shared" ref="U3306" si="2112">T3306*1.12</f>
        <v>0</v>
      </c>
      <c r="V3306" s="7"/>
      <c r="W3306" s="1">
        <v>2015</v>
      </c>
      <c r="X3306" s="62" t="s">
        <v>7518</v>
      </c>
    </row>
    <row r="3307" spans="1:24" s="13" customFormat="1" ht="76.5" customHeight="1" outlineLevel="1" x14ac:dyDescent="0.2">
      <c r="A3307" s="1" t="s">
        <v>9418</v>
      </c>
      <c r="B3307" s="2" t="s">
        <v>5277</v>
      </c>
      <c r="C3307" s="2" t="s">
        <v>3096</v>
      </c>
      <c r="D3307" s="2" t="s">
        <v>5241</v>
      </c>
      <c r="E3307" s="6" t="s">
        <v>5227</v>
      </c>
      <c r="F3307" s="52" t="s">
        <v>5242</v>
      </c>
      <c r="G3307" s="3" t="s">
        <v>3190</v>
      </c>
      <c r="H3307" s="5">
        <v>0</v>
      </c>
      <c r="I3307" s="6">
        <v>710000000</v>
      </c>
      <c r="J3307" s="4" t="s">
        <v>1931</v>
      </c>
      <c r="K3307" s="4" t="s">
        <v>9276</v>
      </c>
      <c r="L3307" s="4" t="s">
        <v>1889</v>
      </c>
      <c r="M3307" s="8" t="s">
        <v>3195</v>
      </c>
      <c r="N3307" s="3" t="s">
        <v>1890</v>
      </c>
      <c r="O3307" s="8" t="s">
        <v>1935</v>
      </c>
      <c r="P3307" s="60" t="s">
        <v>3332</v>
      </c>
      <c r="Q3307" s="3" t="s">
        <v>5475</v>
      </c>
      <c r="R3307" s="69">
        <f>10+4</f>
        <v>14</v>
      </c>
      <c r="S3307" s="69">
        <v>7142.9</v>
      </c>
      <c r="T3307" s="10">
        <v>0</v>
      </c>
      <c r="U3307" s="10">
        <f t="shared" ref="U3307" si="2113">T3307*1.12</f>
        <v>0</v>
      </c>
      <c r="V3307" s="7"/>
      <c r="W3307" s="1">
        <v>2015</v>
      </c>
      <c r="X3307" s="62" t="s">
        <v>6562</v>
      </c>
    </row>
    <row r="3308" spans="1:24" s="13" customFormat="1" ht="76.5" customHeight="1" outlineLevel="1" x14ac:dyDescent="0.2">
      <c r="A3308" s="1" t="s">
        <v>9639</v>
      </c>
      <c r="B3308" s="2" t="s">
        <v>5277</v>
      </c>
      <c r="C3308" s="2" t="s">
        <v>3096</v>
      </c>
      <c r="D3308" s="2" t="s">
        <v>5241</v>
      </c>
      <c r="E3308" s="6" t="s">
        <v>5227</v>
      </c>
      <c r="F3308" s="52" t="s">
        <v>5242</v>
      </c>
      <c r="G3308" s="3" t="s">
        <v>3190</v>
      </c>
      <c r="H3308" s="5">
        <v>0</v>
      </c>
      <c r="I3308" s="6">
        <v>710000000</v>
      </c>
      <c r="J3308" s="4" t="s">
        <v>1931</v>
      </c>
      <c r="K3308" s="4" t="s">
        <v>9276</v>
      </c>
      <c r="L3308" s="4" t="s">
        <v>1889</v>
      </c>
      <c r="M3308" s="8" t="s">
        <v>3195</v>
      </c>
      <c r="N3308" s="3" t="s">
        <v>1890</v>
      </c>
      <c r="O3308" s="8" t="s">
        <v>1935</v>
      </c>
      <c r="P3308" s="60" t="s">
        <v>3332</v>
      </c>
      <c r="Q3308" s="3" t="s">
        <v>5475</v>
      </c>
      <c r="R3308" s="69">
        <f>10+4+2</f>
        <v>16</v>
      </c>
      <c r="S3308" s="69">
        <v>7142.9</v>
      </c>
      <c r="T3308" s="10">
        <f t="shared" ref="T3308" si="2114">S3308*R3308</f>
        <v>114286.39999999999</v>
      </c>
      <c r="U3308" s="10">
        <f t="shared" ref="U3308" si="2115">T3308*1.12</f>
        <v>128000.76800000001</v>
      </c>
      <c r="V3308" s="7"/>
      <c r="W3308" s="1">
        <v>2015</v>
      </c>
      <c r="X3308" s="62"/>
    </row>
    <row r="3309" spans="1:24" s="13" customFormat="1" ht="76.5" customHeight="1" outlineLevel="1" x14ac:dyDescent="0.2">
      <c r="A3309" s="1" t="s">
        <v>6870</v>
      </c>
      <c r="B3309" s="2" t="s">
        <v>5277</v>
      </c>
      <c r="C3309" s="2" t="s">
        <v>3329</v>
      </c>
      <c r="D3309" s="2" t="s">
        <v>3330</v>
      </c>
      <c r="E3309" s="6" t="s">
        <v>305</v>
      </c>
      <c r="F3309" s="52" t="s">
        <v>304</v>
      </c>
      <c r="G3309" s="4" t="s">
        <v>1888</v>
      </c>
      <c r="H3309" s="5">
        <v>0</v>
      </c>
      <c r="I3309" s="6">
        <v>710000000</v>
      </c>
      <c r="J3309" s="4" t="s">
        <v>1931</v>
      </c>
      <c r="K3309" s="4" t="s">
        <v>5297</v>
      </c>
      <c r="L3309" s="4" t="s">
        <v>1889</v>
      </c>
      <c r="M3309" s="8" t="s">
        <v>3195</v>
      </c>
      <c r="N3309" s="3" t="s">
        <v>1890</v>
      </c>
      <c r="O3309" s="8" t="s">
        <v>1935</v>
      </c>
      <c r="P3309" s="60">
        <v>778</v>
      </c>
      <c r="Q3309" s="3" t="s">
        <v>3327</v>
      </c>
      <c r="R3309" s="69">
        <v>50</v>
      </c>
      <c r="S3309" s="69">
        <v>392.86</v>
      </c>
      <c r="T3309" s="10">
        <v>0</v>
      </c>
      <c r="U3309" s="10">
        <f t="shared" si="2071"/>
        <v>0</v>
      </c>
      <c r="V3309" s="7"/>
      <c r="W3309" s="1">
        <v>2015</v>
      </c>
      <c r="X3309" s="62">
        <v>7.11</v>
      </c>
    </row>
    <row r="3310" spans="1:24" s="13" customFormat="1" ht="76.5" customHeight="1" outlineLevel="1" x14ac:dyDescent="0.2">
      <c r="A3310" s="1" t="s">
        <v>8079</v>
      </c>
      <c r="B3310" s="2" t="s">
        <v>5277</v>
      </c>
      <c r="C3310" s="2" t="s">
        <v>3329</v>
      </c>
      <c r="D3310" s="2" t="s">
        <v>3330</v>
      </c>
      <c r="E3310" s="6" t="s">
        <v>305</v>
      </c>
      <c r="F3310" s="52" t="s">
        <v>304</v>
      </c>
      <c r="G3310" s="3" t="s">
        <v>3190</v>
      </c>
      <c r="H3310" s="5">
        <v>0</v>
      </c>
      <c r="I3310" s="6">
        <v>710000000</v>
      </c>
      <c r="J3310" s="4" t="s">
        <v>1931</v>
      </c>
      <c r="K3310" s="4" t="s">
        <v>756</v>
      </c>
      <c r="L3310" s="4" t="s">
        <v>1889</v>
      </c>
      <c r="M3310" s="8" t="s">
        <v>3195</v>
      </c>
      <c r="N3310" s="3" t="s">
        <v>1890</v>
      </c>
      <c r="O3310" s="8" t="s">
        <v>1935</v>
      </c>
      <c r="P3310" s="60">
        <v>778</v>
      </c>
      <c r="Q3310" s="3" t="s">
        <v>3327</v>
      </c>
      <c r="R3310" s="69">
        <v>50</v>
      </c>
      <c r="S3310" s="69">
        <v>392.86</v>
      </c>
      <c r="T3310" s="10">
        <v>0</v>
      </c>
      <c r="U3310" s="10">
        <f t="shared" ref="U3310" si="2116">T3310*1.12</f>
        <v>0</v>
      </c>
      <c r="V3310" s="7"/>
      <c r="W3310" s="1">
        <v>2015</v>
      </c>
      <c r="X3310" s="62" t="s">
        <v>7518</v>
      </c>
    </row>
    <row r="3311" spans="1:24" s="13" customFormat="1" ht="76.5" customHeight="1" outlineLevel="1" x14ac:dyDescent="0.2">
      <c r="A3311" s="1" t="s">
        <v>9214</v>
      </c>
      <c r="B3311" s="2" t="s">
        <v>5277</v>
      </c>
      <c r="C3311" s="2" t="s">
        <v>3329</v>
      </c>
      <c r="D3311" s="2" t="s">
        <v>3330</v>
      </c>
      <c r="E3311" s="6" t="s">
        <v>305</v>
      </c>
      <c r="F3311" s="52" t="s">
        <v>304</v>
      </c>
      <c r="G3311" s="3" t="s">
        <v>3190</v>
      </c>
      <c r="H3311" s="5">
        <v>0</v>
      </c>
      <c r="I3311" s="6">
        <v>710000000</v>
      </c>
      <c r="J3311" s="4" t="s">
        <v>1931</v>
      </c>
      <c r="K3311" s="4" t="s">
        <v>9142</v>
      </c>
      <c r="L3311" s="4" t="s">
        <v>1889</v>
      </c>
      <c r="M3311" s="8" t="s">
        <v>3195</v>
      </c>
      <c r="N3311" s="3" t="s">
        <v>1890</v>
      </c>
      <c r="O3311" s="8" t="s">
        <v>1935</v>
      </c>
      <c r="P3311" s="60">
        <v>778</v>
      </c>
      <c r="Q3311" s="3" t="s">
        <v>3327</v>
      </c>
      <c r="R3311" s="69">
        <f>50+10</f>
        <v>60</v>
      </c>
      <c r="S3311" s="69">
        <v>392.86</v>
      </c>
      <c r="T3311" s="10">
        <v>0</v>
      </c>
      <c r="U3311" s="10">
        <f t="shared" ref="U3311" si="2117">T3311*1.12</f>
        <v>0</v>
      </c>
      <c r="V3311" s="7"/>
      <c r="W3311" s="1">
        <v>2015</v>
      </c>
      <c r="X3311" s="62" t="s">
        <v>7518</v>
      </c>
    </row>
    <row r="3312" spans="1:24" s="13" customFormat="1" ht="76.5" customHeight="1" outlineLevel="1" x14ac:dyDescent="0.2">
      <c r="A3312" s="1" t="s">
        <v>9638</v>
      </c>
      <c r="B3312" s="2" t="s">
        <v>5277</v>
      </c>
      <c r="C3312" s="2" t="s">
        <v>3329</v>
      </c>
      <c r="D3312" s="2" t="s">
        <v>3330</v>
      </c>
      <c r="E3312" s="6" t="s">
        <v>305</v>
      </c>
      <c r="F3312" s="52" t="s">
        <v>304</v>
      </c>
      <c r="G3312" s="3" t="s">
        <v>3190</v>
      </c>
      <c r="H3312" s="5">
        <v>0</v>
      </c>
      <c r="I3312" s="6">
        <v>710000000</v>
      </c>
      <c r="J3312" s="4" t="s">
        <v>1931</v>
      </c>
      <c r="K3312" s="4" t="s">
        <v>9636</v>
      </c>
      <c r="L3312" s="4" t="s">
        <v>1889</v>
      </c>
      <c r="M3312" s="8" t="s">
        <v>3195</v>
      </c>
      <c r="N3312" s="3" t="s">
        <v>1890</v>
      </c>
      <c r="O3312" s="8" t="s">
        <v>1935</v>
      </c>
      <c r="P3312" s="60">
        <v>778</v>
      </c>
      <c r="Q3312" s="3" t="s">
        <v>3327</v>
      </c>
      <c r="R3312" s="69">
        <f>50+10+20</f>
        <v>80</v>
      </c>
      <c r="S3312" s="69">
        <v>392.86</v>
      </c>
      <c r="T3312" s="10">
        <f t="shared" ref="T3312" si="2118">S3312*R3312</f>
        <v>31428.800000000003</v>
      </c>
      <c r="U3312" s="10">
        <f t="shared" ref="U3312" si="2119">T3312*1.12</f>
        <v>35200.256000000008</v>
      </c>
      <c r="V3312" s="7"/>
      <c r="W3312" s="1">
        <v>2015</v>
      </c>
      <c r="X3312" s="62"/>
    </row>
    <row r="3313" spans="1:24" s="13" customFormat="1" ht="76.5" customHeight="1" outlineLevel="1" x14ac:dyDescent="0.2">
      <c r="A3313" s="1" t="s">
        <v>6871</v>
      </c>
      <c r="B3313" s="2" t="s">
        <v>5277</v>
      </c>
      <c r="C3313" s="2" t="s">
        <v>288</v>
      </c>
      <c r="D3313" s="2" t="s">
        <v>5147</v>
      </c>
      <c r="E3313" s="2" t="s">
        <v>287</v>
      </c>
      <c r="F3313" s="52" t="s">
        <v>286</v>
      </c>
      <c r="G3313" s="4" t="s">
        <v>1888</v>
      </c>
      <c r="H3313" s="5">
        <v>0</v>
      </c>
      <c r="I3313" s="6">
        <v>710000000</v>
      </c>
      <c r="J3313" s="4" t="s">
        <v>1931</v>
      </c>
      <c r="K3313" s="4" t="s">
        <v>5297</v>
      </c>
      <c r="L3313" s="4" t="s">
        <v>1889</v>
      </c>
      <c r="M3313" s="8" t="s">
        <v>3195</v>
      </c>
      <c r="N3313" s="3" t="s">
        <v>1890</v>
      </c>
      <c r="O3313" s="8" t="s">
        <v>1935</v>
      </c>
      <c r="P3313" s="62">
        <v>778</v>
      </c>
      <c r="Q3313" s="3" t="s">
        <v>3327</v>
      </c>
      <c r="R3313" s="69">
        <v>75</v>
      </c>
      <c r="S3313" s="69">
        <v>454.84</v>
      </c>
      <c r="T3313" s="10">
        <v>0</v>
      </c>
      <c r="U3313" s="10">
        <f t="shared" si="2071"/>
        <v>0</v>
      </c>
      <c r="V3313" s="7"/>
      <c r="W3313" s="1">
        <v>2015</v>
      </c>
      <c r="X3313" s="62">
        <v>7.11</v>
      </c>
    </row>
    <row r="3314" spans="1:24" s="13" customFormat="1" ht="76.5" customHeight="1" outlineLevel="1" x14ac:dyDescent="0.2">
      <c r="A3314" s="1" t="s">
        <v>8080</v>
      </c>
      <c r="B3314" s="2" t="s">
        <v>5277</v>
      </c>
      <c r="C3314" s="2" t="s">
        <v>288</v>
      </c>
      <c r="D3314" s="2" t="s">
        <v>5147</v>
      </c>
      <c r="E3314" s="2" t="s">
        <v>287</v>
      </c>
      <c r="F3314" s="52" t="s">
        <v>286</v>
      </c>
      <c r="G3314" s="3" t="s">
        <v>3190</v>
      </c>
      <c r="H3314" s="5">
        <v>0</v>
      </c>
      <c r="I3314" s="6">
        <v>710000000</v>
      </c>
      <c r="J3314" s="4" t="s">
        <v>1931</v>
      </c>
      <c r="K3314" s="4" t="s">
        <v>756</v>
      </c>
      <c r="L3314" s="4" t="s">
        <v>1889</v>
      </c>
      <c r="M3314" s="8" t="s">
        <v>3195</v>
      </c>
      <c r="N3314" s="3" t="s">
        <v>1890</v>
      </c>
      <c r="O3314" s="8" t="s">
        <v>1935</v>
      </c>
      <c r="P3314" s="62">
        <v>778</v>
      </c>
      <c r="Q3314" s="3" t="s">
        <v>3327</v>
      </c>
      <c r="R3314" s="69">
        <v>75</v>
      </c>
      <c r="S3314" s="69">
        <v>454.84</v>
      </c>
      <c r="T3314" s="10">
        <f t="shared" ref="T3314" si="2120">S3314*R3314</f>
        <v>34113</v>
      </c>
      <c r="U3314" s="10">
        <f t="shared" ref="U3314" si="2121">T3314*1.12</f>
        <v>38206.560000000005</v>
      </c>
      <c r="V3314" s="7"/>
      <c r="W3314" s="1">
        <v>2015</v>
      </c>
      <c r="X3314" s="62"/>
    </row>
    <row r="3315" spans="1:24" s="13" customFormat="1" ht="76.5" customHeight="1" outlineLevel="1" x14ac:dyDescent="0.2">
      <c r="A3315" s="1" t="s">
        <v>6872</v>
      </c>
      <c r="B3315" s="2" t="s">
        <v>5277</v>
      </c>
      <c r="C3315" s="2" t="s">
        <v>3150</v>
      </c>
      <c r="D3315" s="2" t="s">
        <v>5518</v>
      </c>
      <c r="E3315" s="6" t="s">
        <v>5519</v>
      </c>
      <c r="F3315" s="2" t="s">
        <v>6811</v>
      </c>
      <c r="G3315" s="4" t="s">
        <v>1888</v>
      </c>
      <c r="H3315" s="5">
        <v>0</v>
      </c>
      <c r="I3315" s="6">
        <v>710000000</v>
      </c>
      <c r="J3315" s="4" t="s">
        <v>1931</v>
      </c>
      <c r="K3315" s="4" t="s">
        <v>5297</v>
      </c>
      <c r="L3315" s="4" t="s">
        <v>1889</v>
      </c>
      <c r="M3315" s="8" t="s">
        <v>3195</v>
      </c>
      <c r="N3315" s="3" t="s">
        <v>1890</v>
      </c>
      <c r="O3315" s="8" t="s">
        <v>1935</v>
      </c>
      <c r="P3315" s="8">
        <v>796</v>
      </c>
      <c r="Q3315" s="8" t="s">
        <v>3196</v>
      </c>
      <c r="R3315" s="69">
        <v>37</v>
      </c>
      <c r="S3315" s="69">
        <v>472.46</v>
      </c>
      <c r="T3315" s="10">
        <v>0</v>
      </c>
      <c r="U3315" s="10">
        <f t="shared" si="2071"/>
        <v>0</v>
      </c>
      <c r="V3315" s="7"/>
      <c r="W3315" s="1">
        <v>2015</v>
      </c>
      <c r="X3315" s="62">
        <v>7.11</v>
      </c>
    </row>
    <row r="3316" spans="1:24" s="13" customFormat="1" ht="76.5" customHeight="1" outlineLevel="1" x14ac:dyDescent="0.2">
      <c r="A3316" s="1" t="s">
        <v>8081</v>
      </c>
      <c r="B3316" s="2" t="s">
        <v>5277</v>
      </c>
      <c r="C3316" s="2" t="s">
        <v>3150</v>
      </c>
      <c r="D3316" s="2" t="s">
        <v>5518</v>
      </c>
      <c r="E3316" s="6" t="s">
        <v>5519</v>
      </c>
      <c r="F3316" s="2" t="s">
        <v>6811</v>
      </c>
      <c r="G3316" s="3" t="s">
        <v>3190</v>
      </c>
      <c r="H3316" s="5">
        <v>0</v>
      </c>
      <c r="I3316" s="6">
        <v>710000000</v>
      </c>
      <c r="J3316" s="4" t="s">
        <v>1931</v>
      </c>
      <c r="K3316" s="4" t="s">
        <v>756</v>
      </c>
      <c r="L3316" s="4" t="s">
        <v>1889</v>
      </c>
      <c r="M3316" s="8" t="s">
        <v>3195</v>
      </c>
      <c r="N3316" s="3" t="s">
        <v>1890</v>
      </c>
      <c r="O3316" s="8" t="s">
        <v>1935</v>
      </c>
      <c r="P3316" s="8">
        <v>796</v>
      </c>
      <c r="Q3316" s="8" t="s">
        <v>3196</v>
      </c>
      <c r="R3316" s="69">
        <v>37</v>
      </c>
      <c r="S3316" s="69">
        <v>472.46</v>
      </c>
      <c r="T3316" s="10">
        <f t="shared" ref="T3316" si="2122">S3316*R3316</f>
        <v>17481.02</v>
      </c>
      <c r="U3316" s="10">
        <f t="shared" ref="U3316" si="2123">T3316*1.12</f>
        <v>19578.742400000003</v>
      </c>
      <c r="V3316" s="7"/>
      <c r="W3316" s="1">
        <v>2015</v>
      </c>
      <c r="X3316" s="62"/>
    </row>
    <row r="3317" spans="1:24" s="13" customFormat="1" ht="76.5" customHeight="1" outlineLevel="1" x14ac:dyDescent="0.2">
      <c r="A3317" s="1" t="s">
        <v>6873</v>
      </c>
      <c r="B3317" s="2" t="s">
        <v>5277</v>
      </c>
      <c r="C3317" s="2" t="s">
        <v>3150</v>
      </c>
      <c r="D3317" s="2" t="s">
        <v>5147</v>
      </c>
      <c r="E3317" s="2" t="s">
        <v>5519</v>
      </c>
      <c r="F3317" s="2" t="s">
        <v>6812</v>
      </c>
      <c r="G3317" s="4" t="s">
        <v>1888</v>
      </c>
      <c r="H3317" s="5">
        <v>0</v>
      </c>
      <c r="I3317" s="6">
        <v>710000000</v>
      </c>
      <c r="J3317" s="4" t="s">
        <v>1931</v>
      </c>
      <c r="K3317" s="4" t="s">
        <v>5297</v>
      </c>
      <c r="L3317" s="4" t="s">
        <v>1889</v>
      </c>
      <c r="M3317" s="8" t="s">
        <v>3195</v>
      </c>
      <c r="N3317" s="3" t="s">
        <v>1890</v>
      </c>
      <c r="O3317" s="8" t="s">
        <v>1935</v>
      </c>
      <c r="P3317" s="62">
        <v>778</v>
      </c>
      <c r="Q3317" s="3" t="s">
        <v>3327</v>
      </c>
      <c r="R3317" s="69">
        <v>60</v>
      </c>
      <c r="S3317" s="69">
        <v>502.38</v>
      </c>
      <c r="T3317" s="10">
        <v>0</v>
      </c>
      <c r="U3317" s="10">
        <f t="shared" si="2071"/>
        <v>0</v>
      </c>
      <c r="V3317" s="7"/>
      <c r="W3317" s="1">
        <v>2015</v>
      </c>
      <c r="X3317" s="62">
        <v>7.11</v>
      </c>
    </row>
    <row r="3318" spans="1:24" s="13" customFormat="1" ht="76.5" customHeight="1" outlineLevel="1" x14ac:dyDescent="0.2">
      <c r="A3318" s="1" t="s">
        <v>8082</v>
      </c>
      <c r="B3318" s="2" t="s">
        <v>5277</v>
      </c>
      <c r="C3318" s="2" t="s">
        <v>3150</v>
      </c>
      <c r="D3318" s="2" t="s">
        <v>5147</v>
      </c>
      <c r="E3318" s="2" t="s">
        <v>5519</v>
      </c>
      <c r="F3318" s="2" t="s">
        <v>6812</v>
      </c>
      <c r="G3318" s="3" t="s">
        <v>3190</v>
      </c>
      <c r="H3318" s="5">
        <v>0</v>
      </c>
      <c r="I3318" s="6">
        <v>710000000</v>
      </c>
      <c r="J3318" s="4" t="s">
        <v>1931</v>
      </c>
      <c r="K3318" s="4" t="s">
        <v>756</v>
      </c>
      <c r="L3318" s="4" t="s">
        <v>1889</v>
      </c>
      <c r="M3318" s="8" t="s">
        <v>3195</v>
      </c>
      <c r="N3318" s="3" t="s">
        <v>1890</v>
      </c>
      <c r="O3318" s="8" t="s">
        <v>1935</v>
      </c>
      <c r="P3318" s="62">
        <v>778</v>
      </c>
      <c r="Q3318" s="3" t="s">
        <v>3327</v>
      </c>
      <c r="R3318" s="69">
        <v>60</v>
      </c>
      <c r="S3318" s="69">
        <v>502.38</v>
      </c>
      <c r="T3318" s="10">
        <f t="shared" ref="T3318" si="2124">S3318*R3318</f>
        <v>30142.799999999999</v>
      </c>
      <c r="U3318" s="10">
        <f t="shared" ref="U3318" si="2125">T3318*1.12</f>
        <v>33759.936000000002</v>
      </c>
      <c r="V3318" s="7"/>
      <c r="W3318" s="1">
        <v>2015</v>
      </c>
      <c r="X3318" s="62"/>
    </row>
    <row r="3319" spans="1:24" s="13" customFormat="1" ht="76.5" customHeight="1" outlineLevel="1" x14ac:dyDescent="0.2">
      <c r="A3319" s="1" t="s">
        <v>6874</v>
      </c>
      <c r="B3319" s="2" t="s">
        <v>5277</v>
      </c>
      <c r="C3319" s="2" t="s">
        <v>3807</v>
      </c>
      <c r="D3319" s="2" t="s">
        <v>5233</v>
      </c>
      <c r="E3319" s="2" t="s">
        <v>7611</v>
      </c>
      <c r="F3319" s="2" t="s">
        <v>6813</v>
      </c>
      <c r="G3319" s="4" t="s">
        <v>1888</v>
      </c>
      <c r="H3319" s="5">
        <v>0</v>
      </c>
      <c r="I3319" s="6">
        <v>710000000</v>
      </c>
      <c r="J3319" s="4" t="s">
        <v>1931</v>
      </c>
      <c r="K3319" s="4" t="s">
        <v>5297</v>
      </c>
      <c r="L3319" s="4" t="s">
        <v>1889</v>
      </c>
      <c r="M3319" s="8" t="s">
        <v>3195</v>
      </c>
      <c r="N3319" s="3" t="s">
        <v>1890</v>
      </c>
      <c r="O3319" s="8" t="s">
        <v>1935</v>
      </c>
      <c r="P3319" s="8">
        <v>796</v>
      </c>
      <c r="Q3319" s="8" t="s">
        <v>3196</v>
      </c>
      <c r="R3319" s="69">
        <v>10</v>
      </c>
      <c r="S3319" s="69">
        <v>1062.5</v>
      </c>
      <c r="T3319" s="10">
        <v>0</v>
      </c>
      <c r="U3319" s="10">
        <f t="shared" si="2071"/>
        <v>0</v>
      </c>
      <c r="V3319" s="7"/>
      <c r="W3319" s="1">
        <v>2015</v>
      </c>
      <c r="X3319" s="62">
        <v>7.11</v>
      </c>
    </row>
    <row r="3320" spans="1:24" s="13" customFormat="1" ht="76.5" customHeight="1" outlineLevel="1" x14ac:dyDescent="0.2">
      <c r="A3320" s="1" t="s">
        <v>8083</v>
      </c>
      <c r="B3320" s="2" t="s">
        <v>5277</v>
      </c>
      <c r="C3320" s="2" t="s">
        <v>3807</v>
      </c>
      <c r="D3320" s="2" t="s">
        <v>5233</v>
      </c>
      <c r="E3320" s="2" t="s">
        <v>7611</v>
      </c>
      <c r="F3320" s="2" t="s">
        <v>6813</v>
      </c>
      <c r="G3320" s="3" t="s">
        <v>3190</v>
      </c>
      <c r="H3320" s="5">
        <v>0</v>
      </c>
      <c r="I3320" s="6">
        <v>710000000</v>
      </c>
      <c r="J3320" s="4" t="s">
        <v>1931</v>
      </c>
      <c r="K3320" s="4" t="s">
        <v>756</v>
      </c>
      <c r="L3320" s="4" t="s">
        <v>1889</v>
      </c>
      <c r="M3320" s="8" t="s">
        <v>3195</v>
      </c>
      <c r="N3320" s="3" t="s">
        <v>1890</v>
      </c>
      <c r="O3320" s="8" t="s">
        <v>1935</v>
      </c>
      <c r="P3320" s="8">
        <v>796</v>
      </c>
      <c r="Q3320" s="8" t="s">
        <v>3196</v>
      </c>
      <c r="R3320" s="69">
        <v>10</v>
      </c>
      <c r="S3320" s="69">
        <v>1062.5</v>
      </c>
      <c r="T3320" s="10">
        <f t="shared" ref="T3320" si="2126">S3320*R3320</f>
        <v>10625</v>
      </c>
      <c r="U3320" s="10">
        <f t="shared" ref="U3320" si="2127">T3320*1.12</f>
        <v>11900.000000000002</v>
      </c>
      <c r="V3320" s="7"/>
      <c r="W3320" s="1">
        <v>2015</v>
      </c>
      <c r="X3320" s="62"/>
    </row>
    <row r="3321" spans="1:24" s="13" customFormat="1" ht="76.5" customHeight="1" outlineLevel="1" x14ac:dyDescent="0.2">
      <c r="A3321" s="1" t="s">
        <v>6875</v>
      </c>
      <c r="B3321" s="2" t="s">
        <v>5277</v>
      </c>
      <c r="C3321" s="2" t="s">
        <v>3326</v>
      </c>
      <c r="D3321" s="2" t="s">
        <v>5469</v>
      </c>
      <c r="E3321" s="6" t="s">
        <v>5470</v>
      </c>
      <c r="F3321" s="52" t="s">
        <v>307</v>
      </c>
      <c r="G3321" s="4" t="s">
        <v>1888</v>
      </c>
      <c r="H3321" s="5">
        <v>0</v>
      </c>
      <c r="I3321" s="6">
        <v>710000000</v>
      </c>
      <c r="J3321" s="4" t="s">
        <v>1931</v>
      </c>
      <c r="K3321" s="4" t="s">
        <v>5297</v>
      </c>
      <c r="L3321" s="4" t="s">
        <v>1889</v>
      </c>
      <c r="M3321" s="8" t="s">
        <v>3195</v>
      </c>
      <c r="N3321" s="3" t="s">
        <v>1890</v>
      </c>
      <c r="O3321" s="8" t="s">
        <v>1935</v>
      </c>
      <c r="P3321" s="60">
        <v>778</v>
      </c>
      <c r="Q3321" s="3" t="s">
        <v>3327</v>
      </c>
      <c r="R3321" s="69">
        <v>20</v>
      </c>
      <c r="S3321" s="69">
        <v>1090.3</v>
      </c>
      <c r="T3321" s="10">
        <v>0</v>
      </c>
      <c r="U3321" s="10">
        <f t="shared" si="2071"/>
        <v>0</v>
      </c>
      <c r="V3321" s="7"/>
      <c r="W3321" s="1">
        <v>2015</v>
      </c>
      <c r="X3321" s="62">
        <v>7.11</v>
      </c>
    </row>
    <row r="3322" spans="1:24" s="13" customFormat="1" ht="76.5" customHeight="1" outlineLevel="1" x14ac:dyDescent="0.2">
      <c r="A3322" s="1" t="s">
        <v>8084</v>
      </c>
      <c r="B3322" s="2" t="s">
        <v>5277</v>
      </c>
      <c r="C3322" s="2" t="s">
        <v>3326</v>
      </c>
      <c r="D3322" s="2" t="s">
        <v>5469</v>
      </c>
      <c r="E3322" s="6" t="s">
        <v>5470</v>
      </c>
      <c r="F3322" s="52" t="s">
        <v>307</v>
      </c>
      <c r="G3322" s="3" t="s">
        <v>3190</v>
      </c>
      <c r="H3322" s="5">
        <v>0</v>
      </c>
      <c r="I3322" s="6">
        <v>710000000</v>
      </c>
      <c r="J3322" s="4" t="s">
        <v>1931</v>
      </c>
      <c r="K3322" s="4" t="s">
        <v>756</v>
      </c>
      <c r="L3322" s="4" t="s">
        <v>1889</v>
      </c>
      <c r="M3322" s="8" t="s">
        <v>3195</v>
      </c>
      <c r="N3322" s="3" t="s">
        <v>1890</v>
      </c>
      <c r="O3322" s="8" t="s">
        <v>1935</v>
      </c>
      <c r="P3322" s="60">
        <v>778</v>
      </c>
      <c r="Q3322" s="3" t="s">
        <v>3327</v>
      </c>
      <c r="R3322" s="69">
        <v>20</v>
      </c>
      <c r="S3322" s="69">
        <v>1090.3</v>
      </c>
      <c r="T3322" s="10">
        <f>R3322*S3322</f>
        <v>21806</v>
      </c>
      <c r="U3322" s="10">
        <f t="shared" ref="U3322" si="2128">T3322*1.12</f>
        <v>24422.720000000001</v>
      </c>
      <c r="V3322" s="7"/>
      <c r="W3322" s="1">
        <v>2015</v>
      </c>
      <c r="X3322" s="62" t="s">
        <v>7518</v>
      </c>
    </row>
    <row r="3323" spans="1:24" s="13" customFormat="1" ht="76.5" customHeight="1" outlineLevel="1" x14ac:dyDescent="0.2">
      <c r="A3323" s="1" t="s">
        <v>6876</v>
      </c>
      <c r="B3323" s="2" t="s">
        <v>5277</v>
      </c>
      <c r="C3323" s="6" t="s">
        <v>311</v>
      </c>
      <c r="D3323" s="6" t="s">
        <v>3891</v>
      </c>
      <c r="E3323" s="6" t="s">
        <v>310</v>
      </c>
      <c r="F3323" s="2" t="s">
        <v>6814</v>
      </c>
      <c r="G3323" s="4" t="s">
        <v>1888</v>
      </c>
      <c r="H3323" s="5">
        <v>0</v>
      </c>
      <c r="I3323" s="6">
        <v>710000000</v>
      </c>
      <c r="J3323" s="4" t="s">
        <v>1931</v>
      </c>
      <c r="K3323" s="4" t="s">
        <v>5297</v>
      </c>
      <c r="L3323" s="4" t="s">
        <v>1889</v>
      </c>
      <c r="M3323" s="8" t="s">
        <v>3195</v>
      </c>
      <c r="N3323" s="3" t="s">
        <v>1890</v>
      </c>
      <c r="O3323" s="8" t="s">
        <v>1935</v>
      </c>
      <c r="P3323" s="60" t="s">
        <v>3010</v>
      </c>
      <c r="Q3323" s="3" t="s">
        <v>3009</v>
      </c>
      <c r="R3323" s="69">
        <v>1</v>
      </c>
      <c r="S3323" s="69">
        <v>24362</v>
      </c>
      <c r="T3323" s="10">
        <v>0</v>
      </c>
      <c r="U3323" s="10">
        <f t="shared" si="2071"/>
        <v>0</v>
      </c>
      <c r="V3323" s="7"/>
      <c r="W3323" s="1">
        <v>2015</v>
      </c>
      <c r="X3323" s="62">
        <v>7.11</v>
      </c>
    </row>
    <row r="3324" spans="1:24" s="13" customFormat="1" ht="76.5" customHeight="1" outlineLevel="1" x14ac:dyDescent="0.2">
      <c r="A3324" s="1" t="s">
        <v>8085</v>
      </c>
      <c r="B3324" s="2" t="s">
        <v>5277</v>
      </c>
      <c r="C3324" s="6" t="s">
        <v>311</v>
      </c>
      <c r="D3324" s="6" t="s">
        <v>3891</v>
      </c>
      <c r="E3324" s="6" t="s">
        <v>310</v>
      </c>
      <c r="F3324" s="2" t="s">
        <v>6814</v>
      </c>
      <c r="G3324" s="3" t="s">
        <v>3190</v>
      </c>
      <c r="H3324" s="5">
        <v>0</v>
      </c>
      <c r="I3324" s="6">
        <v>710000000</v>
      </c>
      <c r="J3324" s="4" t="s">
        <v>1931</v>
      </c>
      <c r="K3324" s="4" t="s">
        <v>756</v>
      </c>
      <c r="L3324" s="4" t="s">
        <v>1889</v>
      </c>
      <c r="M3324" s="8" t="s">
        <v>3195</v>
      </c>
      <c r="N3324" s="3" t="s">
        <v>1890</v>
      </c>
      <c r="O3324" s="8" t="s">
        <v>1935</v>
      </c>
      <c r="P3324" s="60" t="s">
        <v>3010</v>
      </c>
      <c r="Q3324" s="3" t="s">
        <v>3009</v>
      </c>
      <c r="R3324" s="69">
        <v>1</v>
      </c>
      <c r="S3324" s="69">
        <v>24362</v>
      </c>
      <c r="T3324" s="10">
        <f t="shared" ref="T3324" si="2129">S3324*R3324</f>
        <v>24362</v>
      </c>
      <c r="U3324" s="10">
        <f t="shared" ref="U3324" si="2130">T3324*1.12</f>
        <v>27285.440000000002</v>
      </c>
      <c r="V3324" s="7"/>
      <c r="W3324" s="1">
        <v>2015</v>
      </c>
      <c r="X3324" s="62"/>
    </row>
    <row r="3325" spans="1:24" s="13" customFormat="1" ht="76.5" customHeight="1" outlineLevel="1" x14ac:dyDescent="0.2">
      <c r="A3325" s="1" t="s">
        <v>6877</v>
      </c>
      <c r="B3325" s="2" t="s">
        <v>5277</v>
      </c>
      <c r="C3325" s="2" t="s">
        <v>262</v>
      </c>
      <c r="D3325" s="2" t="s">
        <v>261</v>
      </c>
      <c r="E3325" s="2" t="s">
        <v>260</v>
      </c>
      <c r="F3325" s="2" t="s">
        <v>6815</v>
      </c>
      <c r="G3325" s="4" t="s">
        <v>1888</v>
      </c>
      <c r="H3325" s="5">
        <v>0</v>
      </c>
      <c r="I3325" s="6">
        <v>710000000</v>
      </c>
      <c r="J3325" s="4" t="s">
        <v>1931</v>
      </c>
      <c r="K3325" s="4" t="s">
        <v>5297</v>
      </c>
      <c r="L3325" s="4" t="s">
        <v>1889</v>
      </c>
      <c r="M3325" s="8" t="s">
        <v>3195</v>
      </c>
      <c r="N3325" s="3" t="s">
        <v>1890</v>
      </c>
      <c r="O3325" s="8" t="s">
        <v>1935</v>
      </c>
      <c r="P3325" s="60" t="s">
        <v>3334</v>
      </c>
      <c r="Q3325" s="3" t="s">
        <v>5477</v>
      </c>
      <c r="R3325" s="69">
        <v>43</v>
      </c>
      <c r="S3325" s="69">
        <v>444.95</v>
      </c>
      <c r="T3325" s="10">
        <v>0</v>
      </c>
      <c r="U3325" s="10">
        <f t="shared" si="2071"/>
        <v>0</v>
      </c>
      <c r="V3325" s="7"/>
      <c r="W3325" s="1">
        <v>2015</v>
      </c>
      <c r="X3325" s="62">
        <v>7.11</v>
      </c>
    </row>
    <row r="3326" spans="1:24" s="13" customFormat="1" ht="76.5" customHeight="1" outlineLevel="1" x14ac:dyDescent="0.2">
      <c r="A3326" s="1" t="s">
        <v>8086</v>
      </c>
      <c r="B3326" s="2" t="s">
        <v>5277</v>
      </c>
      <c r="C3326" s="2" t="s">
        <v>262</v>
      </c>
      <c r="D3326" s="2" t="s">
        <v>261</v>
      </c>
      <c r="E3326" s="2" t="s">
        <v>260</v>
      </c>
      <c r="F3326" s="2" t="s">
        <v>6815</v>
      </c>
      <c r="G3326" s="3" t="s">
        <v>3190</v>
      </c>
      <c r="H3326" s="5">
        <v>0</v>
      </c>
      <c r="I3326" s="6">
        <v>710000000</v>
      </c>
      <c r="J3326" s="4" t="s">
        <v>1931</v>
      </c>
      <c r="K3326" s="4" t="s">
        <v>756</v>
      </c>
      <c r="L3326" s="4" t="s">
        <v>1889</v>
      </c>
      <c r="M3326" s="8" t="s">
        <v>3195</v>
      </c>
      <c r="N3326" s="3" t="s">
        <v>1890</v>
      </c>
      <c r="O3326" s="8" t="s">
        <v>1935</v>
      </c>
      <c r="P3326" s="60" t="s">
        <v>3334</v>
      </c>
      <c r="Q3326" s="3" t="s">
        <v>5477</v>
      </c>
      <c r="R3326" s="69">
        <v>43</v>
      </c>
      <c r="S3326" s="69">
        <v>444.95</v>
      </c>
      <c r="T3326" s="10">
        <f t="shared" ref="T3326" si="2131">S3326*R3326</f>
        <v>19132.849999999999</v>
      </c>
      <c r="U3326" s="10">
        <f t="shared" ref="U3326" si="2132">T3326*1.12</f>
        <v>21428.792000000001</v>
      </c>
      <c r="V3326" s="7"/>
      <c r="W3326" s="1">
        <v>2015</v>
      </c>
      <c r="X3326" s="62"/>
    </row>
    <row r="3327" spans="1:24" s="13" customFormat="1" ht="76.5" customHeight="1" outlineLevel="1" x14ac:dyDescent="0.2">
      <c r="A3327" s="1" t="s">
        <v>6878</v>
      </c>
      <c r="B3327" s="2" t="s">
        <v>5277</v>
      </c>
      <c r="C3327" s="2" t="s">
        <v>6816</v>
      </c>
      <c r="D3327" s="2" t="s">
        <v>5480</v>
      </c>
      <c r="E3327" s="2" t="s">
        <v>6817</v>
      </c>
      <c r="F3327" s="2"/>
      <c r="G3327" s="4" t="s">
        <v>1888</v>
      </c>
      <c r="H3327" s="5">
        <v>0</v>
      </c>
      <c r="I3327" s="6">
        <v>710000000</v>
      </c>
      <c r="J3327" s="4" t="s">
        <v>1931</v>
      </c>
      <c r="K3327" s="4" t="s">
        <v>5297</v>
      </c>
      <c r="L3327" s="4" t="s">
        <v>1889</v>
      </c>
      <c r="M3327" s="8" t="s">
        <v>3195</v>
      </c>
      <c r="N3327" s="3" t="s">
        <v>1890</v>
      </c>
      <c r="O3327" s="8" t="s">
        <v>1935</v>
      </c>
      <c r="P3327" s="60">
        <v>166</v>
      </c>
      <c r="Q3327" s="3" t="s">
        <v>3324</v>
      </c>
      <c r="R3327" s="69">
        <v>3</v>
      </c>
      <c r="S3327" s="69">
        <v>223.33</v>
      </c>
      <c r="T3327" s="10">
        <v>0</v>
      </c>
      <c r="U3327" s="10">
        <f t="shared" si="2071"/>
        <v>0</v>
      </c>
      <c r="V3327" s="7"/>
      <c r="W3327" s="1">
        <v>2015</v>
      </c>
      <c r="X3327" s="62">
        <v>7.11</v>
      </c>
    </row>
    <row r="3328" spans="1:24" s="13" customFormat="1" ht="76.5" customHeight="1" outlineLevel="1" x14ac:dyDescent="0.2">
      <c r="A3328" s="1" t="s">
        <v>8087</v>
      </c>
      <c r="B3328" s="2" t="s">
        <v>5277</v>
      </c>
      <c r="C3328" s="2" t="s">
        <v>6816</v>
      </c>
      <c r="D3328" s="2" t="s">
        <v>5480</v>
      </c>
      <c r="E3328" s="2" t="s">
        <v>6817</v>
      </c>
      <c r="F3328" s="2"/>
      <c r="G3328" s="3" t="s">
        <v>3190</v>
      </c>
      <c r="H3328" s="5">
        <v>0</v>
      </c>
      <c r="I3328" s="6">
        <v>710000000</v>
      </c>
      <c r="J3328" s="4" t="s">
        <v>1931</v>
      </c>
      <c r="K3328" s="4" t="s">
        <v>756</v>
      </c>
      <c r="L3328" s="4" t="s">
        <v>1889</v>
      </c>
      <c r="M3328" s="8" t="s">
        <v>3195</v>
      </c>
      <c r="N3328" s="3" t="s">
        <v>1890</v>
      </c>
      <c r="O3328" s="8" t="s">
        <v>1935</v>
      </c>
      <c r="P3328" s="60">
        <v>166</v>
      </c>
      <c r="Q3328" s="3" t="s">
        <v>3324</v>
      </c>
      <c r="R3328" s="69">
        <v>3</v>
      </c>
      <c r="S3328" s="69">
        <v>223.33</v>
      </c>
      <c r="T3328" s="10">
        <f t="shared" ref="T3328" si="2133">S3328*R3328</f>
        <v>669.99</v>
      </c>
      <c r="U3328" s="10">
        <f t="shared" ref="U3328" si="2134">T3328*1.12</f>
        <v>750.38880000000006</v>
      </c>
      <c r="V3328" s="7"/>
      <c r="W3328" s="1">
        <v>2015</v>
      </c>
      <c r="X3328" s="62"/>
    </row>
    <row r="3329" spans="1:24" s="13" customFormat="1" ht="76.5" customHeight="1" outlineLevel="1" x14ac:dyDescent="0.2">
      <c r="A3329" s="1" t="s">
        <v>6879</v>
      </c>
      <c r="B3329" s="2" t="s">
        <v>5277</v>
      </c>
      <c r="C3329" s="2" t="s">
        <v>6818</v>
      </c>
      <c r="D3329" s="2" t="s">
        <v>5480</v>
      </c>
      <c r="E3329" s="2" t="s">
        <v>6819</v>
      </c>
      <c r="F3329" s="2"/>
      <c r="G3329" s="4" t="s">
        <v>1888</v>
      </c>
      <c r="H3329" s="5">
        <v>0</v>
      </c>
      <c r="I3329" s="6">
        <v>710000000</v>
      </c>
      <c r="J3329" s="4" t="s">
        <v>1931</v>
      </c>
      <c r="K3329" s="4" t="s">
        <v>5297</v>
      </c>
      <c r="L3329" s="4" t="s">
        <v>1889</v>
      </c>
      <c r="M3329" s="8" t="s">
        <v>3195</v>
      </c>
      <c r="N3329" s="3" t="s">
        <v>1890</v>
      </c>
      <c r="O3329" s="8" t="s">
        <v>1935</v>
      </c>
      <c r="P3329" s="60">
        <v>166</v>
      </c>
      <c r="Q3329" s="3" t="s">
        <v>3324</v>
      </c>
      <c r="R3329" s="69">
        <v>6</v>
      </c>
      <c r="S3329" s="69">
        <v>218.83</v>
      </c>
      <c r="T3329" s="10">
        <v>0</v>
      </c>
      <c r="U3329" s="10">
        <f t="shared" si="2071"/>
        <v>0</v>
      </c>
      <c r="V3329" s="7"/>
      <c r="W3329" s="1">
        <v>2015</v>
      </c>
      <c r="X3329" s="62">
        <v>7.11</v>
      </c>
    </row>
    <row r="3330" spans="1:24" s="13" customFormat="1" ht="76.5" customHeight="1" outlineLevel="1" x14ac:dyDescent="0.2">
      <c r="A3330" s="1" t="s">
        <v>8088</v>
      </c>
      <c r="B3330" s="2" t="s">
        <v>5277</v>
      </c>
      <c r="C3330" s="2" t="s">
        <v>6818</v>
      </c>
      <c r="D3330" s="2" t="s">
        <v>5480</v>
      </c>
      <c r="E3330" s="2" t="s">
        <v>6819</v>
      </c>
      <c r="F3330" s="2"/>
      <c r="G3330" s="3" t="s">
        <v>3190</v>
      </c>
      <c r="H3330" s="5">
        <v>0</v>
      </c>
      <c r="I3330" s="6">
        <v>710000000</v>
      </c>
      <c r="J3330" s="4" t="s">
        <v>1931</v>
      </c>
      <c r="K3330" s="4" t="s">
        <v>756</v>
      </c>
      <c r="L3330" s="4" t="s">
        <v>1889</v>
      </c>
      <c r="M3330" s="8" t="s">
        <v>3195</v>
      </c>
      <c r="N3330" s="3" t="s">
        <v>1890</v>
      </c>
      <c r="O3330" s="8" t="s">
        <v>1935</v>
      </c>
      <c r="P3330" s="60">
        <v>166</v>
      </c>
      <c r="Q3330" s="3" t="s">
        <v>3324</v>
      </c>
      <c r="R3330" s="69">
        <v>6</v>
      </c>
      <c r="S3330" s="69">
        <v>218.83</v>
      </c>
      <c r="T3330" s="10">
        <f t="shared" ref="T3330" si="2135">S3330*R3330</f>
        <v>1312.98</v>
      </c>
      <c r="U3330" s="10">
        <f t="shared" ref="U3330" si="2136">T3330*1.12</f>
        <v>1470.5376000000001</v>
      </c>
      <c r="V3330" s="7"/>
      <c r="W3330" s="1">
        <v>2015</v>
      </c>
      <c r="X3330" s="62"/>
    </row>
    <row r="3331" spans="1:24" s="13" customFormat="1" ht="76.5" customHeight="1" outlineLevel="1" x14ac:dyDescent="0.2">
      <c r="A3331" s="1" t="s">
        <v>6880</v>
      </c>
      <c r="B3331" s="2" t="s">
        <v>5277</v>
      </c>
      <c r="C3331" s="2" t="s">
        <v>6820</v>
      </c>
      <c r="D3331" s="2" t="s">
        <v>5480</v>
      </c>
      <c r="E3331" s="2" t="s">
        <v>6821</v>
      </c>
      <c r="F3331" s="2"/>
      <c r="G3331" s="4" t="s">
        <v>1888</v>
      </c>
      <c r="H3331" s="5">
        <v>0</v>
      </c>
      <c r="I3331" s="6">
        <v>710000000</v>
      </c>
      <c r="J3331" s="4" t="s">
        <v>1931</v>
      </c>
      <c r="K3331" s="4" t="s">
        <v>5297</v>
      </c>
      <c r="L3331" s="4" t="s">
        <v>1889</v>
      </c>
      <c r="M3331" s="8" t="s">
        <v>3195</v>
      </c>
      <c r="N3331" s="3" t="s">
        <v>1890</v>
      </c>
      <c r="O3331" s="8" t="s">
        <v>1935</v>
      </c>
      <c r="P3331" s="60">
        <v>166</v>
      </c>
      <c r="Q3331" s="3" t="s">
        <v>3324</v>
      </c>
      <c r="R3331" s="69">
        <v>6</v>
      </c>
      <c r="S3331" s="69">
        <v>183</v>
      </c>
      <c r="T3331" s="10">
        <v>0</v>
      </c>
      <c r="U3331" s="10">
        <f t="shared" si="2071"/>
        <v>0</v>
      </c>
      <c r="V3331" s="7"/>
      <c r="W3331" s="1">
        <v>2015</v>
      </c>
      <c r="X3331" s="62">
        <v>7.11</v>
      </c>
    </row>
    <row r="3332" spans="1:24" s="13" customFormat="1" ht="76.5" customHeight="1" outlineLevel="1" x14ac:dyDescent="0.2">
      <c r="A3332" s="1" t="s">
        <v>8089</v>
      </c>
      <c r="B3332" s="2" t="s">
        <v>5277</v>
      </c>
      <c r="C3332" s="2" t="s">
        <v>6820</v>
      </c>
      <c r="D3332" s="2" t="s">
        <v>5480</v>
      </c>
      <c r="E3332" s="2" t="s">
        <v>6821</v>
      </c>
      <c r="F3332" s="2"/>
      <c r="G3332" s="3" t="s">
        <v>3190</v>
      </c>
      <c r="H3332" s="5">
        <v>0</v>
      </c>
      <c r="I3332" s="6">
        <v>710000000</v>
      </c>
      <c r="J3332" s="4" t="s">
        <v>1931</v>
      </c>
      <c r="K3332" s="4" t="s">
        <v>756</v>
      </c>
      <c r="L3332" s="4" t="s">
        <v>1889</v>
      </c>
      <c r="M3332" s="8" t="s">
        <v>3195</v>
      </c>
      <c r="N3332" s="3" t="s">
        <v>1890</v>
      </c>
      <c r="O3332" s="8" t="s">
        <v>1935</v>
      </c>
      <c r="P3332" s="60">
        <v>166</v>
      </c>
      <c r="Q3332" s="3" t="s">
        <v>3324</v>
      </c>
      <c r="R3332" s="69">
        <v>6</v>
      </c>
      <c r="S3332" s="69">
        <v>183</v>
      </c>
      <c r="T3332" s="10">
        <f t="shared" ref="T3332" si="2137">S3332*R3332</f>
        <v>1098</v>
      </c>
      <c r="U3332" s="10">
        <f t="shared" ref="U3332" si="2138">T3332*1.12</f>
        <v>1229.7600000000002</v>
      </c>
      <c r="V3332" s="7"/>
      <c r="W3332" s="1">
        <v>2015</v>
      </c>
      <c r="X3332" s="62"/>
    </row>
    <row r="3333" spans="1:24" s="13" customFormat="1" ht="76.5" customHeight="1" outlineLevel="1" x14ac:dyDescent="0.2">
      <c r="A3333" s="1" t="s">
        <v>6881</v>
      </c>
      <c r="B3333" s="2" t="s">
        <v>5277</v>
      </c>
      <c r="C3333" s="2" t="s">
        <v>6822</v>
      </c>
      <c r="D3333" s="2" t="s">
        <v>5480</v>
      </c>
      <c r="E3333" s="2" t="s">
        <v>6823</v>
      </c>
      <c r="F3333" s="2"/>
      <c r="G3333" s="4" t="s">
        <v>1888</v>
      </c>
      <c r="H3333" s="5">
        <v>0</v>
      </c>
      <c r="I3333" s="6">
        <v>710000000</v>
      </c>
      <c r="J3333" s="4" t="s">
        <v>1931</v>
      </c>
      <c r="K3333" s="4" t="s">
        <v>5297</v>
      </c>
      <c r="L3333" s="4" t="s">
        <v>1889</v>
      </c>
      <c r="M3333" s="8" t="s">
        <v>3195</v>
      </c>
      <c r="N3333" s="3" t="s">
        <v>1890</v>
      </c>
      <c r="O3333" s="8" t="s">
        <v>1935</v>
      </c>
      <c r="P3333" s="60">
        <v>166</v>
      </c>
      <c r="Q3333" s="3" t="s">
        <v>3324</v>
      </c>
      <c r="R3333" s="69">
        <v>40</v>
      </c>
      <c r="S3333" s="69">
        <v>183</v>
      </c>
      <c r="T3333" s="10">
        <v>0</v>
      </c>
      <c r="U3333" s="10">
        <f t="shared" si="2071"/>
        <v>0</v>
      </c>
      <c r="V3333" s="7"/>
      <c r="W3333" s="1">
        <v>2015</v>
      </c>
      <c r="X3333" s="62">
        <v>7.11</v>
      </c>
    </row>
    <row r="3334" spans="1:24" s="13" customFormat="1" ht="76.5" customHeight="1" outlineLevel="1" x14ac:dyDescent="0.2">
      <c r="A3334" s="1" t="s">
        <v>8090</v>
      </c>
      <c r="B3334" s="2" t="s">
        <v>5277</v>
      </c>
      <c r="C3334" s="2" t="s">
        <v>6822</v>
      </c>
      <c r="D3334" s="2" t="s">
        <v>5480</v>
      </c>
      <c r="E3334" s="2" t="s">
        <v>6823</v>
      </c>
      <c r="F3334" s="2"/>
      <c r="G3334" s="3" t="s">
        <v>3190</v>
      </c>
      <c r="H3334" s="5">
        <v>0</v>
      </c>
      <c r="I3334" s="6">
        <v>710000000</v>
      </c>
      <c r="J3334" s="4" t="s">
        <v>1931</v>
      </c>
      <c r="K3334" s="4" t="s">
        <v>756</v>
      </c>
      <c r="L3334" s="4" t="s">
        <v>1889</v>
      </c>
      <c r="M3334" s="8" t="s">
        <v>3195</v>
      </c>
      <c r="N3334" s="3" t="s">
        <v>1890</v>
      </c>
      <c r="O3334" s="8" t="s">
        <v>1935</v>
      </c>
      <c r="P3334" s="60">
        <v>166</v>
      </c>
      <c r="Q3334" s="3" t="s">
        <v>3324</v>
      </c>
      <c r="R3334" s="69">
        <v>40</v>
      </c>
      <c r="S3334" s="69">
        <v>183</v>
      </c>
      <c r="T3334" s="10">
        <f t="shared" ref="T3334" si="2139">S3334*R3334</f>
        <v>7320</v>
      </c>
      <c r="U3334" s="10">
        <f t="shared" ref="U3334" si="2140">T3334*1.12</f>
        <v>8198.4000000000015</v>
      </c>
      <c r="V3334" s="7"/>
      <c r="W3334" s="1">
        <v>2015</v>
      </c>
      <c r="X3334" s="62"/>
    </row>
    <row r="3335" spans="1:24" s="13" customFormat="1" ht="76.5" customHeight="1" outlineLevel="1" x14ac:dyDescent="0.2">
      <c r="A3335" s="1" t="s">
        <v>6882</v>
      </c>
      <c r="B3335" s="2" t="s">
        <v>5277</v>
      </c>
      <c r="C3335" s="2" t="s">
        <v>6824</v>
      </c>
      <c r="D3335" s="2" t="s">
        <v>5480</v>
      </c>
      <c r="E3335" s="2" t="s">
        <v>6825</v>
      </c>
      <c r="F3335" s="2"/>
      <c r="G3335" s="4" t="s">
        <v>1888</v>
      </c>
      <c r="H3335" s="5">
        <v>0</v>
      </c>
      <c r="I3335" s="6">
        <v>710000000</v>
      </c>
      <c r="J3335" s="4" t="s">
        <v>1931</v>
      </c>
      <c r="K3335" s="4" t="s">
        <v>5297</v>
      </c>
      <c r="L3335" s="4" t="s">
        <v>1889</v>
      </c>
      <c r="M3335" s="8" t="s">
        <v>3195</v>
      </c>
      <c r="N3335" s="3" t="s">
        <v>1890</v>
      </c>
      <c r="O3335" s="8" t="s">
        <v>1935</v>
      </c>
      <c r="P3335" s="60">
        <v>166</v>
      </c>
      <c r="Q3335" s="3" t="s">
        <v>3324</v>
      </c>
      <c r="R3335" s="69">
        <v>3</v>
      </c>
      <c r="S3335" s="69">
        <v>160.66999999999999</v>
      </c>
      <c r="T3335" s="10">
        <v>0</v>
      </c>
      <c r="U3335" s="10">
        <f t="shared" si="2071"/>
        <v>0</v>
      </c>
      <c r="V3335" s="7"/>
      <c r="W3335" s="1">
        <v>2015</v>
      </c>
      <c r="X3335" s="62">
        <v>7.11</v>
      </c>
    </row>
    <row r="3336" spans="1:24" s="13" customFormat="1" ht="76.5" customHeight="1" outlineLevel="1" x14ac:dyDescent="0.2">
      <c r="A3336" s="1" t="s">
        <v>8091</v>
      </c>
      <c r="B3336" s="2" t="s">
        <v>5277</v>
      </c>
      <c r="C3336" s="2" t="s">
        <v>6824</v>
      </c>
      <c r="D3336" s="2" t="s">
        <v>5480</v>
      </c>
      <c r="E3336" s="2" t="s">
        <v>6825</v>
      </c>
      <c r="F3336" s="2"/>
      <c r="G3336" s="3" t="s">
        <v>3190</v>
      </c>
      <c r="H3336" s="5">
        <v>0</v>
      </c>
      <c r="I3336" s="6">
        <v>710000000</v>
      </c>
      <c r="J3336" s="4" t="s">
        <v>1931</v>
      </c>
      <c r="K3336" s="4" t="s">
        <v>756</v>
      </c>
      <c r="L3336" s="4" t="s">
        <v>1889</v>
      </c>
      <c r="M3336" s="8" t="s">
        <v>3195</v>
      </c>
      <c r="N3336" s="3" t="s">
        <v>1890</v>
      </c>
      <c r="O3336" s="8" t="s">
        <v>1935</v>
      </c>
      <c r="P3336" s="60">
        <v>166</v>
      </c>
      <c r="Q3336" s="3" t="s">
        <v>3324</v>
      </c>
      <c r="R3336" s="69">
        <v>3</v>
      </c>
      <c r="S3336" s="69">
        <v>160.66999999999999</v>
      </c>
      <c r="T3336" s="10">
        <f t="shared" ref="T3336" si="2141">S3336*R3336</f>
        <v>482.01</v>
      </c>
      <c r="U3336" s="10">
        <f t="shared" ref="U3336" si="2142">T3336*1.12</f>
        <v>539.85120000000006</v>
      </c>
      <c r="V3336" s="7"/>
      <c r="W3336" s="1">
        <v>2015</v>
      </c>
      <c r="X3336" s="62"/>
    </row>
    <row r="3337" spans="1:24" s="13" customFormat="1" ht="76.5" customHeight="1" outlineLevel="1" x14ac:dyDescent="0.2">
      <c r="A3337" s="1" t="s">
        <v>6883</v>
      </c>
      <c r="B3337" s="2" t="s">
        <v>5277</v>
      </c>
      <c r="C3337" s="2" t="s">
        <v>6826</v>
      </c>
      <c r="D3337" s="2" t="s">
        <v>5480</v>
      </c>
      <c r="E3337" s="2" t="s">
        <v>6827</v>
      </c>
      <c r="F3337" s="2"/>
      <c r="G3337" s="4" t="s">
        <v>1888</v>
      </c>
      <c r="H3337" s="5">
        <v>0</v>
      </c>
      <c r="I3337" s="6">
        <v>710000000</v>
      </c>
      <c r="J3337" s="4" t="s">
        <v>1931</v>
      </c>
      <c r="K3337" s="4" t="s">
        <v>5297</v>
      </c>
      <c r="L3337" s="4" t="s">
        <v>1889</v>
      </c>
      <c r="M3337" s="8" t="s">
        <v>3195</v>
      </c>
      <c r="N3337" s="3" t="s">
        <v>1890</v>
      </c>
      <c r="O3337" s="8" t="s">
        <v>1935</v>
      </c>
      <c r="P3337" s="60">
        <v>166</v>
      </c>
      <c r="Q3337" s="3" t="s">
        <v>3324</v>
      </c>
      <c r="R3337" s="69">
        <v>6</v>
      </c>
      <c r="S3337" s="69">
        <v>160.66999999999999</v>
      </c>
      <c r="T3337" s="10">
        <v>0</v>
      </c>
      <c r="U3337" s="10">
        <f t="shared" si="2071"/>
        <v>0</v>
      </c>
      <c r="V3337" s="7"/>
      <c r="W3337" s="1">
        <v>2015</v>
      </c>
      <c r="X3337" s="62">
        <v>7.11</v>
      </c>
    </row>
    <row r="3338" spans="1:24" s="13" customFormat="1" ht="76.5" customHeight="1" outlineLevel="1" x14ac:dyDescent="0.2">
      <c r="A3338" s="1" t="s">
        <v>8092</v>
      </c>
      <c r="B3338" s="2" t="s">
        <v>5277</v>
      </c>
      <c r="C3338" s="2" t="s">
        <v>6826</v>
      </c>
      <c r="D3338" s="2" t="s">
        <v>5480</v>
      </c>
      <c r="E3338" s="2" t="s">
        <v>6827</v>
      </c>
      <c r="F3338" s="2"/>
      <c r="G3338" s="3" t="s">
        <v>3190</v>
      </c>
      <c r="H3338" s="5">
        <v>0</v>
      </c>
      <c r="I3338" s="6">
        <v>710000000</v>
      </c>
      <c r="J3338" s="4" t="s">
        <v>1931</v>
      </c>
      <c r="K3338" s="4" t="s">
        <v>756</v>
      </c>
      <c r="L3338" s="4" t="s">
        <v>1889</v>
      </c>
      <c r="M3338" s="8" t="s">
        <v>3195</v>
      </c>
      <c r="N3338" s="3" t="s">
        <v>1890</v>
      </c>
      <c r="O3338" s="8" t="s">
        <v>1935</v>
      </c>
      <c r="P3338" s="60">
        <v>166</v>
      </c>
      <c r="Q3338" s="3" t="s">
        <v>3324</v>
      </c>
      <c r="R3338" s="69">
        <v>6</v>
      </c>
      <c r="S3338" s="69">
        <v>160.66999999999999</v>
      </c>
      <c r="T3338" s="10">
        <f t="shared" ref="T3338" si="2143">S3338*R3338</f>
        <v>964.02</v>
      </c>
      <c r="U3338" s="10">
        <f t="shared" ref="U3338" si="2144">T3338*1.12</f>
        <v>1079.7024000000001</v>
      </c>
      <c r="V3338" s="7"/>
      <c r="W3338" s="1">
        <v>2015</v>
      </c>
      <c r="X3338" s="62"/>
    </row>
    <row r="3339" spans="1:24" s="13" customFormat="1" ht="76.5" customHeight="1" outlineLevel="1" x14ac:dyDescent="0.2">
      <c r="A3339" s="1" t="s">
        <v>6884</v>
      </c>
      <c r="B3339" s="2" t="s">
        <v>5277</v>
      </c>
      <c r="C3339" s="2" t="s">
        <v>6828</v>
      </c>
      <c r="D3339" s="2" t="s">
        <v>5480</v>
      </c>
      <c r="E3339" s="2" t="s">
        <v>6829</v>
      </c>
      <c r="F3339" s="2"/>
      <c r="G3339" s="4" t="s">
        <v>1888</v>
      </c>
      <c r="H3339" s="5">
        <v>0</v>
      </c>
      <c r="I3339" s="6">
        <v>710000000</v>
      </c>
      <c r="J3339" s="4" t="s">
        <v>1931</v>
      </c>
      <c r="K3339" s="4" t="s">
        <v>5297</v>
      </c>
      <c r="L3339" s="4" t="s">
        <v>1889</v>
      </c>
      <c r="M3339" s="8" t="s">
        <v>3195</v>
      </c>
      <c r="N3339" s="3" t="s">
        <v>1890</v>
      </c>
      <c r="O3339" s="8" t="s">
        <v>1935</v>
      </c>
      <c r="P3339" s="60">
        <v>166</v>
      </c>
      <c r="Q3339" s="3" t="s">
        <v>3324</v>
      </c>
      <c r="R3339" s="69">
        <v>10</v>
      </c>
      <c r="S3339" s="69">
        <v>149.66</v>
      </c>
      <c r="T3339" s="10">
        <v>0</v>
      </c>
      <c r="U3339" s="10">
        <f t="shared" si="2071"/>
        <v>0</v>
      </c>
      <c r="V3339" s="7"/>
      <c r="W3339" s="1">
        <v>2015</v>
      </c>
      <c r="X3339" s="62">
        <v>7.11</v>
      </c>
    </row>
    <row r="3340" spans="1:24" s="13" customFormat="1" ht="76.5" customHeight="1" outlineLevel="1" x14ac:dyDescent="0.2">
      <c r="A3340" s="1" t="s">
        <v>8093</v>
      </c>
      <c r="B3340" s="2" t="s">
        <v>5277</v>
      </c>
      <c r="C3340" s="2" t="s">
        <v>6828</v>
      </c>
      <c r="D3340" s="2" t="s">
        <v>5480</v>
      </c>
      <c r="E3340" s="2" t="s">
        <v>6829</v>
      </c>
      <c r="F3340" s="2"/>
      <c r="G3340" s="3" t="s">
        <v>3190</v>
      </c>
      <c r="H3340" s="5">
        <v>0</v>
      </c>
      <c r="I3340" s="6">
        <v>710000000</v>
      </c>
      <c r="J3340" s="4" t="s">
        <v>1931</v>
      </c>
      <c r="K3340" s="4" t="s">
        <v>756</v>
      </c>
      <c r="L3340" s="4" t="s">
        <v>1889</v>
      </c>
      <c r="M3340" s="8" t="s">
        <v>3195</v>
      </c>
      <c r="N3340" s="3" t="s">
        <v>1890</v>
      </c>
      <c r="O3340" s="8" t="s">
        <v>1935</v>
      </c>
      <c r="P3340" s="60">
        <v>166</v>
      </c>
      <c r="Q3340" s="3" t="s">
        <v>3324</v>
      </c>
      <c r="R3340" s="69">
        <v>10</v>
      </c>
      <c r="S3340" s="69">
        <v>149.66</v>
      </c>
      <c r="T3340" s="10">
        <f t="shared" ref="T3340" si="2145">S3340*R3340</f>
        <v>1496.6</v>
      </c>
      <c r="U3340" s="10">
        <f t="shared" ref="U3340" si="2146">T3340*1.12</f>
        <v>1676.192</v>
      </c>
      <c r="V3340" s="7"/>
      <c r="W3340" s="1">
        <v>2015</v>
      </c>
      <c r="X3340" s="62"/>
    </row>
    <row r="3341" spans="1:24" s="13" customFormat="1" ht="76.5" customHeight="1" outlineLevel="1" x14ac:dyDescent="0.2">
      <c r="A3341" s="1" t="s">
        <v>6885</v>
      </c>
      <c r="B3341" s="2" t="s">
        <v>5277</v>
      </c>
      <c r="C3341" s="2" t="s">
        <v>6830</v>
      </c>
      <c r="D3341" s="2" t="s">
        <v>5480</v>
      </c>
      <c r="E3341" s="2" t="s">
        <v>6831</v>
      </c>
      <c r="F3341" s="2"/>
      <c r="G3341" s="4" t="s">
        <v>1888</v>
      </c>
      <c r="H3341" s="5">
        <v>0</v>
      </c>
      <c r="I3341" s="6">
        <v>710000000</v>
      </c>
      <c r="J3341" s="4" t="s">
        <v>1931</v>
      </c>
      <c r="K3341" s="4" t="s">
        <v>5297</v>
      </c>
      <c r="L3341" s="4" t="s">
        <v>1889</v>
      </c>
      <c r="M3341" s="8" t="s">
        <v>3195</v>
      </c>
      <c r="N3341" s="3" t="s">
        <v>1890</v>
      </c>
      <c r="O3341" s="8" t="s">
        <v>1935</v>
      </c>
      <c r="P3341" s="60">
        <v>166</v>
      </c>
      <c r="Q3341" s="3" t="s">
        <v>3324</v>
      </c>
      <c r="R3341" s="69">
        <v>10</v>
      </c>
      <c r="S3341" s="69">
        <v>149.66</v>
      </c>
      <c r="T3341" s="10">
        <v>0</v>
      </c>
      <c r="U3341" s="10">
        <f t="shared" si="2071"/>
        <v>0</v>
      </c>
      <c r="V3341" s="7"/>
      <c r="W3341" s="1">
        <v>2015</v>
      </c>
      <c r="X3341" s="62">
        <v>7.11</v>
      </c>
    </row>
    <row r="3342" spans="1:24" s="13" customFormat="1" ht="76.5" customHeight="1" outlineLevel="1" x14ac:dyDescent="0.2">
      <c r="A3342" s="1" t="s">
        <v>8094</v>
      </c>
      <c r="B3342" s="2" t="s">
        <v>5277</v>
      </c>
      <c r="C3342" s="2" t="s">
        <v>6830</v>
      </c>
      <c r="D3342" s="2" t="s">
        <v>5480</v>
      </c>
      <c r="E3342" s="2" t="s">
        <v>6831</v>
      </c>
      <c r="F3342" s="2"/>
      <c r="G3342" s="3" t="s">
        <v>3190</v>
      </c>
      <c r="H3342" s="5">
        <v>0</v>
      </c>
      <c r="I3342" s="6">
        <v>710000000</v>
      </c>
      <c r="J3342" s="4" t="s">
        <v>1931</v>
      </c>
      <c r="K3342" s="4" t="s">
        <v>756</v>
      </c>
      <c r="L3342" s="4" t="s">
        <v>1889</v>
      </c>
      <c r="M3342" s="8" t="s">
        <v>3195</v>
      </c>
      <c r="N3342" s="3" t="s">
        <v>1890</v>
      </c>
      <c r="O3342" s="8" t="s">
        <v>1935</v>
      </c>
      <c r="P3342" s="60">
        <v>166</v>
      </c>
      <c r="Q3342" s="3" t="s">
        <v>3324</v>
      </c>
      <c r="R3342" s="69">
        <v>10</v>
      </c>
      <c r="S3342" s="69">
        <v>149.66</v>
      </c>
      <c r="T3342" s="10">
        <f t="shared" ref="T3342" si="2147">S3342*R3342</f>
        <v>1496.6</v>
      </c>
      <c r="U3342" s="10">
        <f t="shared" ref="U3342" si="2148">T3342*1.12</f>
        <v>1676.192</v>
      </c>
      <c r="V3342" s="7"/>
      <c r="W3342" s="1">
        <v>2015</v>
      </c>
      <c r="X3342" s="62"/>
    </row>
    <row r="3343" spans="1:24" s="13" customFormat="1" ht="76.5" customHeight="1" outlineLevel="1" x14ac:dyDescent="0.2">
      <c r="A3343" s="1" t="s">
        <v>6886</v>
      </c>
      <c r="B3343" s="2" t="s">
        <v>5277</v>
      </c>
      <c r="C3343" s="2" t="s">
        <v>6832</v>
      </c>
      <c r="D3343" s="2" t="s">
        <v>5480</v>
      </c>
      <c r="E3343" s="2" t="s">
        <v>6833</v>
      </c>
      <c r="F3343" s="2"/>
      <c r="G3343" s="4" t="s">
        <v>1888</v>
      </c>
      <c r="H3343" s="5">
        <v>0</v>
      </c>
      <c r="I3343" s="6">
        <v>710000000</v>
      </c>
      <c r="J3343" s="4" t="s">
        <v>1931</v>
      </c>
      <c r="K3343" s="4" t="s">
        <v>5297</v>
      </c>
      <c r="L3343" s="4" t="s">
        <v>1889</v>
      </c>
      <c r="M3343" s="8" t="s">
        <v>3195</v>
      </c>
      <c r="N3343" s="3" t="s">
        <v>1890</v>
      </c>
      <c r="O3343" s="8" t="s">
        <v>1935</v>
      </c>
      <c r="P3343" s="60">
        <v>166</v>
      </c>
      <c r="Q3343" s="3" t="s">
        <v>3324</v>
      </c>
      <c r="R3343" s="69">
        <v>10</v>
      </c>
      <c r="S3343" s="69">
        <v>149.66</v>
      </c>
      <c r="T3343" s="10">
        <v>0</v>
      </c>
      <c r="U3343" s="10">
        <f t="shared" si="2071"/>
        <v>0</v>
      </c>
      <c r="V3343" s="7"/>
      <c r="W3343" s="1">
        <v>2015</v>
      </c>
      <c r="X3343" s="62">
        <v>7.11</v>
      </c>
    </row>
    <row r="3344" spans="1:24" s="13" customFormat="1" ht="76.5" customHeight="1" outlineLevel="1" x14ac:dyDescent="0.2">
      <c r="A3344" s="1" t="s">
        <v>8095</v>
      </c>
      <c r="B3344" s="2" t="s">
        <v>5277</v>
      </c>
      <c r="C3344" s="2" t="s">
        <v>6832</v>
      </c>
      <c r="D3344" s="2" t="s">
        <v>5480</v>
      </c>
      <c r="E3344" s="2" t="s">
        <v>6833</v>
      </c>
      <c r="F3344" s="2"/>
      <c r="G3344" s="3" t="s">
        <v>3190</v>
      </c>
      <c r="H3344" s="5">
        <v>0</v>
      </c>
      <c r="I3344" s="6">
        <v>710000000</v>
      </c>
      <c r="J3344" s="4" t="s">
        <v>1931</v>
      </c>
      <c r="K3344" s="4" t="s">
        <v>756</v>
      </c>
      <c r="L3344" s="4" t="s">
        <v>1889</v>
      </c>
      <c r="M3344" s="8" t="s">
        <v>3195</v>
      </c>
      <c r="N3344" s="3" t="s">
        <v>1890</v>
      </c>
      <c r="O3344" s="8" t="s">
        <v>1935</v>
      </c>
      <c r="P3344" s="60">
        <v>166</v>
      </c>
      <c r="Q3344" s="3" t="s">
        <v>3324</v>
      </c>
      <c r="R3344" s="69">
        <v>10</v>
      </c>
      <c r="S3344" s="69">
        <v>149.66</v>
      </c>
      <c r="T3344" s="10">
        <f t="shared" ref="T3344" si="2149">S3344*R3344</f>
        <v>1496.6</v>
      </c>
      <c r="U3344" s="10">
        <f t="shared" ref="U3344" si="2150">T3344*1.12</f>
        <v>1676.192</v>
      </c>
      <c r="V3344" s="7"/>
      <c r="W3344" s="1">
        <v>2015</v>
      </c>
      <c r="X3344" s="62"/>
    </row>
    <row r="3345" spans="1:24" s="13" customFormat="1" ht="76.5" customHeight="1" outlineLevel="1" x14ac:dyDescent="0.2">
      <c r="A3345" s="1" t="s">
        <v>6887</v>
      </c>
      <c r="B3345" s="2" t="s">
        <v>5277</v>
      </c>
      <c r="C3345" s="2" t="s">
        <v>6834</v>
      </c>
      <c r="D3345" s="2" t="s">
        <v>5480</v>
      </c>
      <c r="E3345" s="2" t="s">
        <v>6835</v>
      </c>
      <c r="F3345" s="2"/>
      <c r="G3345" s="4" t="s">
        <v>1888</v>
      </c>
      <c r="H3345" s="5">
        <v>0</v>
      </c>
      <c r="I3345" s="6">
        <v>710000000</v>
      </c>
      <c r="J3345" s="4" t="s">
        <v>1931</v>
      </c>
      <c r="K3345" s="4" t="s">
        <v>5297</v>
      </c>
      <c r="L3345" s="4" t="s">
        <v>1889</v>
      </c>
      <c r="M3345" s="8" t="s">
        <v>3195</v>
      </c>
      <c r="N3345" s="3" t="s">
        <v>1890</v>
      </c>
      <c r="O3345" s="8" t="s">
        <v>1935</v>
      </c>
      <c r="P3345" s="60">
        <v>166</v>
      </c>
      <c r="Q3345" s="3" t="s">
        <v>3324</v>
      </c>
      <c r="R3345" s="69">
        <v>10</v>
      </c>
      <c r="S3345" s="69">
        <v>149.66</v>
      </c>
      <c r="T3345" s="10">
        <v>0</v>
      </c>
      <c r="U3345" s="10">
        <f t="shared" si="2071"/>
        <v>0</v>
      </c>
      <c r="V3345" s="7"/>
      <c r="W3345" s="1">
        <v>2015</v>
      </c>
      <c r="X3345" s="62">
        <v>7.11</v>
      </c>
    </row>
    <row r="3346" spans="1:24" s="13" customFormat="1" ht="76.5" customHeight="1" outlineLevel="1" x14ac:dyDescent="0.2">
      <c r="A3346" s="1" t="s">
        <v>8096</v>
      </c>
      <c r="B3346" s="2" t="s">
        <v>5277</v>
      </c>
      <c r="C3346" s="2" t="s">
        <v>6834</v>
      </c>
      <c r="D3346" s="2" t="s">
        <v>5480</v>
      </c>
      <c r="E3346" s="2" t="s">
        <v>6835</v>
      </c>
      <c r="F3346" s="2"/>
      <c r="G3346" s="3" t="s">
        <v>3190</v>
      </c>
      <c r="H3346" s="5">
        <v>0</v>
      </c>
      <c r="I3346" s="6">
        <v>710000000</v>
      </c>
      <c r="J3346" s="4" t="s">
        <v>1931</v>
      </c>
      <c r="K3346" s="4" t="s">
        <v>756</v>
      </c>
      <c r="L3346" s="4" t="s">
        <v>1889</v>
      </c>
      <c r="M3346" s="8" t="s">
        <v>3195</v>
      </c>
      <c r="N3346" s="3" t="s">
        <v>1890</v>
      </c>
      <c r="O3346" s="8" t="s">
        <v>1935</v>
      </c>
      <c r="P3346" s="60">
        <v>166</v>
      </c>
      <c r="Q3346" s="3" t="s">
        <v>3324</v>
      </c>
      <c r="R3346" s="69">
        <v>10</v>
      </c>
      <c r="S3346" s="69">
        <v>149.66</v>
      </c>
      <c r="T3346" s="10">
        <f t="shared" ref="T3346" si="2151">S3346*R3346</f>
        <v>1496.6</v>
      </c>
      <c r="U3346" s="10">
        <f t="shared" ref="U3346" si="2152">T3346*1.12</f>
        <v>1676.192</v>
      </c>
      <c r="V3346" s="7"/>
      <c r="W3346" s="1">
        <v>2015</v>
      </c>
      <c r="X3346" s="62"/>
    </row>
    <row r="3347" spans="1:24" s="13" customFormat="1" ht="76.5" customHeight="1" outlineLevel="1" x14ac:dyDescent="0.2">
      <c r="A3347" s="1" t="s">
        <v>6888</v>
      </c>
      <c r="B3347" s="2" t="s">
        <v>5277</v>
      </c>
      <c r="C3347" s="2" t="s">
        <v>6836</v>
      </c>
      <c r="D3347" s="2" t="s">
        <v>5480</v>
      </c>
      <c r="E3347" s="2" t="s">
        <v>6837</v>
      </c>
      <c r="F3347" s="2"/>
      <c r="G3347" s="4" t="s">
        <v>1888</v>
      </c>
      <c r="H3347" s="5">
        <v>0</v>
      </c>
      <c r="I3347" s="6">
        <v>710000000</v>
      </c>
      <c r="J3347" s="4" t="s">
        <v>1931</v>
      </c>
      <c r="K3347" s="4" t="s">
        <v>5297</v>
      </c>
      <c r="L3347" s="4" t="s">
        <v>1889</v>
      </c>
      <c r="M3347" s="8" t="s">
        <v>3195</v>
      </c>
      <c r="N3347" s="3" t="s">
        <v>1890</v>
      </c>
      <c r="O3347" s="8" t="s">
        <v>1935</v>
      </c>
      <c r="P3347" s="60">
        <v>166</v>
      </c>
      <c r="Q3347" s="3" t="s">
        <v>3324</v>
      </c>
      <c r="R3347" s="69">
        <v>10</v>
      </c>
      <c r="S3347" s="69">
        <v>149.66</v>
      </c>
      <c r="T3347" s="10">
        <v>0</v>
      </c>
      <c r="U3347" s="10">
        <f t="shared" si="2071"/>
        <v>0</v>
      </c>
      <c r="V3347" s="7"/>
      <c r="W3347" s="1">
        <v>2015</v>
      </c>
      <c r="X3347" s="62">
        <v>7.11</v>
      </c>
    </row>
    <row r="3348" spans="1:24" s="13" customFormat="1" ht="76.5" customHeight="1" outlineLevel="1" x14ac:dyDescent="0.2">
      <c r="A3348" s="1" t="s">
        <v>8097</v>
      </c>
      <c r="B3348" s="2" t="s">
        <v>5277</v>
      </c>
      <c r="C3348" s="2" t="s">
        <v>6836</v>
      </c>
      <c r="D3348" s="2" t="s">
        <v>5480</v>
      </c>
      <c r="E3348" s="2" t="s">
        <v>6837</v>
      </c>
      <c r="F3348" s="2"/>
      <c r="G3348" s="3" t="s">
        <v>3190</v>
      </c>
      <c r="H3348" s="5">
        <v>0</v>
      </c>
      <c r="I3348" s="6">
        <v>710000000</v>
      </c>
      <c r="J3348" s="4" t="s">
        <v>1931</v>
      </c>
      <c r="K3348" s="4" t="s">
        <v>756</v>
      </c>
      <c r="L3348" s="4" t="s">
        <v>1889</v>
      </c>
      <c r="M3348" s="8" t="s">
        <v>3195</v>
      </c>
      <c r="N3348" s="3" t="s">
        <v>1890</v>
      </c>
      <c r="O3348" s="8" t="s">
        <v>1935</v>
      </c>
      <c r="P3348" s="60">
        <v>166</v>
      </c>
      <c r="Q3348" s="3" t="s">
        <v>3324</v>
      </c>
      <c r="R3348" s="69">
        <v>10</v>
      </c>
      <c r="S3348" s="69">
        <v>149.66</v>
      </c>
      <c r="T3348" s="10">
        <f t="shared" ref="T3348" si="2153">S3348*R3348</f>
        <v>1496.6</v>
      </c>
      <c r="U3348" s="10">
        <f t="shared" ref="U3348" si="2154">T3348*1.12</f>
        <v>1676.192</v>
      </c>
      <c r="V3348" s="7"/>
      <c r="W3348" s="1">
        <v>2015</v>
      </c>
      <c r="X3348" s="62"/>
    </row>
    <row r="3349" spans="1:24" s="13" customFormat="1" ht="76.5" customHeight="1" outlineLevel="1" x14ac:dyDescent="0.2">
      <c r="A3349" s="1" t="s">
        <v>6889</v>
      </c>
      <c r="B3349" s="2" t="s">
        <v>5277</v>
      </c>
      <c r="C3349" s="2" t="s">
        <v>5137</v>
      </c>
      <c r="D3349" s="2" t="s">
        <v>3328</v>
      </c>
      <c r="E3349" s="2" t="s">
        <v>5473</v>
      </c>
      <c r="F3349" s="2" t="s">
        <v>6838</v>
      </c>
      <c r="G3349" s="4" t="s">
        <v>1888</v>
      </c>
      <c r="H3349" s="5">
        <v>0</v>
      </c>
      <c r="I3349" s="6">
        <v>710000000</v>
      </c>
      <c r="J3349" s="4" t="s">
        <v>1931</v>
      </c>
      <c r="K3349" s="4" t="s">
        <v>5297</v>
      </c>
      <c r="L3349" s="4" t="s">
        <v>1889</v>
      </c>
      <c r="M3349" s="8" t="s">
        <v>3195</v>
      </c>
      <c r="N3349" s="3" t="s">
        <v>1890</v>
      </c>
      <c r="O3349" s="8" t="s">
        <v>1935</v>
      </c>
      <c r="P3349" s="8">
        <v>796</v>
      </c>
      <c r="Q3349" s="8" t="s">
        <v>3196</v>
      </c>
      <c r="R3349" s="69">
        <v>3800</v>
      </c>
      <c r="S3349" s="69">
        <v>6.74</v>
      </c>
      <c r="T3349" s="10">
        <v>0</v>
      </c>
      <c r="U3349" s="10">
        <f t="shared" si="2071"/>
        <v>0</v>
      </c>
      <c r="V3349" s="7"/>
      <c r="W3349" s="1">
        <v>2015</v>
      </c>
      <c r="X3349" s="62">
        <v>7.11</v>
      </c>
    </row>
    <row r="3350" spans="1:24" s="13" customFormat="1" ht="76.5" customHeight="1" outlineLevel="1" x14ac:dyDescent="0.2">
      <c r="A3350" s="1" t="s">
        <v>8098</v>
      </c>
      <c r="B3350" s="2" t="s">
        <v>5277</v>
      </c>
      <c r="C3350" s="2" t="s">
        <v>5137</v>
      </c>
      <c r="D3350" s="2" t="s">
        <v>3328</v>
      </c>
      <c r="E3350" s="2" t="s">
        <v>5473</v>
      </c>
      <c r="F3350" s="2" t="s">
        <v>6838</v>
      </c>
      <c r="G3350" s="3" t="s">
        <v>3190</v>
      </c>
      <c r="H3350" s="5">
        <v>0</v>
      </c>
      <c r="I3350" s="6">
        <v>710000000</v>
      </c>
      <c r="J3350" s="4" t="s">
        <v>1931</v>
      </c>
      <c r="K3350" s="4" t="s">
        <v>756</v>
      </c>
      <c r="L3350" s="4" t="s">
        <v>1889</v>
      </c>
      <c r="M3350" s="8" t="s">
        <v>3195</v>
      </c>
      <c r="N3350" s="3" t="s">
        <v>1890</v>
      </c>
      <c r="O3350" s="8" t="s">
        <v>1935</v>
      </c>
      <c r="P3350" s="8">
        <v>796</v>
      </c>
      <c r="Q3350" s="8" t="s">
        <v>3196</v>
      </c>
      <c r="R3350" s="69">
        <v>3800</v>
      </c>
      <c r="S3350" s="69">
        <v>6.74</v>
      </c>
      <c r="T3350" s="10">
        <v>0</v>
      </c>
      <c r="U3350" s="10">
        <f t="shared" ref="U3350" si="2155">T3350*1.12</f>
        <v>0</v>
      </c>
      <c r="V3350" s="7"/>
      <c r="W3350" s="1">
        <v>2015</v>
      </c>
      <c r="X3350" s="62" t="s">
        <v>7518</v>
      </c>
    </row>
    <row r="3351" spans="1:24" s="13" customFormat="1" ht="76.5" customHeight="1" outlineLevel="1" x14ac:dyDescent="0.2">
      <c r="A3351" s="1" t="s">
        <v>9421</v>
      </c>
      <c r="B3351" s="2" t="s">
        <v>5277</v>
      </c>
      <c r="C3351" s="2" t="s">
        <v>5137</v>
      </c>
      <c r="D3351" s="2" t="s">
        <v>3328</v>
      </c>
      <c r="E3351" s="2" t="s">
        <v>5473</v>
      </c>
      <c r="F3351" s="2" t="s">
        <v>6838</v>
      </c>
      <c r="G3351" s="3" t="s">
        <v>3190</v>
      </c>
      <c r="H3351" s="5">
        <v>0</v>
      </c>
      <c r="I3351" s="6">
        <v>710000000</v>
      </c>
      <c r="J3351" s="4" t="s">
        <v>1931</v>
      </c>
      <c r="K3351" s="4" t="s">
        <v>9276</v>
      </c>
      <c r="L3351" s="4" t="s">
        <v>1889</v>
      </c>
      <c r="M3351" s="8" t="s">
        <v>3195</v>
      </c>
      <c r="N3351" s="3" t="s">
        <v>1890</v>
      </c>
      <c r="O3351" s="8" t="s">
        <v>1935</v>
      </c>
      <c r="P3351" s="8">
        <v>796</v>
      </c>
      <c r="Q3351" s="8" t="s">
        <v>3196</v>
      </c>
      <c r="R3351" s="69">
        <f>3800+1000</f>
        <v>4800</v>
      </c>
      <c r="S3351" s="69">
        <v>6.74</v>
      </c>
      <c r="T3351" s="10">
        <f t="shared" ref="T3351" si="2156">S3351*R3351</f>
        <v>32352</v>
      </c>
      <c r="U3351" s="10">
        <f t="shared" ref="U3351" si="2157">T3351*1.12</f>
        <v>36234.240000000005</v>
      </c>
      <c r="V3351" s="7"/>
      <c r="W3351" s="1">
        <v>2015</v>
      </c>
      <c r="X3351" s="62"/>
    </row>
    <row r="3352" spans="1:24" s="13" customFormat="1" ht="76.5" customHeight="1" outlineLevel="1" x14ac:dyDescent="0.2">
      <c r="A3352" s="1" t="s">
        <v>6890</v>
      </c>
      <c r="B3352" s="2" t="s">
        <v>5277</v>
      </c>
      <c r="C3352" s="2" t="s">
        <v>5137</v>
      </c>
      <c r="D3352" s="2" t="s">
        <v>3328</v>
      </c>
      <c r="E3352" s="2" t="s">
        <v>5473</v>
      </c>
      <c r="F3352" s="2" t="s">
        <v>6839</v>
      </c>
      <c r="G3352" s="4" t="s">
        <v>1888</v>
      </c>
      <c r="H3352" s="5">
        <v>0</v>
      </c>
      <c r="I3352" s="6">
        <v>710000000</v>
      </c>
      <c r="J3352" s="4" t="s">
        <v>1931</v>
      </c>
      <c r="K3352" s="4" t="s">
        <v>5297</v>
      </c>
      <c r="L3352" s="4" t="s">
        <v>1889</v>
      </c>
      <c r="M3352" s="8" t="s">
        <v>3195</v>
      </c>
      <c r="N3352" s="3" t="s">
        <v>1890</v>
      </c>
      <c r="O3352" s="8" t="s">
        <v>1935</v>
      </c>
      <c r="P3352" s="8">
        <v>796</v>
      </c>
      <c r="Q3352" s="8" t="s">
        <v>3196</v>
      </c>
      <c r="R3352" s="69">
        <v>3800</v>
      </c>
      <c r="S3352" s="69">
        <v>9.35</v>
      </c>
      <c r="T3352" s="10">
        <v>0</v>
      </c>
      <c r="U3352" s="10">
        <f t="shared" si="2071"/>
        <v>0</v>
      </c>
      <c r="V3352" s="7"/>
      <c r="W3352" s="1">
        <v>2015</v>
      </c>
      <c r="X3352" s="62">
        <v>7.11</v>
      </c>
    </row>
    <row r="3353" spans="1:24" s="13" customFormat="1" ht="76.5" customHeight="1" outlineLevel="1" x14ac:dyDescent="0.2">
      <c r="A3353" s="1" t="s">
        <v>8099</v>
      </c>
      <c r="B3353" s="2" t="s">
        <v>5277</v>
      </c>
      <c r="C3353" s="2" t="s">
        <v>5137</v>
      </c>
      <c r="D3353" s="2" t="s">
        <v>3328</v>
      </c>
      <c r="E3353" s="2" t="s">
        <v>5473</v>
      </c>
      <c r="F3353" s="2" t="s">
        <v>6839</v>
      </c>
      <c r="G3353" s="3" t="s">
        <v>3190</v>
      </c>
      <c r="H3353" s="5">
        <v>0</v>
      </c>
      <c r="I3353" s="6">
        <v>710000000</v>
      </c>
      <c r="J3353" s="4" t="s">
        <v>1931</v>
      </c>
      <c r="K3353" s="4" t="s">
        <v>756</v>
      </c>
      <c r="L3353" s="4" t="s">
        <v>1889</v>
      </c>
      <c r="M3353" s="8" t="s">
        <v>3195</v>
      </c>
      <c r="N3353" s="3" t="s">
        <v>1890</v>
      </c>
      <c r="O3353" s="8" t="s">
        <v>1935</v>
      </c>
      <c r="P3353" s="8">
        <v>796</v>
      </c>
      <c r="Q3353" s="8" t="s">
        <v>3196</v>
      </c>
      <c r="R3353" s="69">
        <v>3800</v>
      </c>
      <c r="S3353" s="69">
        <v>9.35</v>
      </c>
      <c r="T3353" s="10">
        <f t="shared" ref="T3353" si="2158">S3353*R3353</f>
        <v>35530</v>
      </c>
      <c r="U3353" s="10">
        <f t="shared" ref="U3353" si="2159">T3353*1.12</f>
        <v>39793.600000000006</v>
      </c>
      <c r="V3353" s="7"/>
      <c r="W3353" s="1">
        <v>2015</v>
      </c>
      <c r="X3353" s="62"/>
    </row>
    <row r="3354" spans="1:24" s="13" customFormat="1" ht="76.5" customHeight="1" outlineLevel="1" x14ac:dyDescent="0.2">
      <c r="A3354" s="1" t="s">
        <v>6891</v>
      </c>
      <c r="B3354" s="2" t="s">
        <v>5277</v>
      </c>
      <c r="C3354" s="2" t="s">
        <v>5137</v>
      </c>
      <c r="D3354" s="2" t="s">
        <v>3328</v>
      </c>
      <c r="E3354" s="2" t="s">
        <v>5473</v>
      </c>
      <c r="F3354" s="2" t="s">
        <v>6840</v>
      </c>
      <c r="G3354" s="4" t="s">
        <v>1888</v>
      </c>
      <c r="H3354" s="5">
        <v>0</v>
      </c>
      <c r="I3354" s="6">
        <v>710000000</v>
      </c>
      <c r="J3354" s="4" t="s">
        <v>1931</v>
      </c>
      <c r="K3354" s="4" t="s">
        <v>5297</v>
      </c>
      <c r="L3354" s="4" t="s">
        <v>1889</v>
      </c>
      <c r="M3354" s="8" t="s">
        <v>3195</v>
      </c>
      <c r="N3354" s="3" t="s">
        <v>1890</v>
      </c>
      <c r="O3354" s="8" t="s">
        <v>1935</v>
      </c>
      <c r="P3354" s="8">
        <v>796</v>
      </c>
      <c r="Q3354" s="8" t="s">
        <v>3196</v>
      </c>
      <c r="R3354" s="69">
        <v>1500</v>
      </c>
      <c r="S3354" s="69">
        <v>13.39</v>
      </c>
      <c r="T3354" s="10">
        <v>0</v>
      </c>
      <c r="U3354" s="10">
        <f t="shared" si="2071"/>
        <v>0</v>
      </c>
      <c r="V3354" s="7"/>
      <c r="W3354" s="1">
        <v>2015</v>
      </c>
      <c r="X3354" s="62">
        <v>7.11</v>
      </c>
    </row>
    <row r="3355" spans="1:24" s="13" customFormat="1" ht="76.5" customHeight="1" outlineLevel="1" x14ac:dyDescent="0.2">
      <c r="A3355" s="1" t="s">
        <v>8100</v>
      </c>
      <c r="B3355" s="2" t="s">
        <v>5277</v>
      </c>
      <c r="C3355" s="2" t="s">
        <v>5137</v>
      </c>
      <c r="D3355" s="2" t="s">
        <v>3328</v>
      </c>
      <c r="E3355" s="2" t="s">
        <v>5473</v>
      </c>
      <c r="F3355" s="2" t="s">
        <v>6840</v>
      </c>
      <c r="G3355" s="3" t="s">
        <v>3190</v>
      </c>
      <c r="H3355" s="5">
        <v>0</v>
      </c>
      <c r="I3355" s="6">
        <v>710000000</v>
      </c>
      <c r="J3355" s="4" t="s">
        <v>1931</v>
      </c>
      <c r="K3355" s="4" t="s">
        <v>756</v>
      </c>
      <c r="L3355" s="4" t="s">
        <v>1889</v>
      </c>
      <c r="M3355" s="8" t="s">
        <v>3195</v>
      </c>
      <c r="N3355" s="3" t="s">
        <v>1890</v>
      </c>
      <c r="O3355" s="8" t="s">
        <v>1935</v>
      </c>
      <c r="P3355" s="8">
        <v>796</v>
      </c>
      <c r="Q3355" s="8" t="s">
        <v>3196</v>
      </c>
      <c r="R3355" s="69">
        <v>1500</v>
      </c>
      <c r="S3355" s="69">
        <v>13.39</v>
      </c>
      <c r="T3355" s="10">
        <f t="shared" ref="T3355" si="2160">S3355*R3355</f>
        <v>20085</v>
      </c>
      <c r="U3355" s="10">
        <f t="shared" ref="U3355" si="2161">T3355*1.12</f>
        <v>22495.200000000001</v>
      </c>
      <c r="V3355" s="7"/>
      <c r="W3355" s="1">
        <v>2015</v>
      </c>
      <c r="X3355" s="62"/>
    </row>
    <row r="3356" spans="1:24" s="13" customFormat="1" ht="76.5" customHeight="1" outlineLevel="1" x14ac:dyDescent="0.2">
      <c r="A3356" s="1" t="s">
        <v>6892</v>
      </c>
      <c r="B3356" s="2" t="s">
        <v>5277</v>
      </c>
      <c r="C3356" s="2" t="s">
        <v>6841</v>
      </c>
      <c r="D3356" s="2" t="s">
        <v>3446</v>
      </c>
      <c r="E3356" s="2" t="s">
        <v>6842</v>
      </c>
      <c r="F3356" s="2" t="s">
        <v>6843</v>
      </c>
      <c r="G3356" s="4" t="s">
        <v>1888</v>
      </c>
      <c r="H3356" s="5">
        <v>0</v>
      </c>
      <c r="I3356" s="6">
        <v>710000000</v>
      </c>
      <c r="J3356" s="4" t="s">
        <v>1931</v>
      </c>
      <c r="K3356" s="4" t="s">
        <v>5297</v>
      </c>
      <c r="L3356" s="4" t="s">
        <v>1889</v>
      </c>
      <c r="M3356" s="8" t="s">
        <v>3195</v>
      </c>
      <c r="N3356" s="3" t="s">
        <v>1890</v>
      </c>
      <c r="O3356" s="8" t="s">
        <v>1935</v>
      </c>
      <c r="P3356" s="8">
        <v>797</v>
      </c>
      <c r="Q3356" s="8" t="s">
        <v>3196</v>
      </c>
      <c r="R3356" s="69">
        <v>300</v>
      </c>
      <c r="S3356" s="69">
        <v>3.57</v>
      </c>
      <c r="T3356" s="10">
        <v>0</v>
      </c>
      <c r="U3356" s="10">
        <f t="shared" si="2071"/>
        <v>0</v>
      </c>
      <c r="V3356" s="7"/>
      <c r="W3356" s="1">
        <v>2015</v>
      </c>
      <c r="X3356" s="62">
        <v>7.11</v>
      </c>
    </row>
    <row r="3357" spans="1:24" s="13" customFormat="1" ht="76.5" customHeight="1" outlineLevel="1" x14ac:dyDescent="0.2">
      <c r="A3357" s="1" t="s">
        <v>8101</v>
      </c>
      <c r="B3357" s="2" t="s">
        <v>5277</v>
      </c>
      <c r="C3357" s="2" t="s">
        <v>6841</v>
      </c>
      <c r="D3357" s="2" t="s">
        <v>3446</v>
      </c>
      <c r="E3357" s="2" t="s">
        <v>6842</v>
      </c>
      <c r="F3357" s="2" t="s">
        <v>6843</v>
      </c>
      <c r="G3357" s="3" t="s">
        <v>3190</v>
      </c>
      <c r="H3357" s="5">
        <v>0</v>
      </c>
      <c r="I3357" s="6">
        <v>710000000</v>
      </c>
      <c r="J3357" s="4" t="s">
        <v>1931</v>
      </c>
      <c r="K3357" s="4" t="s">
        <v>756</v>
      </c>
      <c r="L3357" s="4" t="s">
        <v>1889</v>
      </c>
      <c r="M3357" s="8" t="s">
        <v>3195</v>
      </c>
      <c r="N3357" s="3" t="s">
        <v>1890</v>
      </c>
      <c r="O3357" s="8" t="s">
        <v>1935</v>
      </c>
      <c r="P3357" s="8">
        <v>797</v>
      </c>
      <c r="Q3357" s="8" t="s">
        <v>3196</v>
      </c>
      <c r="R3357" s="69">
        <v>300</v>
      </c>
      <c r="S3357" s="69">
        <v>3.57</v>
      </c>
      <c r="T3357" s="10">
        <f t="shared" ref="T3357" si="2162">S3357*R3357</f>
        <v>1071</v>
      </c>
      <c r="U3357" s="10">
        <f t="shared" ref="U3357" si="2163">T3357*1.12</f>
        <v>1199.5200000000002</v>
      </c>
      <c r="V3357" s="7"/>
      <c r="W3357" s="1">
        <v>2015</v>
      </c>
      <c r="X3357" s="62"/>
    </row>
    <row r="3358" spans="1:24" s="13" customFormat="1" ht="76.5" customHeight="1" outlineLevel="1" x14ac:dyDescent="0.2">
      <c r="A3358" s="1" t="s">
        <v>6893</v>
      </c>
      <c r="B3358" s="2" t="s">
        <v>5277</v>
      </c>
      <c r="C3358" s="2" t="s">
        <v>6841</v>
      </c>
      <c r="D3358" s="2" t="s">
        <v>3446</v>
      </c>
      <c r="E3358" s="2" t="s">
        <v>6842</v>
      </c>
      <c r="F3358" s="2" t="s">
        <v>6844</v>
      </c>
      <c r="G3358" s="4" t="s">
        <v>1888</v>
      </c>
      <c r="H3358" s="5">
        <v>0</v>
      </c>
      <c r="I3358" s="6">
        <v>710000000</v>
      </c>
      <c r="J3358" s="4" t="s">
        <v>1931</v>
      </c>
      <c r="K3358" s="4" t="s">
        <v>5297</v>
      </c>
      <c r="L3358" s="4" t="s">
        <v>1889</v>
      </c>
      <c r="M3358" s="8" t="s">
        <v>3195</v>
      </c>
      <c r="N3358" s="3" t="s">
        <v>1890</v>
      </c>
      <c r="O3358" s="8" t="s">
        <v>1935</v>
      </c>
      <c r="P3358" s="8">
        <v>798</v>
      </c>
      <c r="Q3358" s="8" t="s">
        <v>3196</v>
      </c>
      <c r="R3358" s="69">
        <v>300</v>
      </c>
      <c r="S3358" s="69">
        <v>3.57</v>
      </c>
      <c r="T3358" s="10">
        <v>0</v>
      </c>
      <c r="U3358" s="10">
        <v>0</v>
      </c>
      <c r="V3358" s="7"/>
      <c r="W3358" s="1">
        <v>2015</v>
      </c>
      <c r="X3358" s="62">
        <v>7.11</v>
      </c>
    </row>
    <row r="3359" spans="1:24" s="13" customFormat="1" ht="76.5" customHeight="1" outlineLevel="1" x14ac:dyDescent="0.2">
      <c r="A3359" s="1" t="s">
        <v>8102</v>
      </c>
      <c r="B3359" s="2" t="s">
        <v>5277</v>
      </c>
      <c r="C3359" s="2" t="s">
        <v>6841</v>
      </c>
      <c r="D3359" s="2" t="s">
        <v>3446</v>
      </c>
      <c r="E3359" s="2" t="s">
        <v>6842</v>
      </c>
      <c r="F3359" s="2" t="s">
        <v>6844</v>
      </c>
      <c r="G3359" s="3" t="s">
        <v>3190</v>
      </c>
      <c r="H3359" s="5">
        <v>0</v>
      </c>
      <c r="I3359" s="6">
        <v>710000000</v>
      </c>
      <c r="J3359" s="4" t="s">
        <v>1931</v>
      </c>
      <c r="K3359" s="4" t="s">
        <v>756</v>
      </c>
      <c r="L3359" s="4" t="s">
        <v>1889</v>
      </c>
      <c r="M3359" s="8" t="s">
        <v>3195</v>
      </c>
      <c r="N3359" s="3" t="s">
        <v>1890</v>
      </c>
      <c r="O3359" s="8" t="s">
        <v>1935</v>
      </c>
      <c r="P3359" s="8">
        <v>798</v>
      </c>
      <c r="Q3359" s="8" t="s">
        <v>3196</v>
      </c>
      <c r="R3359" s="69">
        <v>300</v>
      </c>
      <c r="S3359" s="69">
        <v>3.57</v>
      </c>
      <c r="T3359" s="10">
        <f t="shared" ref="T3359" si="2164">S3359*R3359</f>
        <v>1071</v>
      </c>
      <c r="U3359" s="10">
        <f t="shared" ref="U3359" si="2165">T3359*1.12</f>
        <v>1199.5200000000002</v>
      </c>
      <c r="V3359" s="7"/>
      <c r="W3359" s="1">
        <v>2015</v>
      </c>
      <c r="X3359" s="62"/>
    </row>
    <row r="3360" spans="1:24" s="13" customFormat="1" ht="76.5" customHeight="1" outlineLevel="1" x14ac:dyDescent="0.2">
      <c r="A3360" s="1" t="s">
        <v>6894</v>
      </c>
      <c r="B3360" s="2" t="s">
        <v>5277</v>
      </c>
      <c r="C3360" s="2" t="s">
        <v>6845</v>
      </c>
      <c r="D3360" s="2" t="s">
        <v>5471</v>
      </c>
      <c r="E3360" s="2" t="s">
        <v>6846</v>
      </c>
      <c r="F3360" s="2" t="s">
        <v>6847</v>
      </c>
      <c r="G3360" s="4" t="s">
        <v>1888</v>
      </c>
      <c r="H3360" s="5">
        <v>0</v>
      </c>
      <c r="I3360" s="6">
        <v>710000000</v>
      </c>
      <c r="J3360" s="4" t="s">
        <v>1931</v>
      </c>
      <c r="K3360" s="4" t="s">
        <v>5297</v>
      </c>
      <c r="L3360" s="4" t="s">
        <v>1889</v>
      </c>
      <c r="M3360" s="8" t="s">
        <v>3195</v>
      </c>
      <c r="N3360" s="3" t="s">
        <v>1890</v>
      </c>
      <c r="O3360" s="8" t="s">
        <v>1935</v>
      </c>
      <c r="P3360" s="60" t="s">
        <v>3334</v>
      </c>
      <c r="Q3360" s="3" t="s">
        <v>5477</v>
      </c>
      <c r="R3360" s="69">
        <v>5</v>
      </c>
      <c r="S3360" s="69">
        <v>1589.2</v>
      </c>
      <c r="T3360" s="10">
        <v>0</v>
      </c>
      <c r="U3360" s="10">
        <f t="shared" si="2071"/>
        <v>0</v>
      </c>
      <c r="V3360" s="7"/>
      <c r="W3360" s="1">
        <v>2015</v>
      </c>
      <c r="X3360" s="62">
        <v>7.11</v>
      </c>
    </row>
    <row r="3361" spans="1:24" s="13" customFormat="1" ht="76.5" customHeight="1" outlineLevel="1" x14ac:dyDescent="0.2">
      <c r="A3361" s="1" t="s">
        <v>8103</v>
      </c>
      <c r="B3361" s="2" t="s">
        <v>5277</v>
      </c>
      <c r="C3361" s="2" t="s">
        <v>6845</v>
      </c>
      <c r="D3361" s="2" t="s">
        <v>5471</v>
      </c>
      <c r="E3361" s="2" t="s">
        <v>6846</v>
      </c>
      <c r="F3361" s="2" t="s">
        <v>6847</v>
      </c>
      <c r="G3361" s="3" t="s">
        <v>3190</v>
      </c>
      <c r="H3361" s="5">
        <v>0</v>
      </c>
      <c r="I3361" s="6">
        <v>710000000</v>
      </c>
      <c r="J3361" s="4" t="s">
        <v>1931</v>
      </c>
      <c r="K3361" s="4" t="s">
        <v>756</v>
      </c>
      <c r="L3361" s="4" t="s">
        <v>1889</v>
      </c>
      <c r="M3361" s="8" t="s">
        <v>3195</v>
      </c>
      <c r="N3361" s="3" t="s">
        <v>1890</v>
      </c>
      <c r="O3361" s="8" t="s">
        <v>1935</v>
      </c>
      <c r="P3361" s="60" t="s">
        <v>3334</v>
      </c>
      <c r="Q3361" s="3" t="s">
        <v>5477</v>
      </c>
      <c r="R3361" s="69">
        <v>5</v>
      </c>
      <c r="S3361" s="69">
        <v>1589.2</v>
      </c>
      <c r="T3361" s="10">
        <f t="shared" ref="T3361" si="2166">S3361*R3361</f>
        <v>7946</v>
      </c>
      <c r="U3361" s="10">
        <f t="shared" ref="U3361" si="2167">T3361*1.12</f>
        <v>8899.52</v>
      </c>
      <c r="V3361" s="7"/>
      <c r="W3361" s="1">
        <v>2015</v>
      </c>
      <c r="X3361" s="62"/>
    </row>
    <row r="3362" spans="1:24" s="13" customFormat="1" ht="76.5" customHeight="1" outlineLevel="1" x14ac:dyDescent="0.2">
      <c r="A3362" s="1" t="s">
        <v>6895</v>
      </c>
      <c r="B3362" s="2" t="s">
        <v>5277</v>
      </c>
      <c r="C3362" s="2" t="s">
        <v>6845</v>
      </c>
      <c r="D3362" s="2" t="s">
        <v>5471</v>
      </c>
      <c r="E3362" s="2" t="s">
        <v>6846</v>
      </c>
      <c r="F3362" s="2" t="s">
        <v>6848</v>
      </c>
      <c r="G3362" s="4" t="s">
        <v>1888</v>
      </c>
      <c r="H3362" s="5">
        <v>0</v>
      </c>
      <c r="I3362" s="6">
        <v>710000000</v>
      </c>
      <c r="J3362" s="4" t="s">
        <v>1931</v>
      </c>
      <c r="K3362" s="4" t="s">
        <v>5297</v>
      </c>
      <c r="L3362" s="4" t="s">
        <v>1889</v>
      </c>
      <c r="M3362" s="8" t="s">
        <v>3195</v>
      </c>
      <c r="N3362" s="3" t="s">
        <v>1890</v>
      </c>
      <c r="O3362" s="8" t="s">
        <v>1935</v>
      </c>
      <c r="P3362" s="60" t="s">
        <v>3334</v>
      </c>
      <c r="Q3362" s="3" t="s">
        <v>5477</v>
      </c>
      <c r="R3362" s="69">
        <v>7</v>
      </c>
      <c r="S3362" s="69">
        <v>2009</v>
      </c>
      <c r="T3362" s="10">
        <v>0</v>
      </c>
      <c r="U3362" s="10">
        <f t="shared" si="2071"/>
        <v>0</v>
      </c>
      <c r="V3362" s="7"/>
      <c r="W3362" s="1">
        <v>2015</v>
      </c>
      <c r="X3362" s="62">
        <v>7.11</v>
      </c>
    </row>
    <row r="3363" spans="1:24" s="13" customFormat="1" ht="76.5" customHeight="1" outlineLevel="1" x14ac:dyDescent="0.2">
      <c r="A3363" s="1" t="s">
        <v>8104</v>
      </c>
      <c r="B3363" s="2" t="s">
        <v>5277</v>
      </c>
      <c r="C3363" s="2" t="s">
        <v>6845</v>
      </c>
      <c r="D3363" s="2" t="s">
        <v>5471</v>
      </c>
      <c r="E3363" s="2" t="s">
        <v>6846</v>
      </c>
      <c r="F3363" s="2" t="s">
        <v>6848</v>
      </c>
      <c r="G3363" s="3" t="s">
        <v>3190</v>
      </c>
      <c r="H3363" s="5">
        <v>0</v>
      </c>
      <c r="I3363" s="6">
        <v>710000000</v>
      </c>
      <c r="J3363" s="4" t="s">
        <v>1931</v>
      </c>
      <c r="K3363" s="4" t="s">
        <v>756</v>
      </c>
      <c r="L3363" s="4" t="s">
        <v>1889</v>
      </c>
      <c r="M3363" s="8" t="s">
        <v>3195</v>
      </c>
      <c r="N3363" s="3" t="s">
        <v>1890</v>
      </c>
      <c r="O3363" s="8" t="s">
        <v>1935</v>
      </c>
      <c r="P3363" s="60" t="s">
        <v>3334</v>
      </c>
      <c r="Q3363" s="3" t="s">
        <v>5477</v>
      </c>
      <c r="R3363" s="69">
        <v>7</v>
      </c>
      <c r="S3363" s="69">
        <v>2009</v>
      </c>
      <c r="T3363" s="10">
        <f t="shared" ref="T3363" si="2168">S3363*R3363</f>
        <v>14063</v>
      </c>
      <c r="U3363" s="10">
        <f t="shared" ref="U3363" si="2169">T3363*1.12</f>
        <v>15750.560000000001</v>
      </c>
      <c r="V3363" s="7"/>
      <c r="W3363" s="1">
        <v>2015</v>
      </c>
      <c r="X3363" s="62"/>
    </row>
    <row r="3364" spans="1:24" s="13" customFormat="1" ht="76.5" customHeight="1" outlineLevel="1" x14ac:dyDescent="0.2">
      <c r="A3364" s="1" t="s">
        <v>6896</v>
      </c>
      <c r="B3364" s="2" t="s">
        <v>5277</v>
      </c>
      <c r="C3364" s="2" t="s">
        <v>271</v>
      </c>
      <c r="D3364" s="2" t="s">
        <v>270</v>
      </c>
      <c r="E3364" s="2" t="s">
        <v>269</v>
      </c>
      <c r="F3364" s="2" t="s">
        <v>6849</v>
      </c>
      <c r="G3364" s="4" t="s">
        <v>1888</v>
      </c>
      <c r="H3364" s="5">
        <v>0</v>
      </c>
      <c r="I3364" s="6">
        <v>710000000</v>
      </c>
      <c r="J3364" s="4" t="s">
        <v>1931</v>
      </c>
      <c r="K3364" s="4" t="s">
        <v>5297</v>
      </c>
      <c r="L3364" s="4" t="s">
        <v>1889</v>
      </c>
      <c r="M3364" s="8" t="s">
        <v>3195</v>
      </c>
      <c r="N3364" s="3" t="s">
        <v>1890</v>
      </c>
      <c r="O3364" s="8" t="s">
        <v>1935</v>
      </c>
      <c r="P3364" s="8">
        <v>798</v>
      </c>
      <c r="Q3364" s="8" t="s">
        <v>3196</v>
      </c>
      <c r="R3364" s="69">
        <v>10</v>
      </c>
      <c r="S3364" s="69">
        <v>2053.6</v>
      </c>
      <c r="T3364" s="10">
        <v>0</v>
      </c>
      <c r="U3364" s="10">
        <f t="shared" si="2071"/>
        <v>0</v>
      </c>
      <c r="V3364" s="7"/>
      <c r="W3364" s="1">
        <v>2015</v>
      </c>
      <c r="X3364" s="62">
        <v>7.11</v>
      </c>
    </row>
    <row r="3365" spans="1:24" s="13" customFormat="1" ht="76.5" customHeight="1" outlineLevel="1" x14ac:dyDescent="0.2">
      <c r="A3365" s="1" t="s">
        <v>8105</v>
      </c>
      <c r="B3365" s="2" t="s">
        <v>5277</v>
      </c>
      <c r="C3365" s="2" t="s">
        <v>271</v>
      </c>
      <c r="D3365" s="2" t="s">
        <v>270</v>
      </c>
      <c r="E3365" s="2" t="s">
        <v>269</v>
      </c>
      <c r="F3365" s="2" t="s">
        <v>6849</v>
      </c>
      <c r="G3365" s="3" t="s">
        <v>3190</v>
      </c>
      <c r="H3365" s="5">
        <v>0</v>
      </c>
      <c r="I3365" s="6">
        <v>710000000</v>
      </c>
      <c r="J3365" s="4" t="s">
        <v>1931</v>
      </c>
      <c r="K3365" s="4" t="s">
        <v>756</v>
      </c>
      <c r="L3365" s="4" t="s">
        <v>1889</v>
      </c>
      <c r="M3365" s="8" t="s">
        <v>3195</v>
      </c>
      <c r="N3365" s="3" t="s">
        <v>1890</v>
      </c>
      <c r="O3365" s="8" t="s">
        <v>1935</v>
      </c>
      <c r="P3365" s="8">
        <v>798</v>
      </c>
      <c r="Q3365" s="8" t="s">
        <v>3196</v>
      </c>
      <c r="R3365" s="69">
        <v>10</v>
      </c>
      <c r="S3365" s="69">
        <v>2053.6</v>
      </c>
      <c r="T3365" s="10">
        <f t="shared" ref="T3365" si="2170">S3365*R3365</f>
        <v>20536</v>
      </c>
      <c r="U3365" s="10">
        <f t="shared" ref="U3365" si="2171">T3365*1.12</f>
        <v>23000.320000000003</v>
      </c>
      <c r="V3365" s="7"/>
      <c r="W3365" s="1">
        <v>2015</v>
      </c>
      <c r="X3365" s="62"/>
    </row>
    <row r="3366" spans="1:24" s="13" customFormat="1" ht="76.5" customHeight="1" outlineLevel="1" x14ac:dyDescent="0.2">
      <c r="A3366" s="1" t="s">
        <v>6897</v>
      </c>
      <c r="B3366" s="2" t="s">
        <v>5277</v>
      </c>
      <c r="C3366" s="2" t="s">
        <v>7600</v>
      </c>
      <c r="D3366" s="2" t="s">
        <v>270</v>
      </c>
      <c r="E3366" s="2" t="s">
        <v>7601</v>
      </c>
      <c r="F3366" s="2" t="s">
        <v>6850</v>
      </c>
      <c r="G3366" s="4" t="s">
        <v>1888</v>
      </c>
      <c r="H3366" s="5">
        <v>0</v>
      </c>
      <c r="I3366" s="6">
        <v>710000000</v>
      </c>
      <c r="J3366" s="4" t="s">
        <v>1931</v>
      </c>
      <c r="K3366" s="4" t="s">
        <v>5297</v>
      </c>
      <c r="L3366" s="4" t="s">
        <v>1889</v>
      </c>
      <c r="M3366" s="8" t="s">
        <v>3195</v>
      </c>
      <c r="N3366" s="3" t="s">
        <v>1890</v>
      </c>
      <c r="O3366" s="8" t="s">
        <v>1935</v>
      </c>
      <c r="P3366" s="60" t="s">
        <v>3334</v>
      </c>
      <c r="Q3366" s="8" t="s">
        <v>5517</v>
      </c>
      <c r="R3366" s="69">
        <v>10</v>
      </c>
      <c r="S3366" s="69">
        <v>2053.6</v>
      </c>
      <c r="T3366" s="10">
        <v>0</v>
      </c>
      <c r="U3366" s="10">
        <f t="shared" si="2071"/>
        <v>0</v>
      </c>
      <c r="V3366" s="7"/>
      <c r="W3366" s="1">
        <v>2015</v>
      </c>
      <c r="X3366" s="62">
        <v>7.11</v>
      </c>
    </row>
    <row r="3367" spans="1:24" s="13" customFormat="1" ht="76.5" customHeight="1" outlineLevel="1" x14ac:dyDescent="0.2">
      <c r="A3367" s="1" t="s">
        <v>8106</v>
      </c>
      <c r="B3367" s="2" t="s">
        <v>5277</v>
      </c>
      <c r="C3367" s="2" t="s">
        <v>7600</v>
      </c>
      <c r="D3367" s="2" t="s">
        <v>270</v>
      </c>
      <c r="E3367" s="2" t="s">
        <v>7601</v>
      </c>
      <c r="F3367" s="2" t="s">
        <v>6850</v>
      </c>
      <c r="G3367" s="3" t="s">
        <v>3190</v>
      </c>
      <c r="H3367" s="5">
        <v>0</v>
      </c>
      <c r="I3367" s="6">
        <v>710000000</v>
      </c>
      <c r="J3367" s="4" t="s">
        <v>1931</v>
      </c>
      <c r="K3367" s="4" t="s">
        <v>756</v>
      </c>
      <c r="L3367" s="4" t="s">
        <v>1889</v>
      </c>
      <c r="M3367" s="8" t="s">
        <v>3195</v>
      </c>
      <c r="N3367" s="3" t="s">
        <v>1890</v>
      </c>
      <c r="O3367" s="8" t="s">
        <v>1935</v>
      </c>
      <c r="P3367" s="60" t="s">
        <v>3334</v>
      </c>
      <c r="Q3367" s="8" t="s">
        <v>5517</v>
      </c>
      <c r="R3367" s="69">
        <v>10</v>
      </c>
      <c r="S3367" s="69">
        <v>2053.6</v>
      </c>
      <c r="T3367" s="10">
        <f t="shared" ref="T3367" si="2172">S3367*R3367</f>
        <v>20536</v>
      </c>
      <c r="U3367" s="10">
        <f t="shared" ref="U3367" si="2173">T3367*1.12</f>
        <v>23000.320000000003</v>
      </c>
      <c r="V3367" s="7"/>
      <c r="W3367" s="1">
        <v>2015</v>
      </c>
      <c r="X3367" s="62"/>
    </row>
    <row r="3368" spans="1:24" s="13" customFormat="1" ht="76.5" customHeight="1" outlineLevel="1" x14ac:dyDescent="0.2">
      <c r="A3368" s="1" t="s">
        <v>6898</v>
      </c>
      <c r="B3368" s="2" t="s">
        <v>5277</v>
      </c>
      <c r="C3368" s="2" t="s">
        <v>6851</v>
      </c>
      <c r="D3368" s="2" t="s">
        <v>3086</v>
      </c>
      <c r="E3368" s="2" t="s">
        <v>6852</v>
      </c>
      <c r="F3368" s="2"/>
      <c r="G3368" s="4" t="s">
        <v>1888</v>
      </c>
      <c r="H3368" s="5">
        <v>0</v>
      </c>
      <c r="I3368" s="6">
        <v>710000000</v>
      </c>
      <c r="J3368" s="4" t="s">
        <v>1931</v>
      </c>
      <c r="K3368" s="4" t="s">
        <v>5297</v>
      </c>
      <c r="L3368" s="4" t="s">
        <v>1889</v>
      </c>
      <c r="M3368" s="8" t="s">
        <v>3195</v>
      </c>
      <c r="N3368" s="3" t="s">
        <v>1890</v>
      </c>
      <c r="O3368" s="8" t="s">
        <v>1935</v>
      </c>
      <c r="P3368" s="1" t="s">
        <v>3010</v>
      </c>
      <c r="Q3368" s="4" t="s">
        <v>5142</v>
      </c>
      <c r="R3368" s="69">
        <v>108</v>
      </c>
      <c r="S3368" s="69">
        <v>267.86</v>
      </c>
      <c r="T3368" s="10">
        <v>0</v>
      </c>
      <c r="U3368" s="10">
        <f t="shared" si="2071"/>
        <v>0</v>
      </c>
      <c r="V3368" s="7"/>
      <c r="W3368" s="1">
        <v>2015</v>
      </c>
      <c r="X3368" s="62">
        <v>7.11</v>
      </c>
    </row>
    <row r="3369" spans="1:24" s="13" customFormat="1" ht="76.5" customHeight="1" outlineLevel="1" x14ac:dyDescent="0.2">
      <c r="A3369" s="1" t="s">
        <v>8107</v>
      </c>
      <c r="B3369" s="2" t="s">
        <v>5277</v>
      </c>
      <c r="C3369" s="2" t="s">
        <v>6851</v>
      </c>
      <c r="D3369" s="2" t="s">
        <v>3086</v>
      </c>
      <c r="E3369" s="2" t="s">
        <v>6852</v>
      </c>
      <c r="F3369" s="2"/>
      <c r="G3369" s="3" t="s">
        <v>3190</v>
      </c>
      <c r="H3369" s="5">
        <v>0</v>
      </c>
      <c r="I3369" s="6">
        <v>710000000</v>
      </c>
      <c r="J3369" s="4" t="s">
        <v>1931</v>
      </c>
      <c r="K3369" s="4" t="s">
        <v>756</v>
      </c>
      <c r="L3369" s="4" t="s">
        <v>1889</v>
      </c>
      <c r="M3369" s="8" t="s">
        <v>3195</v>
      </c>
      <c r="N3369" s="3" t="s">
        <v>1890</v>
      </c>
      <c r="O3369" s="8" t="s">
        <v>1935</v>
      </c>
      <c r="P3369" s="1" t="s">
        <v>3010</v>
      </c>
      <c r="Q3369" s="4" t="s">
        <v>5142</v>
      </c>
      <c r="R3369" s="69">
        <v>108</v>
      </c>
      <c r="S3369" s="69">
        <v>267.86</v>
      </c>
      <c r="T3369" s="10">
        <f t="shared" ref="T3369" si="2174">S3369*R3369</f>
        <v>28928.880000000001</v>
      </c>
      <c r="U3369" s="10">
        <f t="shared" ref="U3369" si="2175">T3369*1.12</f>
        <v>32400.345600000004</v>
      </c>
      <c r="V3369" s="7"/>
      <c r="W3369" s="1">
        <v>2015</v>
      </c>
      <c r="X3369" s="62"/>
    </row>
    <row r="3370" spans="1:24" s="13" customFormat="1" ht="76.5" customHeight="1" outlineLevel="1" x14ac:dyDescent="0.2">
      <c r="A3370" s="1" t="s">
        <v>6899</v>
      </c>
      <c r="B3370" s="2" t="s">
        <v>5277</v>
      </c>
      <c r="C3370" s="2" t="s">
        <v>6853</v>
      </c>
      <c r="D3370" s="2" t="s">
        <v>3333</v>
      </c>
      <c r="E3370" s="2" t="s">
        <v>6854</v>
      </c>
      <c r="F3370" s="2"/>
      <c r="G3370" s="4" t="s">
        <v>1888</v>
      </c>
      <c r="H3370" s="5">
        <v>0</v>
      </c>
      <c r="I3370" s="6">
        <v>710000000</v>
      </c>
      <c r="J3370" s="4" t="s">
        <v>1931</v>
      </c>
      <c r="K3370" s="4" t="s">
        <v>5297</v>
      </c>
      <c r="L3370" s="4" t="s">
        <v>1889</v>
      </c>
      <c r="M3370" s="8" t="s">
        <v>3195</v>
      </c>
      <c r="N3370" s="3" t="s">
        <v>1890</v>
      </c>
      <c r="O3370" s="8" t="s">
        <v>1935</v>
      </c>
      <c r="P3370" s="8">
        <v>798</v>
      </c>
      <c r="Q3370" s="8" t="s">
        <v>3196</v>
      </c>
      <c r="R3370" s="69">
        <v>108</v>
      </c>
      <c r="S3370" s="69">
        <v>2500</v>
      </c>
      <c r="T3370" s="10">
        <v>0</v>
      </c>
      <c r="U3370" s="10">
        <f t="shared" si="2071"/>
        <v>0</v>
      </c>
      <c r="V3370" s="7"/>
      <c r="W3370" s="1">
        <v>2015</v>
      </c>
      <c r="X3370" s="62">
        <v>7.11</v>
      </c>
    </row>
    <row r="3371" spans="1:24" s="13" customFormat="1" ht="76.5" customHeight="1" outlineLevel="1" x14ac:dyDescent="0.2">
      <c r="A3371" s="1" t="s">
        <v>8108</v>
      </c>
      <c r="B3371" s="2" t="s">
        <v>5277</v>
      </c>
      <c r="C3371" s="2" t="s">
        <v>6853</v>
      </c>
      <c r="D3371" s="2" t="s">
        <v>3333</v>
      </c>
      <c r="E3371" s="2" t="s">
        <v>6854</v>
      </c>
      <c r="F3371" s="2"/>
      <c r="G3371" s="3" t="s">
        <v>3190</v>
      </c>
      <c r="H3371" s="5">
        <v>0</v>
      </c>
      <c r="I3371" s="6">
        <v>710000000</v>
      </c>
      <c r="J3371" s="4" t="s">
        <v>1931</v>
      </c>
      <c r="K3371" s="4" t="s">
        <v>756</v>
      </c>
      <c r="L3371" s="4" t="s">
        <v>1889</v>
      </c>
      <c r="M3371" s="8" t="s">
        <v>3195</v>
      </c>
      <c r="N3371" s="3" t="s">
        <v>1890</v>
      </c>
      <c r="O3371" s="8" t="s">
        <v>1935</v>
      </c>
      <c r="P3371" s="8">
        <v>798</v>
      </c>
      <c r="Q3371" s="8" t="s">
        <v>3196</v>
      </c>
      <c r="R3371" s="69">
        <v>108</v>
      </c>
      <c r="S3371" s="69">
        <v>2500</v>
      </c>
      <c r="T3371" s="10">
        <f t="shared" ref="T3371" si="2176">S3371*R3371</f>
        <v>270000</v>
      </c>
      <c r="U3371" s="10">
        <f t="shared" ref="U3371" si="2177">T3371*1.12</f>
        <v>302400</v>
      </c>
      <c r="V3371" s="7"/>
      <c r="W3371" s="1">
        <v>2015</v>
      </c>
      <c r="X3371" s="62"/>
    </row>
    <row r="3372" spans="1:24" s="13" customFormat="1" ht="76.5" customHeight="1" outlineLevel="1" x14ac:dyDescent="0.2">
      <c r="A3372" s="1" t="s">
        <v>6900</v>
      </c>
      <c r="B3372" s="2" t="s">
        <v>5277</v>
      </c>
      <c r="C3372" s="3" t="s">
        <v>329</v>
      </c>
      <c r="D3372" s="3" t="s">
        <v>328</v>
      </c>
      <c r="E3372" s="3" t="s">
        <v>327</v>
      </c>
      <c r="F3372" s="3"/>
      <c r="G3372" s="4" t="s">
        <v>1888</v>
      </c>
      <c r="H3372" s="5">
        <v>0</v>
      </c>
      <c r="I3372" s="6">
        <v>710000000</v>
      </c>
      <c r="J3372" s="4" t="s">
        <v>1931</v>
      </c>
      <c r="K3372" s="4" t="s">
        <v>5297</v>
      </c>
      <c r="L3372" s="4" t="s">
        <v>1889</v>
      </c>
      <c r="M3372" s="8" t="s">
        <v>3195</v>
      </c>
      <c r="N3372" s="3" t="s">
        <v>1890</v>
      </c>
      <c r="O3372" s="8" t="s">
        <v>1935</v>
      </c>
      <c r="P3372" s="8">
        <v>798</v>
      </c>
      <c r="Q3372" s="8" t="s">
        <v>3196</v>
      </c>
      <c r="R3372" s="69">
        <v>1</v>
      </c>
      <c r="S3372" s="69">
        <v>25000</v>
      </c>
      <c r="T3372" s="10">
        <v>0</v>
      </c>
      <c r="U3372" s="10">
        <f t="shared" si="2071"/>
        <v>0</v>
      </c>
      <c r="V3372" s="7"/>
      <c r="W3372" s="1">
        <v>2015</v>
      </c>
      <c r="X3372" s="62">
        <v>7.11</v>
      </c>
    </row>
    <row r="3373" spans="1:24" s="13" customFormat="1" ht="76.5" customHeight="1" outlineLevel="1" x14ac:dyDescent="0.2">
      <c r="A3373" s="1" t="s">
        <v>8109</v>
      </c>
      <c r="B3373" s="2" t="s">
        <v>5277</v>
      </c>
      <c r="C3373" s="3" t="s">
        <v>329</v>
      </c>
      <c r="D3373" s="3" t="s">
        <v>328</v>
      </c>
      <c r="E3373" s="3" t="s">
        <v>327</v>
      </c>
      <c r="F3373" s="3"/>
      <c r="G3373" s="3" t="s">
        <v>3190</v>
      </c>
      <c r="H3373" s="5">
        <v>0</v>
      </c>
      <c r="I3373" s="6">
        <v>710000000</v>
      </c>
      <c r="J3373" s="4" t="s">
        <v>1931</v>
      </c>
      <c r="K3373" s="4" t="s">
        <v>756</v>
      </c>
      <c r="L3373" s="4" t="s">
        <v>1889</v>
      </c>
      <c r="M3373" s="8" t="s">
        <v>3195</v>
      </c>
      <c r="N3373" s="3" t="s">
        <v>1890</v>
      </c>
      <c r="O3373" s="8" t="s">
        <v>1935</v>
      </c>
      <c r="P3373" s="8">
        <v>798</v>
      </c>
      <c r="Q3373" s="8" t="s">
        <v>3196</v>
      </c>
      <c r="R3373" s="69">
        <v>1</v>
      </c>
      <c r="S3373" s="69">
        <v>25000</v>
      </c>
      <c r="T3373" s="10">
        <f t="shared" ref="T3373" si="2178">S3373*R3373</f>
        <v>25000</v>
      </c>
      <c r="U3373" s="10">
        <f t="shared" ref="U3373" si="2179">T3373*1.12</f>
        <v>28000.000000000004</v>
      </c>
      <c r="V3373" s="7"/>
      <c r="W3373" s="1">
        <v>2015</v>
      </c>
      <c r="X3373" s="62"/>
    </row>
    <row r="3374" spans="1:24" s="13" customFormat="1" ht="76.5" customHeight="1" outlineLevel="1" x14ac:dyDescent="0.2">
      <c r="A3374" s="1" t="s">
        <v>6911</v>
      </c>
      <c r="B3374" s="38" t="s">
        <v>5277</v>
      </c>
      <c r="C3374" s="3" t="s">
        <v>6912</v>
      </c>
      <c r="D3374" s="3" t="s">
        <v>6913</v>
      </c>
      <c r="E3374" s="3" t="s">
        <v>7622</v>
      </c>
      <c r="F3374" s="3"/>
      <c r="G3374" s="4" t="s">
        <v>1888</v>
      </c>
      <c r="H3374" s="5">
        <v>0</v>
      </c>
      <c r="I3374" s="6">
        <v>710000000</v>
      </c>
      <c r="J3374" s="4" t="s">
        <v>1931</v>
      </c>
      <c r="K3374" s="4" t="s">
        <v>5297</v>
      </c>
      <c r="L3374" s="4" t="s">
        <v>1889</v>
      </c>
      <c r="M3374" s="8" t="s">
        <v>3195</v>
      </c>
      <c r="N3374" s="3" t="s">
        <v>1890</v>
      </c>
      <c r="O3374" s="8" t="s">
        <v>1935</v>
      </c>
      <c r="P3374" s="8">
        <v>166</v>
      </c>
      <c r="Q3374" s="8" t="s">
        <v>3324</v>
      </c>
      <c r="R3374" s="9">
        <v>592</v>
      </c>
      <c r="S3374" s="9">
        <v>580.73</v>
      </c>
      <c r="T3374" s="10">
        <v>0</v>
      </c>
      <c r="U3374" s="10">
        <f t="shared" ref="U3374" si="2180">T3374*1.12</f>
        <v>0</v>
      </c>
      <c r="V3374" s="7"/>
      <c r="W3374" s="11">
        <v>2015</v>
      </c>
      <c r="X3374" s="12">
        <v>11</v>
      </c>
    </row>
    <row r="3375" spans="1:24" s="13" customFormat="1" ht="76.5" customHeight="1" outlineLevel="1" x14ac:dyDescent="0.2">
      <c r="A3375" s="1" t="s">
        <v>7482</v>
      </c>
      <c r="B3375" s="38" t="s">
        <v>5277</v>
      </c>
      <c r="C3375" s="3" t="s">
        <v>6912</v>
      </c>
      <c r="D3375" s="3" t="s">
        <v>6913</v>
      </c>
      <c r="E3375" s="3" t="s">
        <v>7622</v>
      </c>
      <c r="F3375" s="3"/>
      <c r="G3375" s="4" t="s">
        <v>1888</v>
      </c>
      <c r="H3375" s="5">
        <v>0</v>
      </c>
      <c r="I3375" s="6">
        <v>710000000</v>
      </c>
      <c r="J3375" s="4" t="s">
        <v>1931</v>
      </c>
      <c r="K3375" s="4" t="s">
        <v>7338</v>
      </c>
      <c r="L3375" s="4" t="s">
        <v>1889</v>
      </c>
      <c r="M3375" s="8" t="s">
        <v>3195</v>
      </c>
      <c r="N3375" s="3" t="s">
        <v>1890</v>
      </c>
      <c r="O3375" s="8" t="s">
        <v>1935</v>
      </c>
      <c r="P3375" s="8">
        <v>166</v>
      </c>
      <c r="Q3375" s="8" t="s">
        <v>3324</v>
      </c>
      <c r="R3375" s="9">
        <v>592</v>
      </c>
      <c r="S3375" s="9">
        <v>580.73</v>
      </c>
      <c r="T3375" s="10">
        <f t="shared" ref="T3375" si="2181">S3375*R3375</f>
        <v>343792.16000000003</v>
      </c>
      <c r="U3375" s="10">
        <f t="shared" ref="U3375" si="2182">T3375*1.12</f>
        <v>385047.21920000005</v>
      </c>
      <c r="V3375" s="7"/>
      <c r="W3375" s="11">
        <v>2015</v>
      </c>
      <c r="X3375" s="12"/>
    </row>
    <row r="3376" spans="1:24" s="23" customFormat="1" ht="140.25" customHeight="1" x14ac:dyDescent="0.2">
      <c r="A3376" s="1" t="s">
        <v>6922</v>
      </c>
      <c r="B3376" s="38" t="s">
        <v>5277</v>
      </c>
      <c r="C3376" s="3" t="s">
        <v>6923</v>
      </c>
      <c r="D3376" s="3" t="s">
        <v>6924</v>
      </c>
      <c r="E3376" s="3" t="s">
        <v>6925</v>
      </c>
      <c r="F3376" s="3" t="s">
        <v>6983</v>
      </c>
      <c r="G3376" s="4" t="s">
        <v>3190</v>
      </c>
      <c r="H3376" s="5">
        <v>0</v>
      </c>
      <c r="I3376" s="6">
        <v>710000000</v>
      </c>
      <c r="J3376" s="4" t="s">
        <v>1931</v>
      </c>
      <c r="K3376" s="4" t="s">
        <v>5297</v>
      </c>
      <c r="L3376" s="7" t="s">
        <v>1708</v>
      </c>
      <c r="M3376" s="8" t="s">
        <v>3195</v>
      </c>
      <c r="N3376" s="3" t="s">
        <v>1890</v>
      </c>
      <c r="O3376" s="8" t="s">
        <v>1935</v>
      </c>
      <c r="P3376" s="8">
        <v>796</v>
      </c>
      <c r="Q3376" s="8" t="s">
        <v>3196</v>
      </c>
      <c r="R3376" s="9">
        <v>2</v>
      </c>
      <c r="S3376" s="9">
        <v>60500</v>
      </c>
      <c r="T3376" s="10">
        <v>0</v>
      </c>
      <c r="U3376" s="10">
        <v>0</v>
      </c>
      <c r="V3376" s="7"/>
      <c r="W3376" s="11">
        <v>2015</v>
      </c>
      <c r="X3376" s="12" t="s">
        <v>7518</v>
      </c>
    </row>
    <row r="3377" spans="1:24" s="23" customFormat="1" ht="140.25" customHeight="1" x14ac:dyDescent="0.2">
      <c r="A3377" s="1" t="s">
        <v>7517</v>
      </c>
      <c r="B3377" s="38" t="s">
        <v>5277</v>
      </c>
      <c r="C3377" s="3" t="s">
        <v>6923</v>
      </c>
      <c r="D3377" s="3" t="s">
        <v>6924</v>
      </c>
      <c r="E3377" s="3" t="s">
        <v>6925</v>
      </c>
      <c r="F3377" s="3" t="s">
        <v>6983</v>
      </c>
      <c r="G3377" s="4" t="s">
        <v>3190</v>
      </c>
      <c r="H3377" s="5">
        <v>0</v>
      </c>
      <c r="I3377" s="6">
        <v>710000000</v>
      </c>
      <c r="J3377" s="4" t="s">
        <v>1931</v>
      </c>
      <c r="K3377" s="4" t="s">
        <v>5292</v>
      </c>
      <c r="L3377" s="7" t="s">
        <v>1708</v>
      </c>
      <c r="M3377" s="8" t="s">
        <v>3195</v>
      </c>
      <c r="N3377" s="3" t="s">
        <v>1890</v>
      </c>
      <c r="O3377" s="8" t="s">
        <v>1935</v>
      </c>
      <c r="P3377" s="8">
        <v>796</v>
      </c>
      <c r="Q3377" s="8" t="s">
        <v>3196</v>
      </c>
      <c r="R3377" s="9">
        <v>6</v>
      </c>
      <c r="S3377" s="9">
        <v>85973.214999999997</v>
      </c>
      <c r="T3377" s="10">
        <f>R3377*S3377</f>
        <v>515839.29</v>
      </c>
      <c r="U3377" s="10">
        <f>T3377*1.12</f>
        <v>577740.0048</v>
      </c>
      <c r="V3377" s="7"/>
      <c r="W3377" s="11">
        <v>2015</v>
      </c>
      <c r="X3377" s="12"/>
    </row>
    <row r="3378" spans="1:24" s="23" customFormat="1" ht="153" customHeight="1" x14ac:dyDescent="0.2">
      <c r="A3378" s="1" t="s">
        <v>6926</v>
      </c>
      <c r="B3378" s="38" t="s">
        <v>5277</v>
      </c>
      <c r="C3378" s="3" t="s">
        <v>6923</v>
      </c>
      <c r="D3378" s="3" t="s">
        <v>6924</v>
      </c>
      <c r="E3378" s="3" t="s">
        <v>6925</v>
      </c>
      <c r="F3378" s="3" t="s">
        <v>6984</v>
      </c>
      <c r="G3378" s="4" t="s">
        <v>3190</v>
      </c>
      <c r="H3378" s="5">
        <v>0</v>
      </c>
      <c r="I3378" s="6">
        <v>710000000</v>
      </c>
      <c r="J3378" s="4" t="s">
        <v>1931</v>
      </c>
      <c r="K3378" s="4" t="s">
        <v>5297</v>
      </c>
      <c r="L3378" s="7" t="s">
        <v>1708</v>
      </c>
      <c r="M3378" s="8" t="s">
        <v>3195</v>
      </c>
      <c r="N3378" s="3" t="s">
        <v>1890</v>
      </c>
      <c r="O3378" s="8" t="s">
        <v>1935</v>
      </c>
      <c r="P3378" s="8">
        <v>796</v>
      </c>
      <c r="Q3378" s="8" t="s">
        <v>3196</v>
      </c>
      <c r="R3378" s="9">
        <v>4</v>
      </c>
      <c r="S3378" s="9">
        <v>110000</v>
      </c>
      <c r="T3378" s="10">
        <v>0</v>
      </c>
      <c r="U3378" s="10">
        <v>0</v>
      </c>
      <c r="V3378" s="7"/>
      <c r="W3378" s="11">
        <v>2015</v>
      </c>
      <c r="X3378" s="12"/>
    </row>
    <row r="3379" spans="1:24" s="23" customFormat="1" ht="153" customHeight="1" x14ac:dyDescent="0.2">
      <c r="A3379" s="1" t="s">
        <v>7516</v>
      </c>
      <c r="B3379" s="38" t="s">
        <v>5277</v>
      </c>
      <c r="C3379" s="3" t="s">
        <v>6923</v>
      </c>
      <c r="D3379" s="3" t="s">
        <v>6924</v>
      </c>
      <c r="E3379" s="3" t="s">
        <v>6925</v>
      </c>
      <c r="F3379" s="3" t="s">
        <v>6984</v>
      </c>
      <c r="G3379" s="4" t="s">
        <v>3190</v>
      </c>
      <c r="H3379" s="5">
        <v>0</v>
      </c>
      <c r="I3379" s="6">
        <v>710000000</v>
      </c>
      <c r="J3379" s="4" t="s">
        <v>1931</v>
      </c>
      <c r="K3379" s="4" t="s">
        <v>5292</v>
      </c>
      <c r="L3379" s="7" t="s">
        <v>1708</v>
      </c>
      <c r="M3379" s="8" t="s">
        <v>3195</v>
      </c>
      <c r="N3379" s="3" t="s">
        <v>1890</v>
      </c>
      <c r="O3379" s="8" t="s">
        <v>1935</v>
      </c>
      <c r="P3379" s="8">
        <v>796</v>
      </c>
      <c r="Q3379" s="8" t="s">
        <v>3196</v>
      </c>
      <c r="R3379" s="9">
        <v>6</v>
      </c>
      <c r="S3379" s="9">
        <v>142767.85699999999</v>
      </c>
      <c r="T3379" s="10">
        <f>R3379*S3379</f>
        <v>856607.14199999999</v>
      </c>
      <c r="U3379" s="10">
        <f>T3379*1.12</f>
        <v>959399.99904000014</v>
      </c>
      <c r="V3379" s="7"/>
      <c r="W3379" s="11">
        <v>2015</v>
      </c>
      <c r="X3379" s="12"/>
    </row>
    <row r="3380" spans="1:24" s="13" customFormat="1" ht="76.5" customHeight="1" outlineLevel="1" x14ac:dyDescent="0.2">
      <c r="A3380" s="1" t="s">
        <v>6928</v>
      </c>
      <c r="B3380" s="38" t="s">
        <v>5277</v>
      </c>
      <c r="C3380" s="3" t="s">
        <v>6929</v>
      </c>
      <c r="D3380" s="3" t="s">
        <v>6930</v>
      </c>
      <c r="E3380" s="3" t="s">
        <v>6931</v>
      </c>
      <c r="F3380" s="3"/>
      <c r="G3380" s="4" t="s">
        <v>1888</v>
      </c>
      <c r="H3380" s="5">
        <v>0</v>
      </c>
      <c r="I3380" s="6">
        <v>710000000</v>
      </c>
      <c r="J3380" s="4" t="s">
        <v>1931</v>
      </c>
      <c r="K3380" s="4" t="s">
        <v>5297</v>
      </c>
      <c r="L3380" s="4" t="s">
        <v>1889</v>
      </c>
      <c r="M3380" s="8" t="s">
        <v>3195</v>
      </c>
      <c r="N3380" s="3" t="s">
        <v>1890</v>
      </c>
      <c r="O3380" s="8" t="s">
        <v>1935</v>
      </c>
      <c r="P3380" s="8">
        <v>166</v>
      </c>
      <c r="Q3380" s="8" t="s">
        <v>3324</v>
      </c>
      <c r="R3380" s="9">
        <v>235</v>
      </c>
      <c r="S3380" s="9">
        <v>1222.6500000000001</v>
      </c>
      <c r="T3380" s="10">
        <v>0</v>
      </c>
      <c r="U3380" s="10">
        <f t="shared" ref="U3380" si="2183">T3380*1.12</f>
        <v>0</v>
      </c>
      <c r="V3380" s="7"/>
      <c r="W3380" s="11">
        <v>2015</v>
      </c>
      <c r="X3380" s="12">
        <v>11</v>
      </c>
    </row>
    <row r="3381" spans="1:24" s="13" customFormat="1" ht="76.5" customHeight="1" outlineLevel="1" x14ac:dyDescent="0.2">
      <c r="A3381" s="1" t="s">
        <v>7483</v>
      </c>
      <c r="B3381" s="38" t="s">
        <v>5277</v>
      </c>
      <c r="C3381" s="3" t="s">
        <v>6929</v>
      </c>
      <c r="D3381" s="3" t="s">
        <v>6930</v>
      </c>
      <c r="E3381" s="3" t="s">
        <v>6931</v>
      </c>
      <c r="F3381" s="3"/>
      <c r="G3381" s="4" t="s">
        <v>1888</v>
      </c>
      <c r="H3381" s="5">
        <v>0</v>
      </c>
      <c r="I3381" s="6">
        <v>710000000</v>
      </c>
      <c r="J3381" s="4" t="s">
        <v>1931</v>
      </c>
      <c r="K3381" s="4" t="s">
        <v>7338</v>
      </c>
      <c r="L3381" s="4" t="s">
        <v>1889</v>
      </c>
      <c r="M3381" s="8" t="s">
        <v>3195</v>
      </c>
      <c r="N3381" s="3" t="s">
        <v>1890</v>
      </c>
      <c r="O3381" s="8" t="s">
        <v>1935</v>
      </c>
      <c r="P3381" s="8">
        <v>166</v>
      </c>
      <c r="Q3381" s="8" t="s">
        <v>3324</v>
      </c>
      <c r="R3381" s="9">
        <v>235</v>
      </c>
      <c r="S3381" s="9">
        <v>1222.6500000000001</v>
      </c>
      <c r="T3381" s="10">
        <f t="shared" ref="T3381" si="2184">S3381*R3381</f>
        <v>287322.75</v>
      </c>
      <c r="U3381" s="10">
        <f t="shared" ref="U3381" si="2185">T3381*1.12</f>
        <v>321801.48000000004</v>
      </c>
      <c r="V3381" s="7"/>
      <c r="W3381" s="11">
        <v>2015</v>
      </c>
      <c r="X3381" s="12"/>
    </row>
    <row r="3382" spans="1:24" s="13" customFormat="1" ht="76.5" customHeight="1" outlineLevel="1" x14ac:dyDescent="0.2">
      <c r="A3382" s="1" t="s">
        <v>6941</v>
      </c>
      <c r="B3382" s="38" t="s">
        <v>5277</v>
      </c>
      <c r="C3382" s="3" t="s">
        <v>6932</v>
      </c>
      <c r="D3382" s="3" t="s">
        <v>6933</v>
      </c>
      <c r="E3382" s="3" t="s">
        <v>6934</v>
      </c>
      <c r="F3382" s="3"/>
      <c r="G3382" s="4" t="s">
        <v>1888</v>
      </c>
      <c r="H3382" s="5">
        <v>0</v>
      </c>
      <c r="I3382" s="6">
        <v>710000000</v>
      </c>
      <c r="J3382" s="4" t="s">
        <v>1931</v>
      </c>
      <c r="K3382" s="4" t="s">
        <v>5297</v>
      </c>
      <c r="L3382" s="4" t="s">
        <v>1889</v>
      </c>
      <c r="M3382" s="8" t="s">
        <v>3195</v>
      </c>
      <c r="N3382" s="3" t="s">
        <v>1890</v>
      </c>
      <c r="O3382" s="8" t="s">
        <v>1935</v>
      </c>
      <c r="P3382" s="8">
        <v>166</v>
      </c>
      <c r="Q3382" s="8" t="s">
        <v>3324</v>
      </c>
      <c r="R3382" s="9">
        <v>35</v>
      </c>
      <c r="S3382" s="9">
        <v>1433.06</v>
      </c>
      <c r="T3382" s="10">
        <v>0</v>
      </c>
      <c r="U3382" s="10">
        <f t="shared" ref="U3382" si="2186">T3382*1.12</f>
        <v>0</v>
      </c>
      <c r="V3382" s="7"/>
      <c r="W3382" s="11">
        <v>2015</v>
      </c>
      <c r="X3382" s="12">
        <v>11</v>
      </c>
    </row>
    <row r="3383" spans="1:24" s="13" customFormat="1" ht="76.5" customHeight="1" outlineLevel="1" x14ac:dyDescent="0.2">
      <c r="A3383" s="1" t="s">
        <v>7484</v>
      </c>
      <c r="B3383" s="38" t="s">
        <v>5277</v>
      </c>
      <c r="C3383" s="3" t="s">
        <v>6932</v>
      </c>
      <c r="D3383" s="3" t="s">
        <v>6933</v>
      </c>
      <c r="E3383" s="3" t="s">
        <v>6934</v>
      </c>
      <c r="F3383" s="3"/>
      <c r="G3383" s="4" t="s">
        <v>1888</v>
      </c>
      <c r="H3383" s="5">
        <v>0</v>
      </c>
      <c r="I3383" s="6">
        <v>710000000</v>
      </c>
      <c r="J3383" s="4" t="s">
        <v>1931</v>
      </c>
      <c r="K3383" s="4" t="s">
        <v>7338</v>
      </c>
      <c r="L3383" s="4" t="s">
        <v>1889</v>
      </c>
      <c r="M3383" s="8" t="s">
        <v>3195</v>
      </c>
      <c r="N3383" s="3" t="s">
        <v>1890</v>
      </c>
      <c r="O3383" s="8" t="s">
        <v>1935</v>
      </c>
      <c r="P3383" s="8">
        <v>166</v>
      </c>
      <c r="Q3383" s="8" t="s">
        <v>3324</v>
      </c>
      <c r="R3383" s="9">
        <v>35</v>
      </c>
      <c r="S3383" s="9">
        <v>1433.06</v>
      </c>
      <c r="T3383" s="10">
        <f t="shared" ref="T3383" si="2187">S3383*R3383</f>
        <v>50157.1</v>
      </c>
      <c r="U3383" s="10">
        <f t="shared" ref="U3383" si="2188">T3383*1.12</f>
        <v>56175.952000000005</v>
      </c>
      <c r="V3383" s="7"/>
      <c r="W3383" s="11">
        <v>2015</v>
      </c>
      <c r="X3383" s="12"/>
    </row>
    <row r="3384" spans="1:24" s="13" customFormat="1" ht="76.5" customHeight="1" outlineLevel="1" x14ac:dyDescent="0.2">
      <c r="A3384" s="1" t="s">
        <v>6943</v>
      </c>
      <c r="B3384" s="38" t="s">
        <v>5277</v>
      </c>
      <c r="C3384" s="3" t="s">
        <v>6944</v>
      </c>
      <c r="D3384" s="3" t="s">
        <v>866</v>
      </c>
      <c r="E3384" s="3" t="s">
        <v>6147</v>
      </c>
      <c r="F3384" s="3" t="s">
        <v>6945</v>
      </c>
      <c r="G3384" s="4" t="s">
        <v>1888</v>
      </c>
      <c r="H3384" s="5">
        <v>0</v>
      </c>
      <c r="I3384" s="6">
        <v>710000000</v>
      </c>
      <c r="J3384" s="4" t="s">
        <v>1931</v>
      </c>
      <c r="K3384" s="4" t="s">
        <v>5297</v>
      </c>
      <c r="L3384" s="4" t="s">
        <v>1889</v>
      </c>
      <c r="M3384" s="8" t="s">
        <v>3195</v>
      </c>
      <c r="N3384" s="3" t="s">
        <v>1890</v>
      </c>
      <c r="O3384" s="8" t="s">
        <v>1935</v>
      </c>
      <c r="P3384" s="8">
        <v>796</v>
      </c>
      <c r="Q3384" s="8" t="s">
        <v>3196</v>
      </c>
      <c r="R3384" s="9">
        <v>1</v>
      </c>
      <c r="S3384" s="9">
        <v>17120</v>
      </c>
      <c r="T3384" s="10">
        <f t="shared" ref="T3384" si="2189">S3384*R3384</f>
        <v>17120</v>
      </c>
      <c r="U3384" s="10">
        <f t="shared" ref="U3384" si="2190">T3384*1.12</f>
        <v>19174.400000000001</v>
      </c>
      <c r="V3384" s="7"/>
      <c r="W3384" s="11">
        <v>2015</v>
      </c>
      <c r="X3384" s="12"/>
    </row>
    <row r="3385" spans="1:24" s="13" customFormat="1" ht="76.5" customHeight="1" outlineLevel="1" x14ac:dyDescent="0.2">
      <c r="A3385" s="1" t="s">
        <v>6946</v>
      </c>
      <c r="B3385" s="38" t="s">
        <v>5277</v>
      </c>
      <c r="C3385" s="3" t="s">
        <v>6944</v>
      </c>
      <c r="D3385" s="3" t="s">
        <v>866</v>
      </c>
      <c r="E3385" s="3" t="s">
        <v>6147</v>
      </c>
      <c r="F3385" s="3" t="s">
        <v>6947</v>
      </c>
      <c r="G3385" s="4" t="s">
        <v>1888</v>
      </c>
      <c r="H3385" s="5">
        <v>0</v>
      </c>
      <c r="I3385" s="6">
        <v>710000000</v>
      </c>
      <c r="J3385" s="4" t="s">
        <v>1931</v>
      </c>
      <c r="K3385" s="4" t="s">
        <v>5297</v>
      </c>
      <c r="L3385" s="4" t="s">
        <v>1889</v>
      </c>
      <c r="M3385" s="8" t="s">
        <v>3195</v>
      </c>
      <c r="N3385" s="3" t="s">
        <v>1890</v>
      </c>
      <c r="O3385" s="8" t="s">
        <v>1935</v>
      </c>
      <c r="P3385" s="8">
        <v>796</v>
      </c>
      <c r="Q3385" s="8" t="s">
        <v>3196</v>
      </c>
      <c r="R3385" s="9">
        <v>1</v>
      </c>
      <c r="S3385" s="9">
        <v>31298</v>
      </c>
      <c r="T3385" s="10">
        <f t="shared" ref="T3385" si="2191">S3385*R3385</f>
        <v>31298</v>
      </c>
      <c r="U3385" s="10">
        <f t="shared" ref="U3385" si="2192">T3385*1.12</f>
        <v>35053.760000000002</v>
      </c>
      <c r="V3385" s="7"/>
      <c r="W3385" s="11">
        <v>2015</v>
      </c>
      <c r="X3385" s="12"/>
    </row>
    <row r="3386" spans="1:24" s="13" customFormat="1" ht="76.5" customHeight="1" outlineLevel="1" x14ac:dyDescent="0.2">
      <c r="A3386" s="1" t="s">
        <v>6948</v>
      </c>
      <c r="B3386" s="38" t="s">
        <v>5277</v>
      </c>
      <c r="C3386" s="3" t="s">
        <v>6949</v>
      </c>
      <c r="D3386" s="3" t="s">
        <v>6518</v>
      </c>
      <c r="E3386" s="3" t="s">
        <v>6950</v>
      </c>
      <c r="F3386" s="3" t="s">
        <v>6951</v>
      </c>
      <c r="G3386" s="4" t="s">
        <v>1888</v>
      </c>
      <c r="H3386" s="5">
        <v>0</v>
      </c>
      <c r="I3386" s="6">
        <v>710000000</v>
      </c>
      <c r="J3386" s="4" t="s">
        <v>1931</v>
      </c>
      <c r="K3386" s="4" t="s">
        <v>5297</v>
      </c>
      <c r="L3386" s="4" t="s">
        <v>1889</v>
      </c>
      <c r="M3386" s="8" t="s">
        <v>3195</v>
      </c>
      <c r="N3386" s="3" t="s">
        <v>1890</v>
      </c>
      <c r="O3386" s="8" t="s">
        <v>1935</v>
      </c>
      <c r="P3386" s="8">
        <v>796</v>
      </c>
      <c r="Q3386" s="8" t="s">
        <v>3196</v>
      </c>
      <c r="R3386" s="9">
        <v>20</v>
      </c>
      <c r="S3386" s="9">
        <v>45</v>
      </c>
      <c r="T3386" s="10">
        <f t="shared" ref="T3386" si="2193">S3386*R3386</f>
        <v>900</v>
      </c>
      <c r="U3386" s="10">
        <f t="shared" ref="U3386" si="2194">T3386*1.12</f>
        <v>1008.0000000000001</v>
      </c>
      <c r="V3386" s="7"/>
      <c r="W3386" s="11">
        <v>2015</v>
      </c>
      <c r="X3386" s="12"/>
    </row>
    <row r="3387" spans="1:24" s="13" customFormat="1" ht="76.5" customHeight="1" outlineLevel="1" x14ac:dyDescent="0.2">
      <c r="A3387" s="1" t="s">
        <v>6952</v>
      </c>
      <c r="B3387" s="38" t="s">
        <v>5277</v>
      </c>
      <c r="C3387" s="3" t="s">
        <v>6953</v>
      </c>
      <c r="D3387" s="3" t="s">
        <v>6954</v>
      </c>
      <c r="E3387" s="3" t="s">
        <v>6955</v>
      </c>
      <c r="F3387" s="3"/>
      <c r="G3387" s="4" t="s">
        <v>1888</v>
      </c>
      <c r="H3387" s="5">
        <v>0</v>
      </c>
      <c r="I3387" s="6">
        <v>710000000</v>
      </c>
      <c r="J3387" s="4" t="s">
        <v>1931</v>
      </c>
      <c r="K3387" s="4" t="s">
        <v>5297</v>
      </c>
      <c r="L3387" s="4" t="s">
        <v>1889</v>
      </c>
      <c r="M3387" s="8" t="s">
        <v>3195</v>
      </c>
      <c r="N3387" s="3" t="s">
        <v>1890</v>
      </c>
      <c r="O3387" s="8" t="s">
        <v>1935</v>
      </c>
      <c r="P3387" s="8">
        <v>796</v>
      </c>
      <c r="Q3387" s="8" t="s">
        <v>3196</v>
      </c>
      <c r="R3387" s="9">
        <v>20</v>
      </c>
      <c r="S3387" s="9">
        <v>107.15</v>
      </c>
      <c r="T3387" s="10">
        <f t="shared" ref="T3387" si="2195">S3387*R3387</f>
        <v>2143</v>
      </c>
      <c r="U3387" s="10">
        <f t="shared" ref="U3387" si="2196">T3387*1.12</f>
        <v>2400.1600000000003</v>
      </c>
      <c r="V3387" s="7"/>
      <c r="W3387" s="11">
        <v>2015</v>
      </c>
      <c r="X3387" s="12"/>
    </row>
    <row r="3388" spans="1:24" s="13" customFormat="1" ht="76.5" customHeight="1" outlineLevel="1" x14ac:dyDescent="0.2">
      <c r="A3388" s="1" t="s">
        <v>6956</v>
      </c>
      <c r="B3388" s="38" t="s">
        <v>5277</v>
      </c>
      <c r="C3388" s="3" t="s">
        <v>6958</v>
      </c>
      <c r="D3388" s="3" t="s">
        <v>6959</v>
      </c>
      <c r="E3388" s="3" t="s">
        <v>6960</v>
      </c>
      <c r="F3388" s="3" t="s">
        <v>6957</v>
      </c>
      <c r="G3388" s="4" t="s">
        <v>1888</v>
      </c>
      <c r="H3388" s="5">
        <v>0</v>
      </c>
      <c r="I3388" s="6">
        <v>710000000</v>
      </c>
      <c r="J3388" s="4" t="s">
        <v>1931</v>
      </c>
      <c r="K3388" s="4" t="s">
        <v>5297</v>
      </c>
      <c r="L3388" s="4" t="s">
        <v>1889</v>
      </c>
      <c r="M3388" s="8" t="s">
        <v>3195</v>
      </c>
      <c r="N3388" s="3" t="s">
        <v>1890</v>
      </c>
      <c r="O3388" s="8" t="s">
        <v>1935</v>
      </c>
      <c r="P3388" s="8">
        <v>796</v>
      </c>
      <c r="Q3388" s="8" t="s">
        <v>3196</v>
      </c>
      <c r="R3388" s="9">
        <v>15</v>
      </c>
      <c r="S3388" s="9">
        <v>482.13</v>
      </c>
      <c r="T3388" s="10">
        <f t="shared" ref="T3388:T3391" si="2197">S3388*R3388</f>
        <v>7231.95</v>
      </c>
      <c r="U3388" s="10">
        <f t="shared" ref="U3388:U3391" si="2198">T3388*1.12</f>
        <v>8099.7840000000006</v>
      </c>
      <c r="V3388" s="7"/>
      <c r="W3388" s="11">
        <v>2015</v>
      </c>
      <c r="X3388" s="12"/>
    </row>
    <row r="3389" spans="1:24" s="13" customFormat="1" ht="76.5" customHeight="1" outlineLevel="1" x14ac:dyDescent="0.2">
      <c r="A3389" s="1" t="s">
        <v>6961</v>
      </c>
      <c r="B3389" s="38" t="s">
        <v>5277</v>
      </c>
      <c r="C3389" s="3" t="s">
        <v>6958</v>
      </c>
      <c r="D3389" s="3" t="s">
        <v>6959</v>
      </c>
      <c r="E3389" s="3" t="s">
        <v>6960</v>
      </c>
      <c r="F3389" s="3" t="s">
        <v>6962</v>
      </c>
      <c r="G3389" s="4" t="s">
        <v>1888</v>
      </c>
      <c r="H3389" s="5">
        <v>0</v>
      </c>
      <c r="I3389" s="6">
        <v>710000000</v>
      </c>
      <c r="J3389" s="4" t="s">
        <v>1931</v>
      </c>
      <c r="K3389" s="4" t="s">
        <v>5297</v>
      </c>
      <c r="L3389" s="4" t="s">
        <v>1889</v>
      </c>
      <c r="M3389" s="8" t="s">
        <v>3195</v>
      </c>
      <c r="N3389" s="3" t="s">
        <v>1890</v>
      </c>
      <c r="O3389" s="8" t="s">
        <v>1935</v>
      </c>
      <c r="P3389" s="8">
        <v>796</v>
      </c>
      <c r="Q3389" s="8" t="s">
        <v>3196</v>
      </c>
      <c r="R3389" s="9">
        <v>15</v>
      </c>
      <c r="S3389" s="9">
        <v>419.67</v>
      </c>
      <c r="T3389" s="10">
        <f t="shared" si="2197"/>
        <v>6295.05</v>
      </c>
      <c r="U3389" s="10">
        <f t="shared" si="2198"/>
        <v>7050.456000000001</v>
      </c>
      <c r="V3389" s="7"/>
      <c r="W3389" s="11">
        <v>2015</v>
      </c>
      <c r="X3389" s="12"/>
    </row>
    <row r="3390" spans="1:24" s="13" customFormat="1" ht="76.5" customHeight="1" outlineLevel="1" x14ac:dyDescent="0.2">
      <c r="A3390" s="1" t="s">
        <v>7054</v>
      </c>
      <c r="B3390" s="38" t="s">
        <v>5277</v>
      </c>
      <c r="C3390" s="3" t="s">
        <v>7167</v>
      </c>
      <c r="D3390" s="3" t="s">
        <v>7159</v>
      </c>
      <c r="E3390" s="3" t="s">
        <v>7160</v>
      </c>
      <c r="F3390" s="3"/>
      <c r="G3390" s="4" t="s">
        <v>3190</v>
      </c>
      <c r="H3390" s="5">
        <v>0</v>
      </c>
      <c r="I3390" s="6">
        <v>710000000</v>
      </c>
      <c r="J3390" s="4" t="s">
        <v>1931</v>
      </c>
      <c r="K3390" s="4" t="s">
        <v>5706</v>
      </c>
      <c r="L3390" s="4" t="s">
        <v>1889</v>
      </c>
      <c r="M3390" s="8" t="s">
        <v>3195</v>
      </c>
      <c r="N3390" s="3" t="s">
        <v>1890</v>
      </c>
      <c r="O3390" s="8" t="s">
        <v>1935</v>
      </c>
      <c r="P3390" s="8">
        <v>5108</v>
      </c>
      <c r="Q3390" s="8" t="s">
        <v>6034</v>
      </c>
      <c r="R3390" s="9">
        <v>60</v>
      </c>
      <c r="S3390" s="9">
        <v>1500</v>
      </c>
      <c r="T3390" s="10">
        <f t="shared" si="2197"/>
        <v>90000</v>
      </c>
      <c r="U3390" s="10">
        <f t="shared" si="2198"/>
        <v>100800.00000000001</v>
      </c>
      <c r="V3390" s="7"/>
      <c r="W3390" s="11">
        <v>2015</v>
      </c>
      <c r="X3390" s="12"/>
    </row>
    <row r="3391" spans="1:24" s="13" customFormat="1" ht="76.5" customHeight="1" outlineLevel="1" x14ac:dyDescent="0.2">
      <c r="A3391" s="1" t="s">
        <v>7131</v>
      </c>
      <c r="B3391" s="38" t="s">
        <v>5277</v>
      </c>
      <c r="C3391" s="3" t="s">
        <v>7161</v>
      </c>
      <c r="D3391" s="3" t="s">
        <v>7162</v>
      </c>
      <c r="E3391" s="3" t="s">
        <v>7163</v>
      </c>
      <c r="F3391" s="3"/>
      <c r="G3391" s="4" t="s">
        <v>3190</v>
      </c>
      <c r="H3391" s="5">
        <v>0</v>
      </c>
      <c r="I3391" s="6">
        <v>710000000</v>
      </c>
      <c r="J3391" s="4" t="s">
        <v>1931</v>
      </c>
      <c r="K3391" s="4" t="s">
        <v>5706</v>
      </c>
      <c r="L3391" s="4" t="s">
        <v>1889</v>
      </c>
      <c r="M3391" s="8" t="s">
        <v>3195</v>
      </c>
      <c r="N3391" s="3" t="s">
        <v>1890</v>
      </c>
      <c r="O3391" s="8" t="s">
        <v>1935</v>
      </c>
      <c r="P3391" s="8">
        <v>113</v>
      </c>
      <c r="Q3391" s="8" t="s">
        <v>7164</v>
      </c>
      <c r="R3391" s="9">
        <v>40</v>
      </c>
      <c r="S3391" s="9">
        <v>5000</v>
      </c>
      <c r="T3391" s="10">
        <f t="shared" si="2197"/>
        <v>200000</v>
      </c>
      <c r="U3391" s="10">
        <f t="shared" si="2198"/>
        <v>224000.00000000003</v>
      </c>
      <c r="V3391" s="7"/>
      <c r="W3391" s="11">
        <v>2015</v>
      </c>
      <c r="X3391" s="12"/>
    </row>
    <row r="3392" spans="1:24" s="13" customFormat="1" ht="76.5" customHeight="1" outlineLevel="1" x14ac:dyDescent="0.2">
      <c r="A3392" s="1" t="s">
        <v>7134</v>
      </c>
      <c r="B3392" s="38" t="s">
        <v>5277</v>
      </c>
      <c r="C3392" s="3" t="s">
        <v>7152</v>
      </c>
      <c r="D3392" s="3" t="s">
        <v>7150</v>
      </c>
      <c r="E3392" s="3" t="s">
        <v>7151</v>
      </c>
      <c r="F3392" s="3"/>
      <c r="G3392" s="4" t="s">
        <v>3190</v>
      </c>
      <c r="H3392" s="5">
        <v>0</v>
      </c>
      <c r="I3392" s="6">
        <v>710000000</v>
      </c>
      <c r="J3392" s="4" t="s">
        <v>1931</v>
      </c>
      <c r="K3392" s="4" t="s">
        <v>5706</v>
      </c>
      <c r="L3392" s="4" t="s">
        <v>1889</v>
      </c>
      <c r="M3392" s="8" t="s">
        <v>3195</v>
      </c>
      <c r="N3392" s="3" t="s">
        <v>1890</v>
      </c>
      <c r="O3392" s="8" t="s">
        <v>1935</v>
      </c>
      <c r="P3392" s="8">
        <v>796</v>
      </c>
      <c r="Q3392" s="8" t="s">
        <v>3196</v>
      </c>
      <c r="R3392" s="9">
        <v>20</v>
      </c>
      <c r="S3392" s="9">
        <v>1071</v>
      </c>
      <c r="T3392" s="10">
        <f t="shared" ref="T3392:T3394" si="2199">S3392*R3392</f>
        <v>21420</v>
      </c>
      <c r="U3392" s="10">
        <f t="shared" ref="U3392:U3394" si="2200">T3392*1.12</f>
        <v>23990.400000000001</v>
      </c>
      <c r="V3392" s="7"/>
      <c r="W3392" s="11">
        <v>2015</v>
      </c>
      <c r="X3392" s="12"/>
    </row>
    <row r="3393" spans="1:24" s="13" customFormat="1" ht="76.5" customHeight="1" outlineLevel="1" x14ac:dyDescent="0.2">
      <c r="A3393" s="1" t="s">
        <v>7135</v>
      </c>
      <c r="B3393" s="38" t="s">
        <v>5277</v>
      </c>
      <c r="C3393" s="3" t="s">
        <v>7155</v>
      </c>
      <c r="D3393" s="3" t="s">
        <v>7153</v>
      </c>
      <c r="E3393" s="3" t="s">
        <v>7154</v>
      </c>
      <c r="F3393" s="3"/>
      <c r="G3393" s="4" t="s">
        <v>3190</v>
      </c>
      <c r="H3393" s="5">
        <v>0</v>
      </c>
      <c r="I3393" s="6">
        <v>710000000</v>
      </c>
      <c r="J3393" s="4" t="s">
        <v>1931</v>
      </c>
      <c r="K3393" s="4" t="s">
        <v>5706</v>
      </c>
      <c r="L3393" s="4" t="s">
        <v>1889</v>
      </c>
      <c r="M3393" s="8" t="s">
        <v>3195</v>
      </c>
      <c r="N3393" s="3" t="s">
        <v>1890</v>
      </c>
      <c r="O3393" s="8" t="s">
        <v>1935</v>
      </c>
      <c r="P3393" s="76" t="s">
        <v>3010</v>
      </c>
      <c r="Q3393" s="8" t="s">
        <v>5142</v>
      </c>
      <c r="R3393" s="9">
        <v>5</v>
      </c>
      <c r="S3393" s="9">
        <v>6339</v>
      </c>
      <c r="T3393" s="10">
        <f t="shared" si="2199"/>
        <v>31695</v>
      </c>
      <c r="U3393" s="10">
        <f t="shared" si="2200"/>
        <v>35498.400000000001</v>
      </c>
      <c r="V3393" s="7"/>
      <c r="W3393" s="11">
        <v>2015</v>
      </c>
      <c r="X3393" s="12"/>
    </row>
    <row r="3394" spans="1:24" s="13" customFormat="1" ht="76.5" customHeight="1" outlineLevel="1" x14ac:dyDescent="0.2">
      <c r="A3394" s="1" t="s">
        <v>7147</v>
      </c>
      <c r="B3394" s="38" t="s">
        <v>5277</v>
      </c>
      <c r="C3394" s="3" t="s">
        <v>7158</v>
      </c>
      <c r="D3394" s="3" t="s">
        <v>7156</v>
      </c>
      <c r="E3394" s="3" t="s">
        <v>7157</v>
      </c>
      <c r="F3394" s="3"/>
      <c r="G3394" s="4" t="s">
        <v>3190</v>
      </c>
      <c r="H3394" s="5">
        <v>0</v>
      </c>
      <c r="I3394" s="6">
        <v>710000000</v>
      </c>
      <c r="J3394" s="4" t="s">
        <v>1931</v>
      </c>
      <c r="K3394" s="4" t="s">
        <v>5706</v>
      </c>
      <c r="L3394" s="4" t="s">
        <v>1889</v>
      </c>
      <c r="M3394" s="8" t="s">
        <v>3195</v>
      </c>
      <c r="N3394" s="3" t="s">
        <v>1890</v>
      </c>
      <c r="O3394" s="8" t="s">
        <v>1935</v>
      </c>
      <c r="P3394" s="8">
        <v>796</v>
      </c>
      <c r="Q3394" s="8" t="s">
        <v>3196</v>
      </c>
      <c r="R3394" s="9">
        <v>4</v>
      </c>
      <c r="S3394" s="9">
        <v>4815</v>
      </c>
      <c r="T3394" s="10">
        <f t="shared" si="2199"/>
        <v>19260</v>
      </c>
      <c r="U3394" s="10">
        <f t="shared" si="2200"/>
        <v>21571.200000000001</v>
      </c>
      <c r="V3394" s="7"/>
      <c r="W3394" s="11">
        <v>2015</v>
      </c>
      <c r="X3394" s="12"/>
    </row>
    <row r="3395" spans="1:24" s="13" customFormat="1" ht="76.5" customHeight="1" outlineLevel="1" x14ac:dyDescent="0.2">
      <c r="A3395" s="1" t="s">
        <v>7148</v>
      </c>
      <c r="B3395" s="38" t="s">
        <v>5277</v>
      </c>
      <c r="C3395" s="3" t="s">
        <v>7133</v>
      </c>
      <c r="D3395" s="3" t="s">
        <v>52</v>
      </c>
      <c r="E3395" s="3" t="s">
        <v>7132</v>
      </c>
      <c r="F3395" s="3" t="s">
        <v>7139</v>
      </c>
      <c r="G3395" s="4" t="s">
        <v>3190</v>
      </c>
      <c r="H3395" s="5">
        <v>0</v>
      </c>
      <c r="I3395" s="6">
        <v>710000000</v>
      </c>
      <c r="J3395" s="4" t="s">
        <v>1931</v>
      </c>
      <c r="K3395" s="4" t="s">
        <v>5706</v>
      </c>
      <c r="L3395" s="7" t="s">
        <v>1940</v>
      </c>
      <c r="M3395" s="8" t="s">
        <v>3195</v>
      </c>
      <c r="N3395" s="3" t="s">
        <v>1890</v>
      </c>
      <c r="O3395" s="8" t="s">
        <v>1935</v>
      </c>
      <c r="P3395" s="8">
        <v>796</v>
      </c>
      <c r="Q3395" s="8" t="s">
        <v>3196</v>
      </c>
      <c r="R3395" s="9">
        <v>1</v>
      </c>
      <c r="S3395" s="9">
        <v>140892.85999999999</v>
      </c>
      <c r="T3395" s="10">
        <f t="shared" ref="T3395" si="2201">S3395*R3395</f>
        <v>140892.85999999999</v>
      </c>
      <c r="U3395" s="10">
        <f t="shared" ref="U3395" si="2202">T3395*1.12</f>
        <v>157800.00320000001</v>
      </c>
      <c r="V3395" s="7"/>
      <c r="W3395" s="11">
        <v>2015</v>
      </c>
      <c r="X3395" s="12"/>
    </row>
    <row r="3396" spans="1:24" s="13" customFormat="1" ht="76.5" customHeight="1" outlineLevel="1" x14ac:dyDescent="0.2">
      <c r="A3396" s="1" t="s">
        <v>7149</v>
      </c>
      <c r="B3396" s="38" t="s">
        <v>5277</v>
      </c>
      <c r="C3396" s="3" t="s">
        <v>7240</v>
      </c>
      <c r="D3396" s="3" t="s">
        <v>2062</v>
      </c>
      <c r="E3396" s="3" t="s">
        <v>7239</v>
      </c>
      <c r="F3396" s="3" t="s">
        <v>7241</v>
      </c>
      <c r="G3396" s="4" t="s">
        <v>3190</v>
      </c>
      <c r="H3396" s="5">
        <v>0</v>
      </c>
      <c r="I3396" s="6">
        <v>710000000</v>
      </c>
      <c r="J3396" s="4" t="s">
        <v>1931</v>
      </c>
      <c r="K3396" s="4" t="s">
        <v>5706</v>
      </c>
      <c r="L3396" s="7" t="s">
        <v>1940</v>
      </c>
      <c r="M3396" s="8" t="s">
        <v>3195</v>
      </c>
      <c r="N3396" s="3" t="s">
        <v>1890</v>
      </c>
      <c r="O3396" s="8" t="s">
        <v>1935</v>
      </c>
      <c r="P3396" s="8">
        <v>796</v>
      </c>
      <c r="Q3396" s="8" t="s">
        <v>3196</v>
      </c>
      <c r="R3396" s="9">
        <v>6</v>
      </c>
      <c r="S3396" s="9">
        <v>53214.285000000003</v>
      </c>
      <c r="T3396" s="10">
        <f t="shared" ref="T3396:T3399" si="2203">S3396*R3396</f>
        <v>319285.71000000002</v>
      </c>
      <c r="U3396" s="10">
        <f t="shared" ref="U3396:U3400" si="2204">T3396*1.12</f>
        <v>357599.99520000006</v>
      </c>
      <c r="V3396" s="7"/>
      <c r="W3396" s="11">
        <v>2015</v>
      </c>
      <c r="X3396" s="12"/>
    </row>
    <row r="3397" spans="1:24" s="13" customFormat="1" ht="114.75" customHeight="1" outlineLevel="1" x14ac:dyDescent="0.2">
      <c r="A3397" s="1" t="s">
        <v>7165</v>
      </c>
      <c r="B3397" s="38" t="s">
        <v>5277</v>
      </c>
      <c r="C3397" s="3" t="s">
        <v>7138</v>
      </c>
      <c r="D3397" s="3" t="s">
        <v>7136</v>
      </c>
      <c r="E3397" s="3" t="s">
        <v>7137</v>
      </c>
      <c r="F3397" s="3" t="s">
        <v>7140</v>
      </c>
      <c r="G3397" s="4" t="s">
        <v>3190</v>
      </c>
      <c r="H3397" s="5">
        <v>0</v>
      </c>
      <c r="I3397" s="6">
        <v>710000000</v>
      </c>
      <c r="J3397" s="4" t="s">
        <v>1931</v>
      </c>
      <c r="K3397" s="4" t="s">
        <v>5706</v>
      </c>
      <c r="L3397" s="7" t="s">
        <v>1940</v>
      </c>
      <c r="M3397" s="8" t="s">
        <v>3195</v>
      </c>
      <c r="N3397" s="3" t="s">
        <v>1890</v>
      </c>
      <c r="O3397" s="8" t="s">
        <v>1935</v>
      </c>
      <c r="P3397" s="8">
        <v>112</v>
      </c>
      <c r="Q3397" s="8" t="s">
        <v>3026</v>
      </c>
      <c r="R3397" s="9">
        <v>5</v>
      </c>
      <c r="S3397" s="9">
        <v>10714.285</v>
      </c>
      <c r="T3397" s="10">
        <f t="shared" si="2203"/>
        <v>53571.425000000003</v>
      </c>
      <c r="U3397" s="10">
        <f t="shared" si="2204"/>
        <v>59999.996000000006</v>
      </c>
      <c r="V3397" s="7"/>
      <c r="W3397" s="11">
        <v>2015</v>
      </c>
      <c r="X3397" s="12"/>
    </row>
    <row r="3398" spans="1:24" s="13" customFormat="1" ht="114.75" customHeight="1" outlineLevel="1" x14ac:dyDescent="0.2">
      <c r="A3398" s="1" t="s">
        <v>7166</v>
      </c>
      <c r="B3398" s="38" t="s">
        <v>5277</v>
      </c>
      <c r="C3398" s="3" t="s">
        <v>7055</v>
      </c>
      <c r="D3398" s="3" t="s">
        <v>7056</v>
      </c>
      <c r="E3398" s="3" t="s">
        <v>7057</v>
      </c>
      <c r="F3398" s="3" t="s">
        <v>7058</v>
      </c>
      <c r="G3398" s="4" t="s">
        <v>1888</v>
      </c>
      <c r="H3398" s="5">
        <v>0.15</v>
      </c>
      <c r="I3398" s="6">
        <v>710000000</v>
      </c>
      <c r="J3398" s="4" t="s">
        <v>1931</v>
      </c>
      <c r="K3398" s="4" t="s">
        <v>5706</v>
      </c>
      <c r="L3398" s="4" t="s">
        <v>2985</v>
      </c>
      <c r="M3398" s="8" t="s">
        <v>3195</v>
      </c>
      <c r="N3398" s="3" t="s">
        <v>1408</v>
      </c>
      <c r="O3398" s="8" t="s">
        <v>2146</v>
      </c>
      <c r="P3398" s="8">
        <v>796</v>
      </c>
      <c r="Q3398" s="8" t="s">
        <v>3196</v>
      </c>
      <c r="R3398" s="9">
        <v>8</v>
      </c>
      <c r="S3398" s="9">
        <v>8894500</v>
      </c>
      <c r="T3398" s="10">
        <v>0</v>
      </c>
      <c r="U3398" s="10">
        <f t="shared" si="2204"/>
        <v>0</v>
      </c>
      <c r="V3398" s="7" t="s">
        <v>3027</v>
      </c>
      <c r="W3398" s="11">
        <v>2015</v>
      </c>
      <c r="X3398" s="12" t="s">
        <v>6565</v>
      </c>
    </row>
    <row r="3399" spans="1:24" s="13" customFormat="1" ht="76.5" customHeight="1" outlineLevel="1" x14ac:dyDescent="0.2">
      <c r="A3399" s="1" t="s">
        <v>7244</v>
      </c>
      <c r="B3399" s="38" t="s">
        <v>5277</v>
      </c>
      <c r="C3399" s="3" t="s">
        <v>7248</v>
      </c>
      <c r="D3399" s="3" t="s">
        <v>7246</v>
      </c>
      <c r="E3399" s="3" t="s">
        <v>7247</v>
      </c>
      <c r="F3399" s="3" t="s">
        <v>7253</v>
      </c>
      <c r="G3399" s="4" t="s">
        <v>3190</v>
      </c>
      <c r="H3399" s="5">
        <v>0</v>
      </c>
      <c r="I3399" s="6">
        <v>710000000</v>
      </c>
      <c r="J3399" s="4" t="s">
        <v>1931</v>
      </c>
      <c r="K3399" s="4" t="s">
        <v>5706</v>
      </c>
      <c r="L3399" s="7" t="s">
        <v>1708</v>
      </c>
      <c r="M3399" s="8" t="s">
        <v>3195</v>
      </c>
      <c r="N3399" s="3" t="s">
        <v>1408</v>
      </c>
      <c r="O3399" s="8" t="s">
        <v>1935</v>
      </c>
      <c r="P3399" s="8">
        <v>796</v>
      </c>
      <c r="Q3399" s="8" t="s">
        <v>3196</v>
      </c>
      <c r="R3399" s="9">
        <v>3</v>
      </c>
      <c r="S3399" s="9">
        <v>526741.06999999995</v>
      </c>
      <c r="T3399" s="10">
        <f t="shared" si="2203"/>
        <v>1580223.21</v>
      </c>
      <c r="U3399" s="10">
        <f t="shared" si="2204"/>
        <v>1769849.9952000002</v>
      </c>
      <c r="V3399" s="7"/>
      <c r="W3399" s="11">
        <v>2015</v>
      </c>
      <c r="X3399" s="12"/>
    </row>
    <row r="3400" spans="1:24" s="13" customFormat="1" ht="76.5" customHeight="1" outlineLevel="1" x14ac:dyDescent="0.2">
      <c r="A3400" s="1" t="s">
        <v>7245</v>
      </c>
      <c r="B3400" s="38" t="s">
        <v>5277</v>
      </c>
      <c r="C3400" s="3" t="s">
        <v>7251</v>
      </c>
      <c r="D3400" s="3" t="s">
        <v>7249</v>
      </c>
      <c r="E3400" s="3" t="s">
        <v>7250</v>
      </c>
      <c r="F3400" s="3" t="s">
        <v>7257</v>
      </c>
      <c r="G3400" s="4" t="s">
        <v>3187</v>
      </c>
      <c r="H3400" s="5">
        <v>0</v>
      </c>
      <c r="I3400" s="6">
        <v>710000000</v>
      </c>
      <c r="J3400" s="4" t="s">
        <v>1931</v>
      </c>
      <c r="K3400" s="4" t="s">
        <v>5706</v>
      </c>
      <c r="L3400" s="7" t="s">
        <v>1708</v>
      </c>
      <c r="M3400" s="8" t="s">
        <v>3195</v>
      </c>
      <c r="N3400" s="3" t="s">
        <v>1408</v>
      </c>
      <c r="O3400" s="8" t="s">
        <v>1935</v>
      </c>
      <c r="P3400" s="8">
        <v>839</v>
      </c>
      <c r="Q3400" s="8" t="s">
        <v>5413</v>
      </c>
      <c r="R3400" s="9">
        <v>6</v>
      </c>
      <c r="S3400" s="9">
        <v>509017.41</v>
      </c>
      <c r="T3400" s="10">
        <v>0</v>
      </c>
      <c r="U3400" s="10">
        <f t="shared" si="2204"/>
        <v>0</v>
      </c>
      <c r="V3400" s="7"/>
      <c r="W3400" s="11">
        <v>2015</v>
      </c>
      <c r="X3400" s="12" t="s">
        <v>6582</v>
      </c>
    </row>
    <row r="3401" spans="1:24" s="13" customFormat="1" ht="76.5" customHeight="1" outlineLevel="1" x14ac:dyDescent="0.2">
      <c r="A3401" s="1" t="s">
        <v>7295</v>
      </c>
      <c r="B3401" s="38" t="s">
        <v>5277</v>
      </c>
      <c r="C3401" s="3" t="s">
        <v>7251</v>
      </c>
      <c r="D3401" s="3" t="s">
        <v>7249</v>
      </c>
      <c r="E3401" s="3" t="s">
        <v>7250</v>
      </c>
      <c r="F3401" s="3" t="s">
        <v>7257</v>
      </c>
      <c r="G3401" s="4" t="s">
        <v>3187</v>
      </c>
      <c r="H3401" s="5">
        <v>0</v>
      </c>
      <c r="I3401" s="6">
        <v>710000000</v>
      </c>
      <c r="J3401" s="4" t="s">
        <v>1931</v>
      </c>
      <c r="K3401" s="4" t="s">
        <v>5706</v>
      </c>
      <c r="L3401" s="7" t="s">
        <v>1708</v>
      </c>
      <c r="M3401" s="8" t="s">
        <v>3195</v>
      </c>
      <c r="N3401" s="3" t="s">
        <v>1408</v>
      </c>
      <c r="O3401" s="8" t="s">
        <v>1935</v>
      </c>
      <c r="P3401" s="8">
        <v>839</v>
      </c>
      <c r="Q3401" s="8" t="s">
        <v>5413</v>
      </c>
      <c r="R3401" s="9">
        <v>6</v>
      </c>
      <c r="S3401" s="9">
        <v>566517.85699999996</v>
      </c>
      <c r="T3401" s="10">
        <f t="shared" ref="T3401" si="2205">S3401*R3401</f>
        <v>3399107.142</v>
      </c>
      <c r="U3401" s="10">
        <f t="shared" ref="U3401" si="2206">T3401*1.12</f>
        <v>3806999.9990400001</v>
      </c>
      <c r="V3401" s="7"/>
      <c r="W3401" s="11">
        <v>2015</v>
      </c>
      <c r="X3401" s="12"/>
    </row>
    <row r="3402" spans="1:24" s="13" customFormat="1" ht="76.5" customHeight="1" outlineLevel="1" x14ac:dyDescent="0.2">
      <c r="A3402" s="1" t="s">
        <v>7270</v>
      </c>
      <c r="B3402" s="38" t="s">
        <v>5277</v>
      </c>
      <c r="C3402" s="3" t="s">
        <v>7274</v>
      </c>
      <c r="D3402" s="3" t="s">
        <v>7272</v>
      </c>
      <c r="E3402" s="3" t="s">
        <v>7273</v>
      </c>
      <c r="F3402" s="4" t="s">
        <v>7277</v>
      </c>
      <c r="G3402" s="4" t="s">
        <v>3190</v>
      </c>
      <c r="H3402" s="5">
        <v>0</v>
      </c>
      <c r="I3402" s="6">
        <v>710000000</v>
      </c>
      <c r="J3402" s="4" t="s">
        <v>1931</v>
      </c>
      <c r="K3402" s="4" t="s">
        <v>5706</v>
      </c>
      <c r="L3402" s="4" t="s">
        <v>1889</v>
      </c>
      <c r="M3402" s="8" t="s">
        <v>3195</v>
      </c>
      <c r="N3402" s="4" t="s">
        <v>7238</v>
      </c>
      <c r="O3402" s="8" t="s">
        <v>1935</v>
      </c>
      <c r="P3402" s="8">
        <v>796</v>
      </c>
      <c r="Q3402" s="8" t="s">
        <v>3196</v>
      </c>
      <c r="R3402" s="9">
        <v>10</v>
      </c>
      <c r="S3402" s="9">
        <v>42758.928999999996</v>
      </c>
      <c r="T3402" s="10">
        <f t="shared" ref="T3402:T3408" si="2207">S3402*R3402</f>
        <v>427589.29</v>
      </c>
      <c r="U3402" s="10">
        <f t="shared" ref="U3402:U3415" si="2208">T3402*1.12</f>
        <v>478900.0048</v>
      </c>
      <c r="V3402" s="7"/>
      <c r="W3402" s="11">
        <v>2015</v>
      </c>
      <c r="X3402" s="12"/>
    </row>
    <row r="3403" spans="1:24" s="13" customFormat="1" ht="76.5" customHeight="1" outlineLevel="1" x14ac:dyDescent="0.2">
      <c r="A3403" s="1" t="s">
        <v>7271</v>
      </c>
      <c r="B3403" s="38" t="s">
        <v>5277</v>
      </c>
      <c r="C3403" s="3" t="s">
        <v>7276</v>
      </c>
      <c r="D3403" s="3" t="s">
        <v>7272</v>
      </c>
      <c r="E3403" s="3" t="s">
        <v>7275</v>
      </c>
      <c r="F3403" s="4" t="s">
        <v>7277</v>
      </c>
      <c r="G3403" s="4" t="s">
        <v>3190</v>
      </c>
      <c r="H3403" s="5">
        <v>0</v>
      </c>
      <c r="I3403" s="6">
        <v>710000000</v>
      </c>
      <c r="J3403" s="4" t="s">
        <v>1931</v>
      </c>
      <c r="K3403" s="4" t="s">
        <v>5706</v>
      </c>
      <c r="L3403" s="4" t="s">
        <v>1889</v>
      </c>
      <c r="M3403" s="8" t="s">
        <v>3195</v>
      </c>
      <c r="N3403" s="4" t="s">
        <v>7238</v>
      </c>
      <c r="O3403" s="8" t="s">
        <v>1935</v>
      </c>
      <c r="P3403" s="8">
        <v>796</v>
      </c>
      <c r="Q3403" s="8" t="s">
        <v>3196</v>
      </c>
      <c r="R3403" s="9">
        <v>2</v>
      </c>
      <c r="S3403" s="9">
        <v>136351.785</v>
      </c>
      <c r="T3403" s="10">
        <f t="shared" si="2207"/>
        <v>272703.57</v>
      </c>
      <c r="U3403" s="10">
        <f t="shared" si="2208"/>
        <v>305427.99840000004</v>
      </c>
      <c r="V3403" s="7"/>
      <c r="W3403" s="11">
        <v>2015</v>
      </c>
      <c r="X3403" s="12"/>
    </row>
    <row r="3404" spans="1:24" s="13" customFormat="1" ht="96.75" customHeight="1" outlineLevel="1" x14ac:dyDescent="0.2">
      <c r="A3404" s="1" t="s">
        <v>7330</v>
      </c>
      <c r="B3404" s="2" t="s">
        <v>5277</v>
      </c>
      <c r="C3404" s="3" t="s">
        <v>7322</v>
      </c>
      <c r="D3404" s="3" t="s">
        <v>7323</v>
      </c>
      <c r="E3404" s="3" t="s">
        <v>7324</v>
      </c>
      <c r="F3404" s="3" t="s">
        <v>7325</v>
      </c>
      <c r="G3404" s="4" t="s">
        <v>3190</v>
      </c>
      <c r="H3404" s="5">
        <v>0</v>
      </c>
      <c r="I3404" s="6">
        <v>710000000</v>
      </c>
      <c r="J3404" s="4" t="s">
        <v>1931</v>
      </c>
      <c r="K3404" s="4" t="s">
        <v>5292</v>
      </c>
      <c r="L3404" s="7" t="s">
        <v>1933</v>
      </c>
      <c r="M3404" s="8" t="s">
        <v>3195</v>
      </c>
      <c r="N3404" s="3" t="s">
        <v>1408</v>
      </c>
      <c r="O3404" s="8" t="s">
        <v>1935</v>
      </c>
      <c r="P3404" s="8">
        <v>796</v>
      </c>
      <c r="Q3404" s="8" t="s">
        <v>3196</v>
      </c>
      <c r="R3404" s="9">
        <v>1</v>
      </c>
      <c r="S3404" s="9">
        <v>285000</v>
      </c>
      <c r="T3404" s="10">
        <v>0</v>
      </c>
      <c r="U3404" s="10">
        <f t="shared" si="2208"/>
        <v>0</v>
      </c>
      <c r="V3404" s="7"/>
      <c r="W3404" s="11">
        <v>2015</v>
      </c>
      <c r="X3404" s="12" t="s">
        <v>9004</v>
      </c>
    </row>
    <row r="3405" spans="1:24" s="13" customFormat="1" ht="96.75" customHeight="1" outlineLevel="1" x14ac:dyDescent="0.2">
      <c r="A3405" s="1" t="s">
        <v>9000</v>
      </c>
      <c r="B3405" s="2" t="s">
        <v>5277</v>
      </c>
      <c r="C3405" s="3" t="s">
        <v>7322</v>
      </c>
      <c r="D3405" s="3" t="s">
        <v>7323</v>
      </c>
      <c r="E3405" s="3" t="s">
        <v>7324</v>
      </c>
      <c r="F3405" s="3" t="s">
        <v>7325</v>
      </c>
      <c r="G3405" s="4" t="s">
        <v>3190</v>
      </c>
      <c r="H3405" s="5">
        <v>0</v>
      </c>
      <c r="I3405" s="6">
        <v>710000000</v>
      </c>
      <c r="J3405" s="4" t="s">
        <v>1931</v>
      </c>
      <c r="K3405" s="4" t="s">
        <v>9001</v>
      </c>
      <c r="L3405" s="7" t="s">
        <v>1933</v>
      </c>
      <c r="M3405" s="8" t="s">
        <v>3195</v>
      </c>
      <c r="N3405" s="3" t="s">
        <v>1408</v>
      </c>
      <c r="O3405" s="8" t="s">
        <v>9002</v>
      </c>
      <c r="P3405" s="8">
        <v>796</v>
      </c>
      <c r="Q3405" s="8" t="s">
        <v>3196</v>
      </c>
      <c r="R3405" s="9">
        <v>1</v>
      </c>
      <c r="S3405" s="9">
        <v>370535.71</v>
      </c>
      <c r="T3405" s="10">
        <f t="shared" ref="T3405" si="2209">S3405*R3405</f>
        <v>370535.71</v>
      </c>
      <c r="U3405" s="10">
        <f t="shared" ref="U3405" si="2210">T3405*1.12</f>
        <v>414999.99520000006</v>
      </c>
      <c r="V3405" s="7"/>
      <c r="W3405" s="11">
        <v>2015</v>
      </c>
      <c r="X3405" s="12"/>
    </row>
    <row r="3406" spans="1:24" s="13" customFormat="1" ht="99.75" customHeight="1" outlineLevel="1" x14ac:dyDescent="0.2">
      <c r="A3406" s="1" t="s">
        <v>7335</v>
      </c>
      <c r="B3406" s="2" t="s">
        <v>5277</v>
      </c>
      <c r="C3406" s="3" t="s">
        <v>7326</v>
      </c>
      <c r="D3406" s="3" t="s">
        <v>7327</v>
      </c>
      <c r="E3406" s="3" t="s">
        <v>7328</v>
      </c>
      <c r="F3406" s="3" t="s">
        <v>7329</v>
      </c>
      <c r="G3406" s="4" t="s">
        <v>3190</v>
      </c>
      <c r="H3406" s="5">
        <v>0</v>
      </c>
      <c r="I3406" s="6">
        <v>710000000</v>
      </c>
      <c r="J3406" s="4" t="s">
        <v>1931</v>
      </c>
      <c r="K3406" s="4" t="s">
        <v>5292</v>
      </c>
      <c r="L3406" s="7" t="s">
        <v>1933</v>
      </c>
      <c r="M3406" s="8" t="s">
        <v>3195</v>
      </c>
      <c r="N3406" s="3" t="s">
        <v>1408</v>
      </c>
      <c r="O3406" s="8" t="s">
        <v>1935</v>
      </c>
      <c r="P3406" s="8">
        <v>796</v>
      </c>
      <c r="Q3406" s="8" t="s">
        <v>3196</v>
      </c>
      <c r="R3406" s="9">
        <v>1</v>
      </c>
      <c r="S3406" s="9">
        <v>130000</v>
      </c>
      <c r="T3406" s="10">
        <v>0</v>
      </c>
      <c r="U3406" s="10">
        <f t="shared" si="2208"/>
        <v>0</v>
      </c>
      <c r="V3406" s="7"/>
      <c r="W3406" s="11">
        <v>2015</v>
      </c>
      <c r="X3406" s="12" t="s">
        <v>9004</v>
      </c>
    </row>
    <row r="3407" spans="1:24" s="13" customFormat="1" ht="99.75" customHeight="1" outlineLevel="1" x14ac:dyDescent="0.2">
      <c r="A3407" s="1" t="s">
        <v>9003</v>
      </c>
      <c r="B3407" s="2" t="s">
        <v>5277</v>
      </c>
      <c r="C3407" s="3" t="s">
        <v>7326</v>
      </c>
      <c r="D3407" s="3" t="s">
        <v>7327</v>
      </c>
      <c r="E3407" s="3" t="s">
        <v>7328</v>
      </c>
      <c r="F3407" s="3" t="s">
        <v>7329</v>
      </c>
      <c r="G3407" s="4" t="s">
        <v>3190</v>
      </c>
      <c r="H3407" s="5">
        <v>0</v>
      </c>
      <c r="I3407" s="6">
        <v>710000000</v>
      </c>
      <c r="J3407" s="4" t="s">
        <v>1931</v>
      </c>
      <c r="K3407" s="4" t="s">
        <v>9001</v>
      </c>
      <c r="L3407" s="7" t="s">
        <v>1933</v>
      </c>
      <c r="M3407" s="8" t="s">
        <v>3195</v>
      </c>
      <c r="N3407" s="3" t="s">
        <v>1408</v>
      </c>
      <c r="O3407" s="8" t="s">
        <v>9002</v>
      </c>
      <c r="P3407" s="8">
        <v>796</v>
      </c>
      <c r="Q3407" s="8" t="s">
        <v>3196</v>
      </c>
      <c r="R3407" s="9">
        <v>1</v>
      </c>
      <c r="S3407" s="9">
        <v>187500</v>
      </c>
      <c r="T3407" s="10">
        <f t="shared" ref="T3407" si="2211">S3407*R3407</f>
        <v>187500</v>
      </c>
      <c r="U3407" s="10">
        <f t="shared" ref="U3407" si="2212">T3407*1.12</f>
        <v>210000.00000000003</v>
      </c>
      <c r="V3407" s="7"/>
      <c r="W3407" s="11">
        <v>2015</v>
      </c>
      <c r="X3407" s="12"/>
    </row>
    <row r="3408" spans="1:24" s="13" customFormat="1" ht="76.5" customHeight="1" outlineLevel="1" x14ac:dyDescent="0.2">
      <c r="A3408" s="1" t="s">
        <v>7336</v>
      </c>
      <c r="B3408" s="2" t="s">
        <v>5277</v>
      </c>
      <c r="C3408" s="14" t="s">
        <v>7331</v>
      </c>
      <c r="D3408" s="3" t="s">
        <v>7332</v>
      </c>
      <c r="E3408" s="3" t="s">
        <v>7333</v>
      </c>
      <c r="F3408" s="3" t="s">
        <v>7334</v>
      </c>
      <c r="G3408" s="4" t="s">
        <v>3190</v>
      </c>
      <c r="H3408" s="5">
        <v>0</v>
      </c>
      <c r="I3408" s="6">
        <v>710000000</v>
      </c>
      <c r="J3408" s="4" t="s">
        <v>1931</v>
      </c>
      <c r="K3408" s="4" t="s">
        <v>5292</v>
      </c>
      <c r="L3408" s="7" t="s">
        <v>1933</v>
      </c>
      <c r="M3408" s="8" t="s">
        <v>3195</v>
      </c>
      <c r="N3408" s="3" t="s">
        <v>1408</v>
      </c>
      <c r="O3408" s="8" t="s">
        <v>1935</v>
      </c>
      <c r="P3408" s="8">
        <v>797</v>
      </c>
      <c r="Q3408" s="8" t="s">
        <v>3196</v>
      </c>
      <c r="R3408" s="9">
        <v>1</v>
      </c>
      <c r="S3408" s="9">
        <v>42000</v>
      </c>
      <c r="T3408" s="10">
        <f t="shared" si="2207"/>
        <v>42000</v>
      </c>
      <c r="U3408" s="10">
        <f t="shared" si="2208"/>
        <v>47040.000000000007</v>
      </c>
      <c r="V3408" s="7"/>
      <c r="W3408" s="11">
        <v>2015</v>
      </c>
      <c r="X3408" s="12"/>
    </row>
    <row r="3409" spans="1:25" ht="76.5" customHeight="1" x14ac:dyDescent="0.2">
      <c r="A3409" s="1" t="s">
        <v>7526</v>
      </c>
      <c r="B3409" s="24" t="s">
        <v>5277</v>
      </c>
      <c r="C3409" s="7" t="s">
        <v>1377</v>
      </c>
      <c r="D3409" s="7" t="s">
        <v>5758</v>
      </c>
      <c r="E3409" s="18" t="s">
        <v>1378</v>
      </c>
      <c r="F3409" s="25"/>
      <c r="G3409" s="4" t="s">
        <v>1888</v>
      </c>
      <c r="H3409" s="5">
        <v>0.4</v>
      </c>
      <c r="I3409" s="18">
        <v>710000000</v>
      </c>
      <c r="J3409" s="4" t="s">
        <v>1931</v>
      </c>
      <c r="K3409" s="4" t="s">
        <v>5292</v>
      </c>
      <c r="L3409" s="4" t="s">
        <v>1889</v>
      </c>
      <c r="M3409" s="8" t="s">
        <v>3195</v>
      </c>
      <c r="N3409" s="8" t="s">
        <v>7523</v>
      </c>
      <c r="O3409" s="8" t="s">
        <v>2146</v>
      </c>
      <c r="P3409" s="1">
        <v>715</v>
      </c>
      <c r="Q3409" s="4" t="s">
        <v>5618</v>
      </c>
      <c r="R3409" s="10">
        <v>6</v>
      </c>
      <c r="S3409" s="10">
        <v>2134.67</v>
      </c>
      <c r="T3409" s="10">
        <v>0</v>
      </c>
      <c r="U3409" s="10">
        <f t="shared" si="2208"/>
        <v>0</v>
      </c>
      <c r="V3409" s="8" t="s">
        <v>3027</v>
      </c>
      <c r="W3409" s="4">
        <v>2015</v>
      </c>
      <c r="X3409" s="1">
        <v>11</v>
      </c>
    </row>
    <row r="3410" spans="1:25" ht="76.5" customHeight="1" x14ac:dyDescent="0.2">
      <c r="A3410" s="1" t="s">
        <v>8782</v>
      </c>
      <c r="B3410" s="24" t="s">
        <v>5277</v>
      </c>
      <c r="C3410" s="7" t="s">
        <v>1377</v>
      </c>
      <c r="D3410" s="7" t="s">
        <v>5758</v>
      </c>
      <c r="E3410" s="18" t="s">
        <v>1378</v>
      </c>
      <c r="F3410" s="25"/>
      <c r="G3410" s="4" t="s">
        <v>1888</v>
      </c>
      <c r="H3410" s="5">
        <v>0.4</v>
      </c>
      <c r="I3410" s="18">
        <v>710000000</v>
      </c>
      <c r="J3410" s="4" t="s">
        <v>1931</v>
      </c>
      <c r="K3410" s="4" t="s">
        <v>6167</v>
      </c>
      <c r="L3410" s="4" t="s">
        <v>1889</v>
      </c>
      <c r="M3410" s="8" t="s">
        <v>3195</v>
      </c>
      <c r="N3410" s="8" t="s">
        <v>7523</v>
      </c>
      <c r="O3410" s="8" t="s">
        <v>2146</v>
      </c>
      <c r="P3410" s="1">
        <v>715</v>
      </c>
      <c r="Q3410" s="4" t="s">
        <v>5618</v>
      </c>
      <c r="R3410" s="10">
        <v>6</v>
      </c>
      <c r="S3410" s="10">
        <v>2134.67</v>
      </c>
      <c r="T3410" s="10">
        <v>0</v>
      </c>
      <c r="U3410" s="10">
        <f t="shared" ref="U3410" si="2213">T3410*1.12</f>
        <v>0</v>
      </c>
      <c r="V3410" s="8" t="s">
        <v>3027</v>
      </c>
      <c r="W3410" s="4">
        <v>2015</v>
      </c>
      <c r="X3410" s="1">
        <v>11.22</v>
      </c>
    </row>
    <row r="3411" spans="1:25" ht="76.5" customHeight="1" x14ac:dyDescent="0.2">
      <c r="A3411" s="1" t="s">
        <v>9040</v>
      </c>
      <c r="B3411" s="24" t="s">
        <v>5277</v>
      </c>
      <c r="C3411" s="7" t="s">
        <v>1377</v>
      </c>
      <c r="D3411" s="7" t="s">
        <v>5758</v>
      </c>
      <c r="E3411" s="18" t="s">
        <v>1378</v>
      </c>
      <c r="F3411" s="25"/>
      <c r="G3411" s="4" t="s">
        <v>1888</v>
      </c>
      <c r="H3411" s="5">
        <v>0.4</v>
      </c>
      <c r="I3411" s="18">
        <v>710000000</v>
      </c>
      <c r="J3411" s="4" t="s">
        <v>1931</v>
      </c>
      <c r="K3411" s="4" t="s">
        <v>8982</v>
      </c>
      <c r="L3411" s="4" t="s">
        <v>1889</v>
      </c>
      <c r="M3411" s="8" t="s">
        <v>3195</v>
      </c>
      <c r="N3411" s="8" t="s">
        <v>7523</v>
      </c>
      <c r="O3411" s="8" t="s">
        <v>2146</v>
      </c>
      <c r="P3411" s="1">
        <v>715</v>
      </c>
      <c r="Q3411" s="4" t="s">
        <v>5618</v>
      </c>
      <c r="R3411" s="10">
        <v>6</v>
      </c>
      <c r="S3411" s="10">
        <v>2134.67</v>
      </c>
      <c r="T3411" s="10">
        <f t="shared" ref="T3411" si="2214">R3411*S3411</f>
        <v>12808.02</v>
      </c>
      <c r="U3411" s="10">
        <f t="shared" ref="U3411" si="2215">T3411*1.12</f>
        <v>14344.982400000003</v>
      </c>
      <c r="V3411" s="8"/>
      <c r="W3411" s="4">
        <v>2015</v>
      </c>
      <c r="X3411" s="1"/>
    </row>
    <row r="3412" spans="1:25" ht="105.75" customHeight="1" x14ac:dyDescent="0.2">
      <c r="A3412" s="1" t="s">
        <v>7531</v>
      </c>
      <c r="B3412" s="2" t="s">
        <v>5277</v>
      </c>
      <c r="C3412" s="14" t="s">
        <v>7524</v>
      </c>
      <c r="D3412" s="3" t="s">
        <v>5716</v>
      </c>
      <c r="E3412" s="3" t="s">
        <v>7535</v>
      </c>
      <c r="F3412" s="3" t="s">
        <v>7525</v>
      </c>
      <c r="G3412" s="4" t="s">
        <v>1888</v>
      </c>
      <c r="H3412" s="5">
        <v>0.4</v>
      </c>
      <c r="I3412" s="18">
        <v>710000000</v>
      </c>
      <c r="J3412" s="4" t="s">
        <v>1931</v>
      </c>
      <c r="K3412" s="4" t="s">
        <v>5292</v>
      </c>
      <c r="L3412" s="4" t="s">
        <v>1889</v>
      </c>
      <c r="M3412" s="8" t="s">
        <v>3195</v>
      </c>
      <c r="N3412" s="3" t="s">
        <v>1408</v>
      </c>
      <c r="O3412" s="8" t="s">
        <v>1935</v>
      </c>
      <c r="P3412" s="8">
        <v>839</v>
      </c>
      <c r="Q3412" s="8" t="s">
        <v>5413</v>
      </c>
      <c r="R3412" s="9">
        <v>2</v>
      </c>
      <c r="S3412" s="9">
        <v>3857</v>
      </c>
      <c r="T3412" s="10">
        <v>0</v>
      </c>
      <c r="U3412" s="10">
        <f t="shared" si="2208"/>
        <v>0</v>
      </c>
      <c r="V3412" s="54" t="s">
        <v>3027</v>
      </c>
      <c r="W3412" s="11">
        <v>2015</v>
      </c>
      <c r="X3412" s="12">
        <v>11</v>
      </c>
    </row>
    <row r="3413" spans="1:25" ht="105.75" customHeight="1" x14ac:dyDescent="0.2">
      <c r="A3413" s="1" t="s">
        <v>8783</v>
      </c>
      <c r="B3413" s="2" t="s">
        <v>5277</v>
      </c>
      <c r="C3413" s="14" t="s">
        <v>7524</v>
      </c>
      <c r="D3413" s="3" t="s">
        <v>5716</v>
      </c>
      <c r="E3413" s="3" t="s">
        <v>7535</v>
      </c>
      <c r="F3413" s="3" t="s">
        <v>7525</v>
      </c>
      <c r="G3413" s="4" t="s">
        <v>1888</v>
      </c>
      <c r="H3413" s="5">
        <v>0.4</v>
      </c>
      <c r="I3413" s="18">
        <v>710000000</v>
      </c>
      <c r="J3413" s="4" t="s">
        <v>1931</v>
      </c>
      <c r="K3413" s="4" t="s">
        <v>6167</v>
      </c>
      <c r="L3413" s="4" t="s">
        <v>1889</v>
      </c>
      <c r="M3413" s="8" t="s">
        <v>3195</v>
      </c>
      <c r="N3413" s="3" t="s">
        <v>1408</v>
      </c>
      <c r="O3413" s="8" t="s">
        <v>1935</v>
      </c>
      <c r="P3413" s="8">
        <v>839</v>
      </c>
      <c r="Q3413" s="8" t="s">
        <v>5413</v>
      </c>
      <c r="R3413" s="9">
        <v>2</v>
      </c>
      <c r="S3413" s="9">
        <v>3857</v>
      </c>
      <c r="T3413" s="10">
        <v>0</v>
      </c>
      <c r="U3413" s="10">
        <f t="shared" ref="U3413" si="2216">T3413*1.12</f>
        <v>0</v>
      </c>
      <c r="V3413" s="54" t="s">
        <v>3027</v>
      </c>
      <c r="W3413" s="11">
        <v>2015</v>
      </c>
      <c r="X3413" s="12">
        <v>11.22</v>
      </c>
    </row>
    <row r="3414" spans="1:25" ht="105.75" customHeight="1" x14ac:dyDescent="0.2">
      <c r="A3414" s="1" t="s">
        <v>9041</v>
      </c>
      <c r="B3414" s="2" t="s">
        <v>5277</v>
      </c>
      <c r="C3414" s="14" t="s">
        <v>7524</v>
      </c>
      <c r="D3414" s="3" t="s">
        <v>5716</v>
      </c>
      <c r="E3414" s="3" t="s">
        <v>7535</v>
      </c>
      <c r="F3414" s="3" t="s">
        <v>7525</v>
      </c>
      <c r="G3414" s="4" t="s">
        <v>1888</v>
      </c>
      <c r="H3414" s="5">
        <v>0.4</v>
      </c>
      <c r="I3414" s="18">
        <v>710000000</v>
      </c>
      <c r="J3414" s="4" t="s">
        <v>1931</v>
      </c>
      <c r="K3414" s="4" t="s">
        <v>8982</v>
      </c>
      <c r="L3414" s="4" t="s">
        <v>1889</v>
      </c>
      <c r="M3414" s="8" t="s">
        <v>3195</v>
      </c>
      <c r="N3414" s="3" t="s">
        <v>1408</v>
      </c>
      <c r="O3414" s="8" t="s">
        <v>1935</v>
      </c>
      <c r="P3414" s="8">
        <v>839</v>
      </c>
      <c r="Q3414" s="8" t="s">
        <v>5413</v>
      </c>
      <c r="R3414" s="9">
        <v>2</v>
      </c>
      <c r="S3414" s="9">
        <v>3857</v>
      </c>
      <c r="T3414" s="10">
        <f t="shared" ref="T3414" si="2217">R3414*S3414</f>
        <v>7714</v>
      </c>
      <c r="U3414" s="10">
        <f t="shared" ref="U3414" si="2218">T3414*1.12</f>
        <v>8639.68</v>
      </c>
      <c r="V3414" s="54"/>
      <c r="W3414" s="11">
        <v>2015</v>
      </c>
      <c r="X3414" s="12"/>
    </row>
    <row r="3415" spans="1:25" s="28" customFormat="1" ht="78.75" customHeight="1" x14ac:dyDescent="0.2">
      <c r="A3415" s="1" t="s">
        <v>7532</v>
      </c>
      <c r="B3415" s="15" t="s">
        <v>5277</v>
      </c>
      <c r="C3415" s="7" t="s">
        <v>7527</v>
      </c>
      <c r="D3415" s="7" t="s">
        <v>7528</v>
      </c>
      <c r="E3415" s="7" t="s">
        <v>7529</v>
      </c>
      <c r="F3415" s="7" t="s">
        <v>7530</v>
      </c>
      <c r="G3415" s="4" t="s">
        <v>1888</v>
      </c>
      <c r="H3415" s="17">
        <v>0.4</v>
      </c>
      <c r="I3415" s="18">
        <v>710000000</v>
      </c>
      <c r="J3415" s="4" t="s">
        <v>1931</v>
      </c>
      <c r="K3415" s="4" t="s">
        <v>5292</v>
      </c>
      <c r="L3415" s="4" t="s">
        <v>1889</v>
      </c>
      <c r="M3415" s="8" t="s">
        <v>3195</v>
      </c>
      <c r="N3415" s="4" t="s">
        <v>1890</v>
      </c>
      <c r="O3415" s="16" t="s">
        <v>2146</v>
      </c>
      <c r="P3415" s="29">
        <v>839</v>
      </c>
      <c r="Q3415" s="4" t="s">
        <v>5413</v>
      </c>
      <c r="R3415" s="10">
        <v>6</v>
      </c>
      <c r="S3415" s="19">
        <v>4928.67</v>
      </c>
      <c r="T3415" s="10">
        <v>0</v>
      </c>
      <c r="U3415" s="10">
        <f t="shared" si="2208"/>
        <v>0</v>
      </c>
      <c r="V3415" s="11" t="s">
        <v>3027</v>
      </c>
      <c r="W3415" s="11">
        <v>2015</v>
      </c>
      <c r="X3415" s="1">
        <v>11</v>
      </c>
      <c r="Y3415" s="99"/>
    </row>
    <row r="3416" spans="1:25" s="28" customFormat="1" ht="78.75" customHeight="1" x14ac:dyDescent="0.2">
      <c r="A3416" s="1" t="s">
        <v>8784</v>
      </c>
      <c r="B3416" s="15" t="s">
        <v>5277</v>
      </c>
      <c r="C3416" s="7" t="s">
        <v>7527</v>
      </c>
      <c r="D3416" s="7" t="s">
        <v>7528</v>
      </c>
      <c r="E3416" s="7" t="s">
        <v>7529</v>
      </c>
      <c r="F3416" s="7" t="s">
        <v>7530</v>
      </c>
      <c r="G3416" s="4" t="s">
        <v>1888</v>
      </c>
      <c r="H3416" s="17">
        <v>0.4</v>
      </c>
      <c r="I3416" s="18">
        <v>710000000</v>
      </c>
      <c r="J3416" s="4" t="s">
        <v>1931</v>
      </c>
      <c r="K3416" s="4" t="s">
        <v>6167</v>
      </c>
      <c r="L3416" s="4" t="s">
        <v>1889</v>
      </c>
      <c r="M3416" s="8" t="s">
        <v>3195</v>
      </c>
      <c r="N3416" s="4" t="s">
        <v>1890</v>
      </c>
      <c r="O3416" s="16" t="s">
        <v>2146</v>
      </c>
      <c r="P3416" s="29">
        <v>839</v>
      </c>
      <c r="Q3416" s="4" t="s">
        <v>5413</v>
      </c>
      <c r="R3416" s="10">
        <v>6</v>
      </c>
      <c r="S3416" s="19">
        <v>4928.67</v>
      </c>
      <c r="T3416" s="10">
        <v>0</v>
      </c>
      <c r="U3416" s="10">
        <f t="shared" ref="U3416" si="2219">T3416*1.12</f>
        <v>0</v>
      </c>
      <c r="V3416" s="11" t="s">
        <v>3027</v>
      </c>
      <c r="W3416" s="11">
        <v>2015</v>
      </c>
      <c r="X3416" s="1">
        <v>11.22</v>
      </c>
      <c r="Y3416" s="99"/>
    </row>
    <row r="3417" spans="1:25" s="28" customFormat="1" ht="78.75" customHeight="1" x14ac:dyDescent="0.2">
      <c r="A3417" s="1" t="s">
        <v>9042</v>
      </c>
      <c r="B3417" s="15" t="s">
        <v>5277</v>
      </c>
      <c r="C3417" s="7" t="s">
        <v>7527</v>
      </c>
      <c r="D3417" s="7" t="s">
        <v>7528</v>
      </c>
      <c r="E3417" s="7" t="s">
        <v>7529</v>
      </c>
      <c r="F3417" s="7" t="s">
        <v>7530</v>
      </c>
      <c r="G3417" s="4" t="s">
        <v>1888</v>
      </c>
      <c r="H3417" s="17">
        <v>0.4</v>
      </c>
      <c r="I3417" s="18">
        <v>710000000</v>
      </c>
      <c r="J3417" s="4" t="s">
        <v>1931</v>
      </c>
      <c r="K3417" s="4" t="s">
        <v>8982</v>
      </c>
      <c r="L3417" s="4" t="s">
        <v>1889</v>
      </c>
      <c r="M3417" s="8" t="s">
        <v>3195</v>
      </c>
      <c r="N3417" s="4" t="s">
        <v>1890</v>
      </c>
      <c r="O3417" s="16" t="s">
        <v>2146</v>
      </c>
      <c r="P3417" s="29">
        <v>839</v>
      </c>
      <c r="Q3417" s="4" t="s">
        <v>5413</v>
      </c>
      <c r="R3417" s="10">
        <v>6</v>
      </c>
      <c r="S3417" s="19">
        <v>4928.67</v>
      </c>
      <c r="T3417" s="10">
        <f t="shared" ref="T3417" si="2220">S3417*R3417</f>
        <v>29572.02</v>
      </c>
      <c r="U3417" s="10">
        <f t="shared" ref="U3417" si="2221">T3417*1.12</f>
        <v>33120.662400000001</v>
      </c>
      <c r="V3417" s="11"/>
      <c r="W3417" s="11">
        <v>2015</v>
      </c>
      <c r="X3417" s="20"/>
      <c r="Y3417" s="99"/>
    </row>
    <row r="3418" spans="1:25" s="28" customFormat="1" ht="76.5" customHeight="1" x14ac:dyDescent="0.2">
      <c r="A3418" s="1" t="s">
        <v>7533</v>
      </c>
      <c r="B3418" s="24" t="s">
        <v>5277</v>
      </c>
      <c r="C3418" s="7" t="s">
        <v>1380</v>
      </c>
      <c r="D3418" s="7" t="s">
        <v>1381</v>
      </c>
      <c r="E3418" s="18" t="s">
        <v>1382</v>
      </c>
      <c r="F3418" s="25"/>
      <c r="G3418" s="4" t="s">
        <v>1888</v>
      </c>
      <c r="H3418" s="17">
        <v>0.4</v>
      </c>
      <c r="I3418" s="18">
        <v>710000000</v>
      </c>
      <c r="J3418" s="4" t="s">
        <v>1931</v>
      </c>
      <c r="K3418" s="4" t="s">
        <v>5292</v>
      </c>
      <c r="L3418" s="4" t="s">
        <v>1889</v>
      </c>
      <c r="M3418" s="8" t="s">
        <v>3195</v>
      </c>
      <c r="N3418" s="8" t="s">
        <v>1890</v>
      </c>
      <c r="O3418" s="16" t="s">
        <v>2146</v>
      </c>
      <c r="P3418" s="1" t="s">
        <v>3418</v>
      </c>
      <c r="Q3418" s="4" t="s">
        <v>5618</v>
      </c>
      <c r="R3418" s="10">
        <v>1</v>
      </c>
      <c r="S3418" s="10">
        <v>5158</v>
      </c>
      <c r="T3418" s="10">
        <v>0</v>
      </c>
      <c r="U3418" s="10">
        <f>T3418*1.12</f>
        <v>0</v>
      </c>
      <c r="V3418" s="8" t="s">
        <v>3027</v>
      </c>
      <c r="W3418" s="11">
        <v>2015</v>
      </c>
      <c r="X3418" s="1">
        <v>11</v>
      </c>
      <c r="Y3418" s="99"/>
    </row>
    <row r="3419" spans="1:25" s="28" customFormat="1" ht="76.5" customHeight="1" x14ac:dyDescent="0.2">
      <c r="A3419" s="1" t="s">
        <v>8785</v>
      </c>
      <c r="B3419" s="24" t="s">
        <v>5277</v>
      </c>
      <c r="C3419" s="7" t="s">
        <v>1380</v>
      </c>
      <c r="D3419" s="7" t="s">
        <v>1381</v>
      </c>
      <c r="E3419" s="18" t="s">
        <v>1382</v>
      </c>
      <c r="F3419" s="25"/>
      <c r="G3419" s="4" t="s">
        <v>1888</v>
      </c>
      <c r="H3419" s="17">
        <v>0.4</v>
      </c>
      <c r="I3419" s="18">
        <v>710000000</v>
      </c>
      <c r="J3419" s="4" t="s">
        <v>1931</v>
      </c>
      <c r="K3419" s="4" t="s">
        <v>6167</v>
      </c>
      <c r="L3419" s="4" t="s">
        <v>1889</v>
      </c>
      <c r="M3419" s="8" t="s">
        <v>3195</v>
      </c>
      <c r="N3419" s="8" t="s">
        <v>1890</v>
      </c>
      <c r="O3419" s="16" t="s">
        <v>2146</v>
      </c>
      <c r="P3419" s="1" t="s">
        <v>3418</v>
      </c>
      <c r="Q3419" s="4" t="s">
        <v>5618</v>
      </c>
      <c r="R3419" s="10">
        <v>1</v>
      </c>
      <c r="S3419" s="10">
        <v>5158</v>
      </c>
      <c r="T3419" s="10">
        <v>0</v>
      </c>
      <c r="U3419" s="10">
        <f>T3419*1.12</f>
        <v>0</v>
      </c>
      <c r="V3419" s="8" t="s">
        <v>3027</v>
      </c>
      <c r="W3419" s="11">
        <v>2015</v>
      </c>
      <c r="X3419" s="1">
        <v>11.22</v>
      </c>
      <c r="Y3419" s="99"/>
    </row>
    <row r="3420" spans="1:25" s="28" customFormat="1" ht="76.5" customHeight="1" x14ac:dyDescent="0.2">
      <c r="A3420" s="1" t="s">
        <v>9043</v>
      </c>
      <c r="B3420" s="24" t="s">
        <v>5277</v>
      </c>
      <c r="C3420" s="7" t="s">
        <v>1380</v>
      </c>
      <c r="D3420" s="7" t="s">
        <v>1381</v>
      </c>
      <c r="E3420" s="18" t="s">
        <v>1382</v>
      </c>
      <c r="F3420" s="25"/>
      <c r="G3420" s="4" t="s">
        <v>1888</v>
      </c>
      <c r="H3420" s="17">
        <v>0.4</v>
      </c>
      <c r="I3420" s="18">
        <v>710000000</v>
      </c>
      <c r="J3420" s="4" t="s">
        <v>1931</v>
      </c>
      <c r="K3420" s="4" t="s">
        <v>8982</v>
      </c>
      <c r="L3420" s="4" t="s">
        <v>1889</v>
      </c>
      <c r="M3420" s="8" t="s">
        <v>3195</v>
      </c>
      <c r="N3420" s="8" t="s">
        <v>1890</v>
      </c>
      <c r="O3420" s="16" t="s">
        <v>2146</v>
      </c>
      <c r="P3420" s="1" t="s">
        <v>3418</v>
      </c>
      <c r="Q3420" s="4" t="s">
        <v>5618</v>
      </c>
      <c r="R3420" s="10">
        <v>1</v>
      </c>
      <c r="S3420" s="10">
        <v>5158</v>
      </c>
      <c r="T3420" s="10">
        <f>S3420*R3420</f>
        <v>5158</v>
      </c>
      <c r="U3420" s="10">
        <f>T3420*1.12</f>
        <v>5776.9600000000009</v>
      </c>
      <c r="V3420" s="8"/>
      <c r="W3420" s="11">
        <v>2015</v>
      </c>
      <c r="X3420" s="121"/>
      <c r="Y3420" s="99"/>
    </row>
    <row r="3421" spans="1:25" s="28" customFormat="1" ht="76.5" customHeight="1" x14ac:dyDescent="0.2">
      <c r="A3421" s="1" t="s">
        <v>7534</v>
      </c>
      <c r="B3421" s="24" t="s">
        <v>5277</v>
      </c>
      <c r="C3421" s="7" t="s">
        <v>3420</v>
      </c>
      <c r="D3421" s="7" t="s">
        <v>5245</v>
      </c>
      <c r="E3421" s="18" t="s">
        <v>1379</v>
      </c>
      <c r="F3421" s="25"/>
      <c r="G3421" s="4" t="s">
        <v>1888</v>
      </c>
      <c r="H3421" s="17">
        <v>0.4</v>
      </c>
      <c r="I3421" s="18">
        <v>710000000</v>
      </c>
      <c r="J3421" s="4" t="s">
        <v>1931</v>
      </c>
      <c r="K3421" s="4" t="s">
        <v>5292</v>
      </c>
      <c r="L3421" s="4" t="s">
        <v>1889</v>
      </c>
      <c r="M3421" s="8" t="s">
        <v>3195</v>
      </c>
      <c r="N3421" s="8" t="s">
        <v>1890</v>
      </c>
      <c r="O3421" s="16" t="s">
        <v>2146</v>
      </c>
      <c r="P3421" s="1">
        <v>715</v>
      </c>
      <c r="Q3421" s="4" t="s">
        <v>5618</v>
      </c>
      <c r="R3421" s="10">
        <v>250</v>
      </c>
      <c r="S3421" s="10">
        <v>142.88</v>
      </c>
      <c r="T3421" s="10">
        <v>0</v>
      </c>
      <c r="U3421" s="10">
        <f t="shared" ref="U3421:U3426" si="2222">T3421*1.12</f>
        <v>0</v>
      </c>
      <c r="V3421" s="8" t="s">
        <v>3027</v>
      </c>
      <c r="W3421" s="1">
        <v>2015</v>
      </c>
      <c r="X3421" s="1">
        <v>11</v>
      </c>
      <c r="Y3421" s="99"/>
    </row>
    <row r="3422" spans="1:25" s="28" customFormat="1" ht="76.5" customHeight="1" x14ac:dyDescent="0.2">
      <c r="A3422" s="1" t="s">
        <v>8786</v>
      </c>
      <c r="B3422" s="24" t="s">
        <v>5277</v>
      </c>
      <c r="C3422" s="7" t="s">
        <v>3420</v>
      </c>
      <c r="D3422" s="7" t="s">
        <v>5245</v>
      </c>
      <c r="E3422" s="18" t="s">
        <v>1379</v>
      </c>
      <c r="F3422" s="25"/>
      <c r="G3422" s="4" t="s">
        <v>1888</v>
      </c>
      <c r="H3422" s="17">
        <v>0.4</v>
      </c>
      <c r="I3422" s="18">
        <v>710000000</v>
      </c>
      <c r="J3422" s="4" t="s">
        <v>1931</v>
      </c>
      <c r="K3422" s="4" t="s">
        <v>6167</v>
      </c>
      <c r="L3422" s="4" t="s">
        <v>1889</v>
      </c>
      <c r="M3422" s="8" t="s">
        <v>3195</v>
      </c>
      <c r="N3422" s="8" t="s">
        <v>1890</v>
      </c>
      <c r="O3422" s="16" t="s">
        <v>2146</v>
      </c>
      <c r="P3422" s="1">
        <v>715</v>
      </c>
      <c r="Q3422" s="4" t="s">
        <v>5618</v>
      </c>
      <c r="R3422" s="10">
        <v>250</v>
      </c>
      <c r="S3422" s="10">
        <v>142.88</v>
      </c>
      <c r="T3422" s="10">
        <v>0</v>
      </c>
      <c r="U3422" s="10">
        <f t="shared" ref="U3422" si="2223">T3422*1.12</f>
        <v>0</v>
      </c>
      <c r="V3422" s="8" t="s">
        <v>3027</v>
      </c>
      <c r="W3422" s="11">
        <v>2015</v>
      </c>
      <c r="X3422" s="1">
        <v>11.22</v>
      </c>
      <c r="Y3422" s="99"/>
    </row>
    <row r="3423" spans="1:25" s="28" customFormat="1" ht="76.5" customHeight="1" x14ac:dyDescent="0.2">
      <c r="A3423" s="1" t="s">
        <v>9044</v>
      </c>
      <c r="B3423" s="24" t="s">
        <v>5277</v>
      </c>
      <c r="C3423" s="7" t="s">
        <v>3420</v>
      </c>
      <c r="D3423" s="7" t="s">
        <v>5245</v>
      </c>
      <c r="E3423" s="18" t="s">
        <v>1379</v>
      </c>
      <c r="F3423" s="25"/>
      <c r="G3423" s="4" t="s">
        <v>1888</v>
      </c>
      <c r="H3423" s="17">
        <v>0.4</v>
      </c>
      <c r="I3423" s="18">
        <v>710000000</v>
      </c>
      <c r="J3423" s="4" t="s">
        <v>1931</v>
      </c>
      <c r="K3423" s="4" t="s">
        <v>8982</v>
      </c>
      <c r="L3423" s="4" t="s">
        <v>1889</v>
      </c>
      <c r="M3423" s="8" t="s">
        <v>3195</v>
      </c>
      <c r="N3423" s="8" t="s">
        <v>1890</v>
      </c>
      <c r="O3423" s="16" t="s">
        <v>2146</v>
      </c>
      <c r="P3423" s="1">
        <v>715</v>
      </c>
      <c r="Q3423" s="4" t="s">
        <v>5618</v>
      </c>
      <c r="R3423" s="10">
        <v>250</v>
      </c>
      <c r="S3423" s="10">
        <v>142.88</v>
      </c>
      <c r="T3423" s="10">
        <f t="shared" ref="T3423" si="2224">S3423*R3423</f>
        <v>35720</v>
      </c>
      <c r="U3423" s="10">
        <f t="shared" ref="U3423" si="2225">T3423*1.12</f>
        <v>40006.400000000001</v>
      </c>
      <c r="V3423" s="8"/>
      <c r="W3423" s="11">
        <v>2015</v>
      </c>
      <c r="X3423" s="1"/>
      <c r="Y3423" s="99"/>
    </row>
    <row r="3424" spans="1:25" s="61" customFormat="1" ht="114.75" customHeight="1" outlineLevel="1" x14ac:dyDescent="0.2">
      <c r="A3424" s="1" t="s">
        <v>7634</v>
      </c>
      <c r="B3424" s="24" t="s">
        <v>5277</v>
      </c>
      <c r="C3424" s="22" t="s">
        <v>7055</v>
      </c>
      <c r="D3424" s="22" t="s">
        <v>7056</v>
      </c>
      <c r="E3424" s="22" t="s">
        <v>7057</v>
      </c>
      <c r="F3424" s="22" t="s">
        <v>7058</v>
      </c>
      <c r="G3424" s="1" t="s">
        <v>1888</v>
      </c>
      <c r="H3424" s="17">
        <v>0.15</v>
      </c>
      <c r="I3424" s="18">
        <v>710000000</v>
      </c>
      <c r="J3424" s="4" t="s">
        <v>1931</v>
      </c>
      <c r="K3424" s="1" t="s">
        <v>5292</v>
      </c>
      <c r="L3424" s="7" t="s">
        <v>2985</v>
      </c>
      <c r="M3424" s="8" t="s">
        <v>3195</v>
      </c>
      <c r="N3424" s="8" t="s">
        <v>7635</v>
      </c>
      <c r="O3424" s="8" t="s">
        <v>2146</v>
      </c>
      <c r="P3424" s="1">
        <v>796</v>
      </c>
      <c r="Q3424" s="4" t="s">
        <v>3196</v>
      </c>
      <c r="R3424" s="10">
        <v>10</v>
      </c>
      <c r="S3424" s="10">
        <v>8894500</v>
      </c>
      <c r="T3424" s="10">
        <v>0</v>
      </c>
      <c r="U3424" s="10">
        <f t="shared" si="2222"/>
        <v>0</v>
      </c>
      <c r="V3424" s="8" t="s">
        <v>3027</v>
      </c>
      <c r="W3424" s="11">
        <v>2015</v>
      </c>
      <c r="X3424" s="8" t="s">
        <v>7518</v>
      </c>
      <c r="Y3424" s="21"/>
    </row>
    <row r="3425" spans="1:25" s="61" customFormat="1" ht="240" customHeight="1" outlineLevel="1" x14ac:dyDescent="0.2">
      <c r="A3425" s="1" t="s">
        <v>10003</v>
      </c>
      <c r="B3425" s="24" t="s">
        <v>5277</v>
      </c>
      <c r="C3425" s="22" t="s">
        <v>7055</v>
      </c>
      <c r="D3425" s="22" t="s">
        <v>7056</v>
      </c>
      <c r="E3425" s="22" t="s">
        <v>7057</v>
      </c>
      <c r="F3425" s="22" t="s">
        <v>7058</v>
      </c>
      <c r="G3425" s="1" t="s">
        <v>1888</v>
      </c>
      <c r="H3425" s="17">
        <v>0.15</v>
      </c>
      <c r="I3425" s="18">
        <v>710000000</v>
      </c>
      <c r="J3425" s="4" t="s">
        <v>1931</v>
      </c>
      <c r="K3425" s="8" t="s">
        <v>10004</v>
      </c>
      <c r="L3425" s="7" t="s">
        <v>2985</v>
      </c>
      <c r="M3425" s="8" t="s">
        <v>3195</v>
      </c>
      <c r="N3425" s="8" t="s">
        <v>7635</v>
      </c>
      <c r="O3425" s="8" t="s">
        <v>2146</v>
      </c>
      <c r="P3425" s="1">
        <v>796</v>
      </c>
      <c r="Q3425" s="4" t="s">
        <v>3196</v>
      </c>
      <c r="R3425" s="10">
        <f>10+2</f>
        <v>12</v>
      </c>
      <c r="S3425" s="10">
        <v>8894500</v>
      </c>
      <c r="T3425" s="10">
        <v>0</v>
      </c>
      <c r="U3425" s="10">
        <f t="shared" si="2222"/>
        <v>0</v>
      </c>
      <c r="V3425" s="8" t="s">
        <v>3027</v>
      </c>
      <c r="W3425" s="11">
        <v>2015</v>
      </c>
      <c r="X3425" s="8" t="s">
        <v>10042</v>
      </c>
      <c r="Y3425" s="21"/>
    </row>
    <row r="3426" spans="1:25" s="61" customFormat="1" ht="189.75" customHeight="1" outlineLevel="1" x14ac:dyDescent="0.2">
      <c r="A3426" s="1" t="s">
        <v>10043</v>
      </c>
      <c r="B3426" s="24" t="s">
        <v>5277</v>
      </c>
      <c r="C3426" s="22" t="s">
        <v>7055</v>
      </c>
      <c r="D3426" s="22" t="s">
        <v>7056</v>
      </c>
      <c r="E3426" s="22" t="s">
        <v>7057</v>
      </c>
      <c r="F3426" s="22" t="s">
        <v>7058</v>
      </c>
      <c r="G3426" s="1" t="s">
        <v>1888</v>
      </c>
      <c r="H3426" s="17">
        <v>0.15</v>
      </c>
      <c r="I3426" s="18">
        <v>710000000</v>
      </c>
      <c r="J3426" s="4" t="s">
        <v>1931</v>
      </c>
      <c r="K3426" s="8" t="s">
        <v>10044</v>
      </c>
      <c r="L3426" s="7" t="s">
        <v>2985</v>
      </c>
      <c r="M3426" s="8" t="s">
        <v>3195</v>
      </c>
      <c r="N3426" s="8" t="s">
        <v>7635</v>
      </c>
      <c r="O3426" s="8" t="s">
        <v>2146</v>
      </c>
      <c r="P3426" s="1">
        <v>796</v>
      </c>
      <c r="Q3426" s="4" t="s">
        <v>3196</v>
      </c>
      <c r="R3426" s="10">
        <f>10+2+5</f>
        <v>17</v>
      </c>
      <c r="S3426" s="10">
        <v>8507100</v>
      </c>
      <c r="T3426" s="10">
        <f t="shared" ref="T3426" si="2226">R3426*S3426</f>
        <v>144620700</v>
      </c>
      <c r="U3426" s="10">
        <f t="shared" si="2222"/>
        <v>161975184.00000003</v>
      </c>
      <c r="V3426" s="8" t="s">
        <v>3027</v>
      </c>
      <c r="W3426" s="11">
        <v>2015</v>
      </c>
      <c r="X3426" s="8"/>
      <c r="Y3426" s="21"/>
    </row>
    <row r="3427" spans="1:25" s="61" customFormat="1" ht="155.25" customHeight="1" outlineLevel="1" x14ac:dyDescent="0.2">
      <c r="A3427" s="1" t="s">
        <v>7664</v>
      </c>
      <c r="B3427" s="24" t="s">
        <v>5277</v>
      </c>
      <c r="C3427" s="22" t="s">
        <v>7665</v>
      </c>
      <c r="D3427" s="22" t="s">
        <v>7666</v>
      </c>
      <c r="E3427" s="22" t="s">
        <v>7667</v>
      </c>
      <c r="F3427" s="22" t="s">
        <v>8354</v>
      </c>
      <c r="G3427" s="1" t="s">
        <v>1888</v>
      </c>
      <c r="H3427" s="17">
        <v>0</v>
      </c>
      <c r="I3427" s="18">
        <v>710000000</v>
      </c>
      <c r="J3427" s="4" t="s">
        <v>1931</v>
      </c>
      <c r="K3427" s="1" t="s">
        <v>756</v>
      </c>
      <c r="L3427" s="7" t="s">
        <v>1708</v>
      </c>
      <c r="M3427" s="8" t="s">
        <v>3195</v>
      </c>
      <c r="N3427" s="8" t="s">
        <v>7635</v>
      </c>
      <c r="O3427" s="8" t="s">
        <v>1935</v>
      </c>
      <c r="P3427" s="60" t="s">
        <v>3334</v>
      </c>
      <c r="Q3427" s="3" t="s">
        <v>5477</v>
      </c>
      <c r="R3427" s="10">
        <v>1380</v>
      </c>
      <c r="S3427" s="10">
        <v>5988</v>
      </c>
      <c r="T3427" s="10">
        <f t="shared" ref="T3427" si="2227">R3427*S3427</f>
        <v>8263440</v>
      </c>
      <c r="U3427" s="10">
        <f t="shared" ref="U3427" si="2228">T3427*1.12</f>
        <v>9255052.8000000007</v>
      </c>
      <c r="V3427" s="8"/>
      <c r="W3427" s="11">
        <v>2015</v>
      </c>
      <c r="X3427" s="8"/>
      <c r="Y3427" s="21"/>
    </row>
    <row r="3428" spans="1:25" s="61" customFormat="1" ht="234" customHeight="1" outlineLevel="1" x14ac:dyDescent="0.2">
      <c r="A3428" s="1" t="s">
        <v>8175</v>
      </c>
      <c r="B3428" s="16" t="s">
        <v>5277</v>
      </c>
      <c r="C3428" s="22" t="s">
        <v>6618</v>
      </c>
      <c r="D3428" s="22" t="s">
        <v>6619</v>
      </c>
      <c r="E3428" s="22" t="s">
        <v>6620</v>
      </c>
      <c r="F3428" s="22" t="s">
        <v>8177</v>
      </c>
      <c r="G3428" s="1" t="s">
        <v>3187</v>
      </c>
      <c r="H3428" s="17">
        <v>0.3</v>
      </c>
      <c r="I3428" s="18">
        <v>710000000</v>
      </c>
      <c r="J3428" s="4" t="s">
        <v>1931</v>
      </c>
      <c r="K3428" s="1" t="s">
        <v>756</v>
      </c>
      <c r="L3428" s="7" t="s">
        <v>1708</v>
      </c>
      <c r="M3428" s="8" t="s">
        <v>3195</v>
      </c>
      <c r="N3428" s="8" t="s">
        <v>7635</v>
      </c>
      <c r="O3428" s="8" t="s">
        <v>2146</v>
      </c>
      <c r="P3428" s="1">
        <v>796</v>
      </c>
      <c r="Q3428" s="4" t="s">
        <v>3196</v>
      </c>
      <c r="R3428" s="10">
        <v>1</v>
      </c>
      <c r="S3428" s="10">
        <v>901160.71400000004</v>
      </c>
      <c r="T3428" s="10">
        <f t="shared" ref="T3428" si="2229">R3428*S3428</f>
        <v>901160.71400000004</v>
      </c>
      <c r="U3428" s="10">
        <f t="shared" ref="U3428" si="2230">T3428*1.12</f>
        <v>1009299.9996800001</v>
      </c>
      <c r="V3428" s="8" t="s">
        <v>3027</v>
      </c>
      <c r="W3428" s="1">
        <v>2015</v>
      </c>
      <c r="X3428" s="8"/>
      <c r="Y3428" s="21"/>
    </row>
    <row r="3429" spans="1:25" s="61" customFormat="1" ht="234" customHeight="1" outlineLevel="1" x14ac:dyDescent="0.2">
      <c r="A3429" s="1" t="s">
        <v>8176</v>
      </c>
      <c r="B3429" s="16" t="s">
        <v>5277</v>
      </c>
      <c r="C3429" s="22" t="s">
        <v>6618</v>
      </c>
      <c r="D3429" s="22" t="s">
        <v>6619</v>
      </c>
      <c r="E3429" s="22" t="s">
        <v>6620</v>
      </c>
      <c r="F3429" s="22" t="s">
        <v>8178</v>
      </c>
      <c r="G3429" s="1" t="s">
        <v>3187</v>
      </c>
      <c r="H3429" s="17">
        <v>0.3</v>
      </c>
      <c r="I3429" s="18">
        <v>710000000</v>
      </c>
      <c r="J3429" s="4" t="s">
        <v>1931</v>
      </c>
      <c r="K3429" s="1" t="s">
        <v>756</v>
      </c>
      <c r="L3429" s="7" t="s">
        <v>1708</v>
      </c>
      <c r="M3429" s="8" t="s">
        <v>3195</v>
      </c>
      <c r="N3429" s="8" t="s">
        <v>7635</v>
      </c>
      <c r="O3429" s="8" t="s">
        <v>2146</v>
      </c>
      <c r="P3429" s="1">
        <v>796</v>
      </c>
      <c r="Q3429" s="4" t="s">
        <v>3196</v>
      </c>
      <c r="R3429" s="10">
        <v>1</v>
      </c>
      <c r="S3429" s="10">
        <v>1143308.9280000001</v>
      </c>
      <c r="T3429" s="10">
        <f t="shared" ref="T3429" si="2231">R3429*S3429</f>
        <v>1143308.9280000001</v>
      </c>
      <c r="U3429" s="10">
        <f t="shared" ref="U3429" si="2232">T3429*1.12</f>
        <v>1280505.9993600002</v>
      </c>
      <c r="V3429" s="8" t="s">
        <v>3027</v>
      </c>
      <c r="W3429" s="1">
        <v>2015</v>
      </c>
      <c r="X3429" s="8"/>
      <c r="Y3429" s="21"/>
    </row>
    <row r="3430" spans="1:25" s="61" customFormat="1" ht="227.25" customHeight="1" outlineLevel="1" x14ac:dyDescent="0.2">
      <c r="A3430" s="1" t="s">
        <v>8180</v>
      </c>
      <c r="B3430" s="16" t="s">
        <v>5277</v>
      </c>
      <c r="C3430" s="22" t="s">
        <v>6618</v>
      </c>
      <c r="D3430" s="22" t="s">
        <v>6619</v>
      </c>
      <c r="E3430" s="22" t="s">
        <v>6620</v>
      </c>
      <c r="F3430" s="22" t="s">
        <v>8179</v>
      </c>
      <c r="G3430" s="1" t="s">
        <v>3187</v>
      </c>
      <c r="H3430" s="17">
        <v>0.3</v>
      </c>
      <c r="I3430" s="18">
        <v>710000000</v>
      </c>
      <c r="J3430" s="4" t="s">
        <v>1931</v>
      </c>
      <c r="K3430" s="1" t="s">
        <v>756</v>
      </c>
      <c r="L3430" s="7" t="s">
        <v>1708</v>
      </c>
      <c r="M3430" s="8" t="s">
        <v>3195</v>
      </c>
      <c r="N3430" s="8" t="s">
        <v>7635</v>
      </c>
      <c r="O3430" s="8" t="s">
        <v>2146</v>
      </c>
      <c r="P3430" s="1">
        <v>796</v>
      </c>
      <c r="Q3430" s="4" t="s">
        <v>3196</v>
      </c>
      <c r="R3430" s="10">
        <v>1</v>
      </c>
      <c r="S3430" s="10">
        <v>182776.785</v>
      </c>
      <c r="T3430" s="10">
        <f t="shared" ref="T3430" si="2233">R3430*S3430</f>
        <v>182776.785</v>
      </c>
      <c r="U3430" s="10">
        <f t="shared" ref="U3430" si="2234">T3430*1.12</f>
        <v>204709.99920000002</v>
      </c>
      <c r="V3430" s="8" t="s">
        <v>3027</v>
      </c>
      <c r="W3430" s="1">
        <v>2015</v>
      </c>
      <c r="X3430" s="8"/>
      <c r="Y3430" s="21"/>
    </row>
    <row r="3431" spans="1:25" s="61" customFormat="1" ht="227.25" customHeight="1" outlineLevel="1" x14ac:dyDescent="0.2">
      <c r="A3431" s="1" t="s">
        <v>8181</v>
      </c>
      <c r="B3431" s="16" t="s">
        <v>5277</v>
      </c>
      <c r="C3431" s="22" t="s">
        <v>6622</v>
      </c>
      <c r="D3431" s="22" t="s">
        <v>6623</v>
      </c>
      <c r="E3431" s="22" t="s">
        <v>6624</v>
      </c>
      <c r="F3431" s="22" t="s">
        <v>8182</v>
      </c>
      <c r="G3431" s="1" t="s">
        <v>3187</v>
      </c>
      <c r="H3431" s="17">
        <v>0.3</v>
      </c>
      <c r="I3431" s="18">
        <v>710000000</v>
      </c>
      <c r="J3431" s="4" t="s">
        <v>1931</v>
      </c>
      <c r="K3431" s="1" t="s">
        <v>756</v>
      </c>
      <c r="L3431" s="7" t="s">
        <v>1708</v>
      </c>
      <c r="M3431" s="8" t="s">
        <v>3195</v>
      </c>
      <c r="N3431" s="8" t="s">
        <v>7635</v>
      </c>
      <c r="O3431" s="8" t="s">
        <v>2146</v>
      </c>
      <c r="P3431" s="1">
        <v>796</v>
      </c>
      <c r="Q3431" s="4" t="s">
        <v>3196</v>
      </c>
      <c r="R3431" s="10">
        <v>100</v>
      </c>
      <c r="S3431" s="10">
        <v>11875</v>
      </c>
      <c r="T3431" s="10">
        <f t="shared" ref="T3431" si="2235">R3431*S3431</f>
        <v>1187500</v>
      </c>
      <c r="U3431" s="10">
        <f t="shared" ref="U3431" si="2236">T3431*1.12</f>
        <v>1330000.0000000002</v>
      </c>
      <c r="V3431" s="8" t="s">
        <v>3027</v>
      </c>
      <c r="W3431" s="1">
        <v>2015</v>
      </c>
      <c r="X3431" s="8"/>
      <c r="Y3431" s="21"/>
    </row>
    <row r="3432" spans="1:25" s="61" customFormat="1" ht="227.25" customHeight="1" outlineLevel="1" x14ac:dyDescent="0.2">
      <c r="A3432" s="1" t="s">
        <v>8183</v>
      </c>
      <c r="B3432" s="16" t="s">
        <v>5277</v>
      </c>
      <c r="C3432" s="22" t="s">
        <v>6622</v>
      </c>
      <c r="D3432" s="22" t="s">
        <v>6623</v>
      </c>
      <c r="E3432" s="22" t="s">
        <v>6624</v>
      </c>
      <c r="F3432" s="22" t="s">
        <v>8184</v>
      </c>
      <c r="G3432" s="1" t="s">
        <v>3187</v>
      </c>
      <c r="H3432" s="17">
        <v>0.3</v>
      </c>
      <c r="I3432" s="18">
        <v>710000000</v>
      </c>
      <c r="J3432" s="4" t="s">
        <v>1931</v>
      </c>
      <c r="K3432" s="1" t="s">
        <v>756</v>
      </c>
      <c r="L3432" s="7" t="s">
        <v>1708</v>
      </c>
      <c r="M3432" s="8" t="s">
        <v>3195</v>
      </c>
      <c r="N3432" s="8" t="s">
        <v>7635</v>
      </c>
      <c r="O3432" s="8" t="s">
        <v>2146</v>
      </c>
      <c r="P3432" s="1">
        <v>796</v>
      </c>
      <c r="Q3432" s="4" t="s">
        <v>3196</v>
      </c>
      <c r="R3432" s="10">
        <v>75</v>
      </c>
      <c r="S3432" s="10">
        <v>14732.1428</v>
      </c>
      <c r="T3432" s="10">
        <f t="shared" ref="T3432" si="2237">R3432*S3432</f>
        <v>1104910.71</v>
      </c>
      <c r="U3432" s="10">
        <f t="shared" ref="U3432" si="2238">T3432*1.12</f>
        <v>1237499.9952</v>
      </c>
      <c r="V3432" s="8" t="s">
        <v>3027</v>
      </c>
      <c r="W3432" s="1">
        <v>2015</v>
      </c>
      <c r="X3432" s="8"/>
      <c r="Y3432" s="21"/>
    </row>
    <row r="3433" spans="1:25" s="61" customFormat="1" ht="227.25" customHeight="1" outlineLevel="1" x14ac:dyDescent="0.2">
      <c r="A3433" s="1" t="s">
        <v>8185</v>
      </c>
      <c r="B3433" s="16" t="s">
        <v>5277</v>
      </c>
      <c r="C3433" s="22" t="s">
        <v>8187</v>
      </c>
      <c r="D3433" s="22" t="s">
        <v>8188</v>
      </c>
      <c r="E3433" s="22" t="s">
        <v>8189</v>
      </c>
      <c r="F3433" s="22" t="s">
        <v>8190</v>
      </c>
      <c r="G3433" s="1" t="s">
        <v>3187</v>
      </c>
      <c r="H3433" s="17">
        <v>0.3</v>
      </c>
      <c r="I3433" s="18">
        <v>710000000</v>
      </c>
      <c r="J3433" s="4" t="s">
        <v>1931</v>
      </c>
      <c r="K3433" s="1" t="s">
        <v>756</v>
      </c>
      <c r="L3433" s="7" t="s">
        <v>1708</v>
      </c>
      <c r="M3433" s="8" t="s">
        <v>3195</v>
      </c>
      <c r="N3433" s="8" t="s">
        <v>7635</v>
      </c>
      <c r="O3433" s="8" t="s">
        <v>2146</v>
      </c>
      <c r="P3433" s="1">
        <v>796</v>
      </c>
      <c r="Q3433" s="4" t="s">
        <v>3196</v>
      </c>
      <c r="R3433" s="10">
        <v>3</v>
      </c>
      <c r="S3433" s="10">
        <v>26071.428500000002</v>
      </c>
      <c r="T3433" s="10">
        <f t="shared" ref="T3433" si="2239">R3433*S3433</f>
        <v>78214.285499999998</v>
      </c>
      <c r="U3433" s="10">
        <f t="shared" ref="U3433" si="2240">T3433*1.12</f>
        <v>87599.999760000006</v>
      </c>
      <c r="V3433" s="8" t="s">
        <v>3027</v>
      </c>
      <c r="W3433" s="1">
        <v>2015</v>
      </c>
      <c r="X3433" s="8"/>
      <c r="Y3433" s="21"/>
    </row>
    <row r="3434" spans="1:25" s="61" customFormat="1" ht="76.5" outlineLevel="1" x14ac:dyDescent="0.2">
      <c r="A3434" s="1" t="s">
        <v>8186</v>
      </c>
      <c r="B3434" s="16" t="s">
        <v>8192</v>
      </c>
      <c r="C3434" s="22" t="s">
        <v>546</v>
      </c>
      <c r="D3434" s="25" t="s">
        <v>5310</v>
      </c>
      <c r="E3434" s="25" t="s">
        <v>545</v>
      </c>
      <c r="F3434" s="22" t="s">
        <v>8193</v>
      </c>
      <c r="G3434" s="1" t="s">
        <v>3190</v>
      </c>
      <c r="H3434" s="17">
        <v>0</v>
      </c>
      <c r="I3434" s="18">
        <v>710000000</v>
      </c>
      <c r="J3434" s="4" t="s">
        <v>1931</v>
      </c>
      <c r="K3434" s="8" t="s">
        <v>756</v>
      </c>
      <c r="L3434" s="18" t="s">
        <v>1708</v>
      </c>
      <c r="M3434" s="8" t="s">
        <v>3195</v>
      </c>
      <c r="N3434" s="8" t="s">
        <v>7523</v>
      </c>
      <c r="O3434" s="8" t="s">
        <v>1935</v>
      </c>
      <c r="P3434" s="1">
        <v>796</v>
      </c>
      <c r="Q3434" s="4" t="s">
        <v>3196</v>
      </c>
      <c r="R3434" s="10">
        <v>20</v>
      </c>
      <c r="S3434" s="10">
        <v>15080.35714</v>
      </c>
      <c r="T3434" s="10">
        <v>0</v>
      </c>
      <c r="U3434" s="10">
        <f t="shared" ref="U3434" si="2241">T3434*1.12</f>
        <v>0</v>
      </c>
      <c r="V3434" s="8"/>
      <c r="W3434" s="1">
        <v>2015</v>
      </c>
      <c r="X3434" s="8" t="s">
        <v>7518</v>
      </c>
      <c r="Y3434" s="21"/>
    </row>
    <row r="3435" spans="1:25" s="61" customFormat="1" ht="76.5" outlineLevel="1" x14ac:dyDescent="0.2">
      <c r="A3435" s="1" t="s">
        <v>9282</v>
      </c>
      <c r="B3435" s="16" t="s">
        <v>8192</v>
      </c>
      <c r="C3435" s="22" t="s">
        <v>546</v>
      </c>
      <c r="D3435" s="25" t="s">
        <v>5310</v>
      </c>
      <c r="E3435" s="25" t="s">
        <v>545</v>
      </c>
      <c r="F3435" s="22" t="s">
        <v>8193</v>
      </c>
      <c r="G3435" s="1" t="s">
        <v>3190</v>
      </c>
      <c r="H3435" s="17">
        <v>0</v>
      </c>
      <c r="I3435" s="18">
        <v>710000000</v>
      </c>
      <c r="J3435" s="4" t="s">
        <v>1931</v>
      </c>
      <c r="K3435" s="8" t="s">
        <v>9276</v>
      </c>
      <c r="L3435" s="18" t="s">
        <v>1708</v>
      </c>
      <c r="M3435" s="8" t="s">
        <v>3195</v>
      </c>
      <c r="N3435" s="8" t="s">
        <v>7523</v>
      </c>
      <c r="O3435" s="8" t="s">
        <v>1935</v>
      </c>
      <c r="P3435" s="1">
        <v>796</v>
      </c>
      <c r="Q3435" s="4" t="s">
        <v>3196</v>
      </c>
      <c r="R3435" s="10">
        <f>20+8</f>
        <v>28</v>
      </c>
      <c r="S3435" s="10">
        <v>15080.35714</v>
      </c>
      <c r="T3435" s="10">
        <v>0</v>
      </c>
      <c r="U3435" s="10">
        <f t="shared" ref="U3435" si="2242">T3435*1.12</f>
        <v>0</v>
      </c>
      <c r="V3435" s="8"/>
      <c r="W3435" s="1">
        <v>2015</v>
      </c>
      <c r="X3435" s="8" t="s">
        <v>7518</v>
      </c>
      <c r="Y3435" s="21"/>
    </row>
    <row r="3436" spans="1:25" s="61" customFormat="1" ht="76.5" outlineLevel="1" x14ac:dyDescent="0.2">
      <c r="A3436" s="1" t="s">
        <v>10149</v>
      </c>
      <c r="B3436" s="16" t="s">
        <v>8192</v>
      </c>
      <c r="C3436" s="22" t="s">
        <v>546</v>
      </c>
      <c r="D3436" s="25" t="s">
        <v>5310</v>
      </c>
      <c r="E3436" s="25" t="s">
        <v>545</v>
      </c>
      <c r="F3436" s="22" t="s">
        <v>8193</v>
      </c>
      <c r="G3436" s="1" t="s">
        <v>3190</v>
      </c>
      <c r="H3436" s="17">
        <v>0</v>
      </c>
      <c r="I3436" s="18">
        <v>710000000</v>
      </c>
      <c r="J3436" s="4" t="s">
        <v>1931</v>
      </c>
      <c r="K3436" s="8" t="s">
        <v>10150</v>
      </c>
      <c r="L3436" s="18" t="s">
        <v>1708</v>
      </c>
      <c r="M3436" s="8" t="s">
        <v>3195</v>
      </c>
      <c r="N3436" s="8" t="s">
        <v>7523</v>
      </c>
      <c r="O3436" s="8" t="s">
        <v>1935</v>
      </c>
      <c r="P3436" s="1">
        <v>796</v>
      </c>
      <c r="Q3436" s="4" t="s">
        <v>3196</v>
      </c>
      <c r="R3436" s="10">
        <f>20+8+12</f>
        <v>40</v>
      </c>
      <c r="S3436" s="10">
        <v>15080.35714</v>
      </c>
      <c r="T3436" s="10">
        <f>R3436*S3436</f>
        <v>603214.28560000006</v>
      </c>
      <c r="U3436" s="10">
        <f t="shared" ref="U3436" si="2243">T3436*1.12</f>
        <v>675599.99987200019</v>
      </c>
      <c r="V3436" s="8"/>
      <c r="W3436" s="1">
        <v>2015</v>
      </c>
      <c r="X3436" s="8"/>
      <c r="Y3436" s="21"/>
    </row>
    <row r="3437" spans="1:25" s="61" customFormat="1" ht="76.5" customHeight="1" outlineLevel="1" x14ac:dyDescent="0.2">
      <c r="A3437" s="1" t="s">
        <v>8191</v>
      </c>
      <c r="B3437" s="16" t="s">
        <v>8192</v>
      </c>
      <c r="C3437" s="22" t="s">
        <v>8347</v>
      </c>
      <c r="D3437" s="25" t="s">
        <v>8348</v>
      </c>
      <c r="E3437" s="25" t="s">
        <v>8349</v>
      </c>
      <c r="F3437" s="22"/>
      <c r="G3437" s="1" t="s">
        <v>3190</v>
      </c>
      <c r="H3437" s="17">
        <v>0</v>
      </c>
      <c r="I3437" s="18">
        <v>710000000</v>
      </c>
      <c r="J3437" s="4" t="s">
        <v>1931</v>
      </c>
      <c r="K3437" s="8" t="s">
        <v>756</v>
      </c>
      <c r="L3437" s="18" t="s">
        <v>1708</v>
      </c>
      <c r="M3437" s="8" t="s">
        <v>3195</v>
      </c>
      <c r="N3437" s="8" t="s">
        <v>7523</v>
      </c>
      <c r="O3437" s="8" t="s">
        <v>1935</v>
      </c>
      <c r="P3437" s="1">
        <v>796</v>
      </c>
      <c r="Q3437" s="4" t="s">
        <v>3196</v>
      </c>
      <c r="R3437" s="10">
        <v>1</v>
      </c>
      <c r="S3437" s="10">
        <v>707419.64199999999</v>
      </c>
      <c r="T3437" s="10">
        <f>R3437*S3437</f>
        <v>707419.64199999999</v>
      </c>
      <c r="U3437" s="10">
        <f t="shared" ref="U3437:U3438" si="2244">T3437*1.12</f>
        <v>792309.99904000002</v>
      </c>
      <c r="V3437" s="8"/>
      <c r="W3437" s="1">
        <v>2015</v>
      </c>
      <c r="X3437" s="8"/>
      <c r="Y3437" s="21"/>
    </row>
    <row r="3438" spans="1:25" s="61" customFormat="1" ht="76.5" customHeight="1" outlineLevel="1" x14ac:dyDescent="0.2">
      <c r="A3438" s="1" t="s">
        <v>8360</v>
      </c>
      <c r="B3438" s="24" t="s">
        <v>5277</v>
      </c>
      <c r="C3438" s="22" t="s">
        <v>8361</v>
      </c>
      <c r="D3438" s="22" t="s">
        <v>2789</v>
      </c>
      <c r="E3438" s="22" t="s">
        <v>8362</v>
      </c>
      <c r="F3438" s="22" t="s">
        <v>8363</v>
      </c>
      <c r="G3438" s="1" t="s">
        <v>3190</v>
      </c>
      <c r="H3438" s="17">
        <v>0</v>
      </c>
      <c r="I3438" s="18">
        <v>710000000</v>
      </c>
      <c r="J3438" s="4" t="s">
        <v>1931</v>
      </c>
      <c r="K3438" s="8" t="s">
        <v>756</v>
      </c>
      <c r="L3438" s="18" t="s">
        <v>1708</v>
      </c>
      <c r="M3438" s="8" t="s">
        <v>3195</v>
      </c>
      <c r="N3438" s="8" t="s">
        <v>7523</v>
      </c>
      <c r="O3438" s="8" t="s">
        <v>1935</v>
      </c>
      <c r="P3438" s="1">
        <v>796</v>
      </c>
      <c r="Q3438" s="4" t="s">
        <v>3196</v>
      </c>
      <c r="R3438" s="10">
        <v>4</v>
      </c>
      <c r="S3438" s="10">
        <v>98214.285000000003</v>
      </c>
      <c r="T3438" s="10">
        <f t="shared" ref="T3438" si="2245">R3438*S3438</f>
        <v>392857.14</v>
      </c>
      <c r="U3438" s="10">
        <f t="shared" si="2244"/>
        <v>439999.99680000008</v>
      </c>
      <c r="V3438" s="8"/>
      <c r="W3438" s="1">
        <v>2015</v>
      </c>
      <c r="X3438" s="8"/>
      <c r="Y3438" s="21"/>
    </row>
    <row r="3439" spans="1:25" s="61" customFormat="1" ht="160.5" customHeight="1" outlineLevel="1" x14ac:dyDescent="0.2">
      <c r="A3439" s="1" t="s">
        <v>8369</v>
      </c>
      <c r="B3439" s="24" t="s">
        <v>5277</v>
      </c>
      <c r="C3439" s="22" t="s">
        <v>8370</v>
      </c>
      <c r="D3439" s="22" t="s">
        <v>8371</v>
      </c>
      <c r="E3439" s="22" t="s">
        <v>8372</v>
      </c>
      <c r="F3439" s="22" t="s">
        <v>8373</v>
      </c>
      <c r="G3439" s="1" t="s">
        <v>3190</v>
      </c>
      <c r="H3439" s="17">
        <v>0</v>
      </c>
      <c r="I3439" s="18">
        <v>710000000</v>
      </c>
      <c r="J3439" s="4" t="s">
        <v>1931</v>
      </c>
      <c r="K3439" s="8" t="s">
        <v>756</v>
      </c>
      <c r="L3439" s="18" t="s">
        <v>1708</v>
      </c>
      <c r="M3439" s="8" t="s">
        <v>3195</v>
      </c>
      <c r="N3439" s="8" t="s">
        <v>7523</v>
      </c>
      <c r="O3439" s="8" t="s">
        <v>1935</v>
      </c>
      <c r="P3439" s="1">
        <v>796</v>
      </c>
      <c r="Q3439" s="4" t="s">
        <v>3196</v>
      </c>
      <c r="R3439" s="10">
        <v>1</v>
      </c>
      <c r="S3439" s="10">
        <v>152857</v>
      </c>
      <c r="T3439" s="10">
        <f t="shared" ref="T3439" si="2246">R3439*S3439</f>
        <v>152857</v>
      </c>
      <c r="U3439" s="10">
        <f t="shared" ref="U3439:U3440" si="2247">T3439*1.12</f>
        <v>171199.84000000003</v>
      </c>
      <c r="V3439" s="8"/>
      <c r="W3439" s="1">
        <v>2015</v>
      </c>
      <c r="X3439" s="8"/>
      <c r="Y3439" s="21"/>
    </row>
    <row r="3440" spans="1:25" s="13" customFormat="1" ht="76.5" customHeight="1" outlineLevel="1" x14ac:dyDescent="0.2">
      <c r="A3440" s="1" t="s">
        <v>8374</v>
      </c>
      <c r="B3440" s="38" t="s">
        <v>5277</v>
      </c>
      <c r="C3440" s="22" t="s">
        <v>1239</v>
      </c>
      <c r="D3440" s="2" t="s">
        <v>1238</v>
      </c>
      <c r="E3440" s="2" t="s">
        <v>1237</v>
      </c>
      <c r="F3440" s="6" t="s">
        <v>8376</v>
      </c>
      <c r="G3440" s="50" t="s">
        <v>3190</v>
      </c>
      <c r="H3440" s="5">
        <v>0</v>
      </c>
      <c r="I3440" s="6">
        <v>710000000</v>
      </c>
      <c r="J3440" s="4" t="s">
        <v>1931</v>
      </c>
      <c r="K3440" s="4" t="s">
        <v>756</v>
      </c>
      <c r="L3440" s="18" t="s">
        <v>1708</v>
      </c>
      <c r="M3440" s="8" t="s">
        <v>3195</v>
      </c>
      <c r="N3440" s="3" t="s">
        <v>1890</v>
      </c>
      <c r="O3440" s="8" t="s">
        <v>1935</v>
      </c>
      <c r="P3440" s="8">
        <v>796</v>
      </c>
      <c r="Q3440" s="8" t="s">
        <v>3196</v>
      </c>
      <c r="R3440" s="9">
        <v>1</v>
      </c>
      <c r="S3440" s="9">
        <v>84071</v>
      </c>
      <c r="T3440" s="10">
        <f t="shared" ref="T3440" si="2248">S3440*R3440</f>
        <v>84071</v>
      </c>
      <c r="U3440" s="10">
        <f t="shared" si="2247"/>
        <v>94159.52</v>
      </c>
      <c r="V3440" s="7"/>
      <c r="W3440" s="11">
        <v>2015</v>
      </c>
      <c r="X3440" s="12"/>
      <c r="Y3440" s="21"/>
    </row>
    <row r="3441" spans="1:26" s="13" customFormat="1" ht="76.5" customHeight="1" outlineLevel="1" x14ac:dyDescent="0.2">
      <c r="A3441" s="1" t="s">
        <v>8375</v>
      </c>
      <c r="B3441" s="38" t="s">
        <v>5277</v>
      </c>
      <c r="C3441" s="22" t="s">
        <v>1239</v>
      </c>
      <c r="D3441" s="2" t="s">
        <v>1238</v>
      </c>
      <c r="E3441" s="2" t="s">
        <v>1237</v>
      </c>
      <c r="F3441" s="6" t="s">
        <v>8387</v>
      </c>
      <c r="G3441" s="50" t="s">
        <v>3190</v>
      </c>
      <c r="H3441" s="5">
        <v>0</v>
      </c>
      <c r="I3441" s="6">
        <v>710000000</v>
      </c>
      <c r="J3441" s="4" t="s">
        <v>1931</v>
      </c>
      <c r="K3441" s="4" t="s">
        <v>756</v>
      </c>
      <c r="L3441" s="18" t="s">
        <v>1708</v>
      </c>
      <c r="M3441" s="8" t="s">
        <v>3195</v>
      </c>
      <c r="N3441" s="3" t="s">
        <v>1890</v>
      </c>
      <c r="O3441" s="8" t="s">
        <v>1935</v>
      </c>
      <c r="P3441" s="8">
        <v>796</v>
      </c>
      <c r="Q3441" s="8" t="s">
        <v>3196</v>
      </c>
      <c r="R3441" s="9">
        <v>1</v>
      </c>
      <c r="S3441" s="9">
        <v>60188</v>
      </c>
      <c r="T3441" s="10">
        <f t="shared" ref="T3441" si="2249">S3441*R3441</f>
        <v>60188</v>
      </c>
      <c r="U3441" s="10">
        <f t="shared" ref="U3441" si="2250">T3441*1.12</f>
        <v>67410.560000000012</v>
      </c>
      <c r="V3441" s="7"/>
      <c r="W3441" s="11">
        <v>2015</v>
      </c>
      <c r="X3441" s="12"/>
      <c r="Y3441" s="21"/>
    </row>
    <row r="3442" spans="1:26" s="13" customFormat="1" ht="330.75" customHeight="1" outlineLevel="1" x14ac:dyDescent="0.2">
      <c r="A3442" s="1" t="s">
        <v>8377</v>
      </c>
      <c r="B3442" s="38" t="s">
        <v>5277</v>
      </c>
      <c r="C3442" s="22" t="s">
        <v>8378</v>
      </c>
      <c r="D3442" s="6" t="s">
        <v>8379</v>
      </c>
      <c r="E3442" s="6" t="s">
        <v>8380</v>
      </c>
      <c r="F3442" s="6" t="s">
        <v>8381</v>
      </c>
      <c r="G3442" s="50" t="s">
        <v>3190</v>
      </c>
      <c r="H3442" s="5">
        <v>0</v>
      </c>
      <c r="I3442" s="6">
        <v>710000000</v>
      </c>
      <c r="J3442" s="4" t="s">
        <v>1931</v>
      </c>
      <c r="K3442" s="4" t="s">
        <v>756</v>
      </c>
      <c r="L3442" s="18" t="s">
        <v>1708</v>
      </c>
      <c r="M3442" s="8" t="s">
        <v>3195</v>
      </c>
      <c r="N3442" s="3" t="s">
        <v>1890</v>
      </c>
      <c r="O3442" s="8" t="s">
        <v>1935</v>
      </c>
      <c r="P3442" s="8">
        <v>796</v>
      </c>
      <c r="Q3442" s="8" t="s">
        <v>3196</v>
      </c>
      <c r="R3442" s="9">
        <v>1</v>
      </c>
      <c r="S3442" s="9">
        <v>74827</v>
      </c>
      <c r="T3442" s="10">
        <f t="shared" ref="T3442" si="2251">S3442*R3442</f>
        <v>74827</v>
      </c>
      <c r="U3442" s="10">
        <f t="shared" ref="U3442" si="2252">T3442*1.12</f>
        <v>83806.240000000005</v>
      </c>
      <c r="V3442" s="7"/>
      <c r="W3442" s="11">
        <v>2015</v>
      </c>
      <c r="X3442" s="12"/>
      <c r="Y3442" s="21"/>
    </row>
    <row r="3443" spans="1:26" s="13" customFormat="1" ht="135" customHeight="1" outlineLevel="1" x14ac:dyDescent="0.2">
      <c r="A3443" s="1" t="s">
        <v>8382</v>
      </c>
      <c r="B3443" s="38" t="s">
        <v>5277</v>
      </c>
      <c r="C3443" s="22" t="s">
        <v>8383</v>
      </c>
      <c r="D3443" s="6" t="s">
        <v>8384</v>
      </c>
      <c r="E3443" s="6" t="s">
        <v>8385</v>
      </c>
      <c r="F3443" s="6" t="s">
        <v>8388</v>
      </c>
      <c r="G3443" s="50" t="s">
        <v>1888</v>
      </c>
      <c r="H3443" s="5">
        <v>0</v>
      </c>
      <c r="I3443" s="6">
        <v>710000000</v>
      </c>
      <c r="J3443" s="4" t="s">
        <v>1931</v>
      </c>
      <c r="K3443" s="4" t="s">
        <v>756</v>
      </c>
      <c r="L3443" s="18" t="s">
        <v>2140</v>
      </c>
      <c r="M3443" s="8" t="s">
        <v>3195</v>
      </c>
      <c r="N3443" s="3" t="s">
        <v>1890</v>
      </c>
      <c r="O3443" s="8" t="s">
        <v>1935</v>
      </c>
      <c r="P3443" s="8">
        <v>839</v>
      </c>
      <c r="Q3443" s="8" t="s">
        <v>5413</v>
      </c>
      <c r="R3443" s="9">
        <v>1</v>
      </c>
      <c r="S3443" s="9">
        <v>33027000</v>
      </c>
      <c r="T3443" s="10">
        <v>0</v>
      </c>
      <c r="U3443" s="10">
        <f t="shared" ref="U3443" si="2253">T3443*1.12</f>
        <v>0</v>
      </c>
      <c r="V3443" s="7"/>
      <c r="W3443" s="11">
        <v>2015</v>
      </c>
      <c r="X3443" s="12">
        <v>11.22</v>
      </c>
      <c r="Y3443" s="21"/>
    </row>
    <row r="3444" spans="1:26" s="13" customFormat="1" ht="135" customHeight="1" outlineLevel="1" x14ac:dyDescent="0.2">
      <c r="A3444" s="1" t="s">
        <v>8787</v>
      </c>
      <c r="B3444" s="38" t="s">
        <v>5277</v>
      </c>
      <c r="C3444" s="22" t="s">
        <v>8383</v>
      </c>
      <c r="D3444" s="6" t="s">
        <v>8384</v>
      </c>
      <c r="E3444" s="6" t="s">
        <v>8385</v>
      </c>
      <c r="F3444" s="6" t="s">
        <v>8388</v>
      </c>
      <c r="G3444" s="50" t="s">
        <v>1888</v>
      </c>
      <c r="H3444" s="5">
        <v>0</v>
      </c>
      <c r="I3444" s="6">
        <v>710000000</v>
      </c>
      <c r="J3444" s="4" t="s">
        <v>1931</v>
      </c>
      <c r="K3444" s="4" t="s">
        <v>8788</v>
      </c>
      <c r="L3444" s="18" t="s">
        <v>2140</v>
      </c>
      <c r="M3444" s="8" t="s">
        <v>3195</v>
      </c>
      <c r="N3444" s="3" t="s">
        <v>1890</v>
      </c>
      <c r="O3444" s="8" t="s">
        <v>1935</v>
      </c>
      <c r="P3444" s="8">
        <v>839</v>
      </c>
      <c r="Q3444" s="8" t="s">
        <v>5413</v>
      </c>
      <c r="R3444" s="9">
        <v>1</v>
      </c>
      <c r="S3444" s="9">
        <v>33027000</v>
      </c>
      <c r="T3444" s="10">
        <f t="shared" ref="T3444" si="2254">S3444*R3444</f>
        <v>33027000</v>
      </c>
      <c r="U3444" s="10">
        <f t="shared" ref="U3444" si="2255">T3444*1.12</f>
        <v>36990240</v>
      </c>
      <c r="V3444" s="7"/>
      <c r="W3444" s="11">
        <v>2015</v>
      </c>
      <c r="X3444" s="12"/>
      <c r="Y3444" s="21"/>
    </row>
    <row r="3445" spans="1:26" s="13" customFormat="1" ht="135" customHeight="1" outlineLevel="1" x14ac:dyDescent="0.2">
      <c r="A3445" s="1" t="s">
        <v>8386</v>
      </c>
      <c r="B3445" s="38" t="s">
        <v>5277</v>
      </c>
      <c r="C3445" s="22" t="s">
        <v>3551</v>
      </c>
      <c r="D3445" s="6" t="s">
        <v>2996</v>
      </c>
      <c r="E3445" s="6" t="s">
        <v>6487</v>
      </c>
      <c r="F3445" s="6"/>
      <c r="G3445" s="50" t="s">
        <v>3190</v>
      </c>
      <c r="H3445" s="5">
        <v>0</v>
      </c>
      <c r="I3445" s="6">
        <v>710000000</v>
      </c>
      <c r="J3445" s="4" t="s">
        <v>1931</v>
      </c>
      <c r="K3445" s="4" t="s">
        <v>756</v>
      </c>
      <c r="L3445" s="7" t="s">
        <v>7579</v>
      </c>
      <c r="M3445" s="8" t="s">
        <v>3195</v>
      </c>
      <c r="N3445" s="3" t="s">
        <v>1890</v>
      </c>
      <c r="O3445" s="8" t="s">
        <v>1935</v>
      </c>
      <c r="P3445" s="40" t="s">
        <v>3443</v>
      </c>
      <c r="Q3445" s="4" t="s">
        <v>5676</v>
      </c>
      <c r="R3445" s="9">
        <v>200</v>
      </c>
      <c r="S3445" s="9">
        <v>2500</v>
      </c>
      <c r="T3445" s="10">
        <f t="shared" ref="T3445" si="2256">S3445*R3445</f>
        <v>500000</v>
      </c>
      <c r="U3445" s="10">
        <f t="shared" ref="U3445" si="2257">T3445*1.12</f>
        <v>560000</v>
      </c>
      <c r="V3445" s="7"/>
      <c r="W3445" s="11">
        <v>2015</v>
      </c>
      <c r="X3445" s="12"/>
      <c r="Y3445" s="21"/>
    </row>
    <row r="3446" spans="1:26" s="13" customFormat="1" ht="135" customHeight="1" outlineLevel="1" x14ac:dyDescent="0.2">
      <c r="A3446" s="1" t="s">
        <v>8402</v>
      </c>
      <c r="B3446" s="2" t="s">
        <v>5277</v>
      </c>
      <c r="C3446" s="22" t="s">
        <v>8403</v>
      </c>
      <c r="D3446" s="6" t="s">
        <v>8404</v>
      </c>
      <c r="E3446" s="6" t="s">
        <v>8405</v>
      </c>
      <c r="F3446" s="6" t="s">
        <v>8406</v>
      </c>
      <c r="G3446" s="50" t="s">
        <v>3190</v>
      </c>
      <c r="H3446" s="5">
        <v>0</v>
      </c>
      <c r="I3446" s="6">
        <v>710000000</v>
      </c>
      <c r="J3446" s="4" t="s">
        <v>1931</v>
      </c>
      <c r="K3446" s="4" t="s">
        <v>6167</v>
      </c>
      <c r="L3446" s="7" t="s">
        <v>2985</v>
      </c>
      <c r="M3446" s="8" t="s">
        <v>3195</v>
      </c>
      <c r="N3446" s="3" t="s">
        <v>1408</v>
      </c>
      <c r="O3446" s="8" t="s">
        <v>1935</v>
      </c>
      <c r="P3446" s="40">
        <v>796</v>
      </c>
      <c r="Q3446" s="4" t="s">
        <v>3196</v>
      </c>
      <c r="R3446" s="9">
        <v>45</v>
      </c>
      <c r="S3446" s="9">
        <v>15000</v>
      </c>
      <c r="T3446" s="10">
        <v>675000</v>
      </c>
      <c r="U3446" s="10">
        <v>756000.00000000012</v>
      </c>
      <c r="V3446" s="54"/>
      <c r="W3446" s="11">
        <v>2015</v>
      </c>
      <c r="X3446" s="12"/>
      <c r="Y3446" s="21"/>
    </row>
    <row r="3447" spans="1:26" s="61" customFormat="1" ht="136.5" customHeight="1" x14ac:dyDescent="0.2">
      <c r="A3447" s="1" t="s">
        <v>8465</v>
      </c>
      <c r="B3447" s="15" t="s">
        <v>5277</v>
      </c>
      <c r="C3447" s="22" t="s">
        <v>8461</v>
      </c>
      <c r="D3447" s="4" t="s">
        <v>8462</v>
      </c>
      <c r="E3447" s="4" t="s">
        <v>8463</v>
      </c>
      <c r="F3447" s="4" t="s">
        <v>8464</v>
      </c>
      <c r="G3447" s="4" t="s">
        <v>3190</v>
      </c>
      <c r="H3447" s="17">
        <v>0</v>
      </c>
      <c r="I3447" s="18">
        <v>710000000</v>
      </c>
      <c r="J3447" s="4" t="s">
        <v>1931</v>
      </c>
      <c r="K3447" s="4" t="s">
        <v>6167</v>
      </c>
      <c r="L3447" s="4" t="s">
        <v>2985</v>
      </c>
      <c r="M3447" s="1"/>
      <c r="N3447" s="4" t="s">
        <v>1408</v>
      </c>
      <c r="O3447" s="8" t="s">
        <v>1935</v>
      </c>
      <c r="P3447" s="4">
        <v>796</v>
      </c>
      <c r="Q3447" s="1" t="s">
        <v>6401</v>
      </c>
      <c r="R3447" s="26">
        <v>27</v>
      </c>
      <c r="S3447" s="26">
        <v>56071.43</v>
      </c>
      <c r="T3447" s="26">
        <v>0</v>
      </c>
      <c r="U3447" s="26">
        <f>T3447*1.12</f>
        <v>0</v>
      </c>
      <c r="V3447" s="11"/>
      <c r="W3447" s="11">
        <v>2015</v>
      </c>
      <c r="X3447" s="27" t="s">
        <v>7518</v>
      </c>
      <c r="Y3447" s="28"/>
      <c r="Z3447" s="23"/>
    </row>
    <row r="3448" spans="1:26" s="61" customFormat="1" ht="136.5" customHeight="1" x14ac:dyDescent="0.2">
      <c r="A3448" s="1" t="s">
        <v>9262</v>
      </c>
      <c r="B3448" s="15" t="s">
        <v>5277</v>
      </c>
      <c r="C3448" s="22" t="s">
        <v>8461</v>
      </c>
      <c r="D3448" s="4" t="s">
        <v>8462</v>
      </c>
      <c r="E3448" s="4" t="s">
        <v>8463</v>
      </c>
      <c r="F3448" s="4" t="s">
        <v>8464</v>
      </c>
      <c r="G3448" s="4" t="s">
        <v>3190</v>
      </c>
      <c r="H3448" s="17">
        <v>0</v>
      </c>
      <c r="I3448" s="18">
        <v>710000000</v>
      </c>
      <c r="J3448" s="4" t="s">
        <v>1931</v>
      </c>
      <c r="K3448" s="4" t="s">
        <v>9263</v>
      </c>
      <c r="L3448" s="4" t="s">
        <v>2985</v>
      </c>
      <c r="M3448" s="1"/>
      <c r="N3448" s="4" t="s">
        <v>1408</v>
      </c>
      <c r="O3448" s="8" t="s">
        <v>1935</v>
      </c>
      <c r="P3448" s="4">
        <v>796</v>
      </c>
      <c r="Q3448" s="1" t="s">
        <v>6401</v>
      </c>
      <c r="R3448" s="26">
        <f>27+27</f>
        <v>54</v>
      </c>
      <c r="S3448" s="26">
        <v>56071.43</v>
      </c>
      <c r="T3448" s="26">
        <f>S3448*R3448</f>
        <v>3027857.22</v>
      </c>
      <c r="U3448" s="26">
        <f>T3448*1.12</f>
        <v>3391200.0864000004</v>
      </c>
      <c r="V3448" s="11"/>
      <c r="W3448" s="11">
        <v>2015</v>
      </c>
      <c r="X3448" s="27"/>
      <c r="Y3448" s="28"/>
      <c r="Z3448" s="23"/>
    </row>
    <row r="3449" spans="1:26" s="115" customFormat="1" ht="72" customHeight="1" x14ac:dyDescent="0.2">
      <c r="A3449" s="1" t="s">
        <v>8471</v>
      </c>
      <c r="B3449" s="86" t="s">
        <v>5277</v>
      </c>
      <c r="C3449" s="22" t="s">
        <v>8466</v>
      </c>
      <c r="D3449" s="6" t="s">
        <v>5377</v>
      </c>
      <c r="E3449" s="6" t="s">
        <v>8467</v>
      </c>
      <c r="F3449" s="6" t="s">
        <v>8468</v>
      </c>
      <c r="G3449" s="87" t="s">
        <v>1888</v>
      </c>
      <c r="H3449" s="22">
        <v>0</v>
      </c>
      <c r="I3449" s="18">
        <v>710000000</v>
      </c>
      <c r="J3449" s="89" t="s">
        <v>1931</v>
      </c>
      <c r="K3449" s="88" t="s">
        <v>6167</v>
      </c>
      <c r="L3449" s="7" t="s">
        <v>8469</v>
      </c>
      <c r="M3449" s="88" t="s">
        <v>3195</v>
      </c>
      <c r="N3449" s="87" t="s">
        <v>1408</v>
      </c>
      <c r="O3449" s="89" t="s">
        <v>8470</v>
      </c>
      <c r="P3449" s="88">
        <v>796</v>
      </c>
      <c r="Q3449" s="90" t="s">
        <v>6401</v>
      </c>
      <c r="R3449" s="10">
        <v>2</v>
      </c>
      <c r="S3449" s="10">
        <v>45330</v>
      </c>
      <c r="T3449" s="10">
        <f>R3449*S3449</f>
        <v>90660</v>
      </c>
      <c r="U3449" s="10">
        <f>T3449*1.12</f>
        <v>101539.20000000001</v>
      </c>
      <c r="V3449" s="91"/>
      <c r="W3449" s="91">
        <v>2015</v>
      </c>
      <c r="X3449" s="92"/>
    </row>
    <row r="3450" spans="1:26" s="115" customFormat="1" ht="72" customHeight="1" x14ac:dyDescent="0.2">
      <c r="A3450" s="1" t="s">
        <v>8474</v>
      </c>
      <c r="B3450" s="86" t="s">
        <v>5277</v>
      </c>
      <c r="C3450" s="22" t="s">
        <v>8472</v>
      </c>
      <c r="D3450" s="6" t="s">
        <v>5377</v>
      </c>
      <c r="E3450" s="6" t="s">
        <v>8473</v>
      </c>
      <c r="F3450" s="6" t="s">
        <v>8468</v>
      </c>
      <c r="G3450" s="87" t="s">
        <v>1888</v>
      </c>
      <c r="H3450" s="22">
        <v>0</v>
      </c>
      <c r="I3450" s="18">
        <v>710000000</v>
      </c>
      <c r="J3450" s="87" t="s">
        <v>1931</v>
      </c>
      <c r="K3450" s="88" t="s">
        <v>6167</v>
      </c>
      <c r="L3450" s="7" t="s">
        <v>8469</v>
      </c>
      <c r="M3450" s="88" t="s">
        <v>3195</v>
      </c>
      <c r="N3450" s="87" t="s">
        <v>1408</v>
      </c>
      <c r="O3450" s="89" t="s">
        <v>8470</v>
      </c>
      <c r="P3450" s="88">
        <v>796</v>
      </c>
      <c r="Q3450" s="90" t="s">
        <v>6401</v>
      </c>
      <c r="R3450" s="10">
        <v>2</v>
      </c>
      <c r="S3450" s="10">
        <v>19238</v>
      </c>
      <c r="T3450" s="10">
        <f t="shared" ref="T3450:T3513" si="2258">R3450*S3450</f>
        <v>38476</v>
      </c>
      <c r="U3450" s="10">
        <f t="shared" ref="U3450:U3513" si="2259">T3450*1.12</f>
        <v>43093.120000000003</v>
      </c>
      <c r="V3450" s="91"/>
      <c r="W3450" s="91">
        <v>2015</v>
      </c>
      <c r="X3450" s="92"/>
    </row>
    <row r="3451" spans="1:26" s="115" customFormat="1" ht="72" customHeight="1" x14ac:dyDescent="0.2">
      <c r="A3451" s="1" t="s">
        <v>8476</v>
      </c>
      <c r="B3451" s="86" t="s">
        <v>5277</v>
      </c>
      <c r="C3451" s="22" t="s">
        <v>8475</v>
      </c>
      <c r="D3451" s="6" t="s">
        <v>8803</v>
      </c>
      <c r="E3451" s="6" t="s">
        <v>5364</v>
      </c>
      <c r="F3451" s="6" t="s">
        <v>8468</v>
      </c>
      <c r="G3451" s="87" t="s">
        <v>1888</v>
      </c>
      <c r="H3451" s="22">
        <v>0</v>
      </c>
      <c r="I3451" s="18">
        <v>710000000</v>
      </c>
      <c r="J3451" s="87" t="s">
        <v>1931</v>
      </c>
      <c r="K3451" s="88" t="s">
        <v>6167</v>
      </c>
      <c r="L3451" s="7" t="s">
        <v>8469</v>
      </c>
      <c r="M3451" s="88" t="s">
        <v>3195</v>
      </c>
      <c r="N3451" s="87" t="s">
        <v>1408</v>
      </c>
      <c r="O3451" s="89" t="s">
        <v>8470</v>
      </c>
      <c r="P3451" s="88">
        <v>839</v>
      </c>
      <c r="Q3451" s="90" t="s">
        <v>5419</v>
      </c>
      <c r="R3451" s="10">
        <v>2</v>
      </c>
      <c r="S3451" s="10">
        <v>15528</v>
      </c>
      <c r="T3451" s="10">
        <f t="shared" si="2258"/>
        <v>31056</v>
      </c>
      <c r="U3451" s="10">
        <f t="shared" si="2259"/>
        <v>34782.720000000001</v>
      </c>
      <c r="V3451" s="91"/>
      <c r="W3451" s="91">
        <v>2015</v>
      </c>
      <c r="X3451" s="92"/>
    </row>
    <row r="3452" spans="1:26" s="115" customFormat="1" ht="72" customHeight="1" x14ac:dyDescent="0.2">
      <c r="A3452" s="1" t="s">
        <v>8479</v>
      </c>
      <c r="B3452" s="86" t="s">
        <v>5277</v>
      </c>
      <c r="C3452" s="22" t="s">
        <v>8477</v>
      </c>
      <c r="D3452" s="6" t="s">
        <v>8478</v>
      </c>
      <c r="E3452" s="6" t="s">
        <v>5364</v>
      </c>
      <c r="F3452" s="6" t="s">
        <v>8468</v>
      </c>
      <c r="G3452" s="87" t="s">
        <v>1888</v>
      </c>
      <c r="H3452" s="22">
        <v>0</v>
      </c>
      <c r="I3452" s="18">
        <v>710000000</v>
      </c>
      <c r="J3452" s="87" t="s">
        <v>1931</v>
      </c>
      <c r="K3452" s="88" t="s">
        <v>6167</v>
      </c>
      <c r="L3452" s="7" t="s">
        <v>8469</v>
      </c>
      <c r="M3452" s="88" t="s">
        <v>3195</v>
      </c>
      <c r="N3452" s="87" t="s">
        <v>1408</v>
      </c>
      <c r="O3452" s="89" t="s">
        <v>8470</v>
      </c>
      <c r="P3452" s="88">
        <v>796</v>
      </c>
      <c r="Q3452" s="90" t="s">
        <v>6401</v>
      </c>
      <c r="R3452" s="10">
        <v>2</v>
      </c>
      <c r="S3452" s="10">
        <v>4780</v>
      </c>
      <c r="T3452" s="10">
        <f t="shared" si="2258"/>
        <v>9560</v>
      </c>
      <c r="U3452" s="10">
        <f t="shared" si="2259"/>
        <v>10707.2</v>
      </c>
      <c r="V3452" s="91"/>
      <c r="W3452" s="91">
        <v>2015</v>
      </c>
      <c r="X3452" s="92"/>
    </row>
    <row r="3453" spans="1:26" s="115" customFormat="1" ht="72" customHeight="1" x14ac:dyDescent="0.2">
      <c r="A3453" s="1" t="s">
        <v>8481</v>
      </c>
      <c r="B3453" s="86" t="s">
        <v>5277</v>
      </c>
      <c r="C3453" s="22" t="s">
        <v>8480</v>
      </c>
      <c r="D3453" s="6" t="s">
        <v>5378</v>
      </c>
      <c r="E3453" s="6" t="s">
        <v>8542</v>
      </c>
      <c r="F3453" s="6" t="s">
        <v>8804</v>
      </c>
      <c r="G3453" s="87" t="s">
        <v>1888</v>
      </c>
      <c r="H3453" s="22">
        <v>0</v>
      </c>
      <c r="I3453" s="18">
        <v>710000000</v>
      </c>
      <c r="J3453" s="87" t="s">
        <v>1931</v>
      </c>
      <c r="K3453" s="88" t="s">
        <v>6167</v>
      </c>
      <c r="L3453" s="7" t="s">
        <v>8469</v>
      </c>
      <c r="M3453" s="88" t="s">
        <v>3195</v>
      </c>
      <c r="N3453" s="87" t="s">
        <v>1408</v>
      </c>
      <c r="O3453" s="89" t="s">
        <v>8470</v>
      </c>
      <c r="P3453" s="88">
        <v>839</v>
      </c>
      <c r="Q3453" s="90" t="s">
        <v>5419</v>
      </c>
      <c r="R3453" s="10">
        <v>1</v>
      </c>
      <c r="S3453" s="10">
        <v>127036</v>
      </c>
      <c r="T3453" s="10">
        <f t="shared" si="2258"/>
        <v>127036</v>
      </c>
      <c r="U3453" s="10">
        <f t="shared" si="2259"/>
        <v>142280.32000000001</v>
      </c>
      <c r="V3453" s="91"/>
      <c r="W3453" s="91">
        <v>2015</v>
      </c>
      <c r="X3453" s="92"/>
    </row>
    <row r="3454" spans="1:26" s="115" customFormat="1" ht="72" customHeight="1" x14ac:dyDescent="0.2">
      <c r="A3454" s="1" t="s">
        <v>8482</v>
      </c>
      <c r="B3454" s="86" t="s">
        <v>5277</v>
      </c>
      <c r="C3454" s="22" t="s">
        <v>8480</v>
      </c>
      <c r="D3454" s="6" t="s">
        <v>5378</v>
      </c>
      <c r="E3454" s="6" t="s">
        <v>8542</v>
      </c>
      <c r="F3454" s="6" t="s">
        <v>8805</v>
      </c>
      <c r="G3454" s="87" t="s">
        <v>1888</v>
      </c>
      <c r="H3454" s="22">
        <v>0</v>
      </c>
      <c r="I3454" s="18">
        <v>710000000</v>
      </c>
      <c r="J3454" s="87" t="s">
        <v>1931</v>
      </c>
      <c r="K3454" s="88" t="s">
        <v>6167</v>
      </c>
      <c r="L3454" s="7" t="s">
        <v>8469</v>
      </c>
      <c r="M3454" s="88" t="s">
        <v>3195</v>
      </c>
      <c r="N3454" s="87" t="s">
        <v>1408</v>
      </c>
      <c r="O3454" s="89" t="s">
        <v>8470</v>
      </c>
      <c r="P3454" s="88">
        <v>839</v>
      </c>
      <c r="Q3454" s="90" t="s">
        <v>5419</v>
      </c>
      <c r="R3454" s="10">
        <v>1</v>
      </c>
      <c r="S3454" s="10">
        <v>96384</v>
      </c>
      <c r="T3454" s="10">
        <f t="shared" si="2258"/>
        <v>96384</v>
      </c>
      <c r="U3454" s="10">
        <f t="shared" si="2259"/>
        <v>107950.08000000002</v>
      </c>
      <c r="V3454" s="91"/>
      <c r="W3454" s="91">
        <v>2015</v>
      </c>
      <c r="X3454" s="92"/>
    </row>
    <row r="3455" spans="1:26" s="115" customFormat="1" ht="72" customHeight="1" x14ac:dyDescent="0.2">
      <c r="A3455" s="1" t="s">
        <v>8486</v>
      </c>
      <c r="B3455" s="86" t="s">
        <v>5277</v>
      </c>
      <c r="C3455" s="22" t="s">
        <v>8483</v>
      </c>
      <c r="D3455" s="6" t="s">
        <v>8484</v>
      </c>
      <c r="E3455" s="6" t="s">
        <v>8485</v>
      </c>
      <c r="F3455" s="6" t="s">
        <v>8468</v>
      </c>
      <c r="G3455" s="87" t="s">
        <v>1888</v>
      </c>
      <c r="H3455" s="22">
        <v>0</v>
      </c>
      <c r="I3455" s="18">
        <v>710000000</v>
      </c>
      <c r="J3455" s="87" t="s">
        <v>1931</v>
      </c>
      <c r="K3455" s="88" t="s">
        <v>6167</v>
      </c>
      <c r="L3455" s="7" t="s">
        <v>8469</v>
      </c>
      <c r="M3455" s="88" t="s">
        <v>3195</v>
      </c>
      <c r="N3455" s="87" t="s">
        <v>1408</v>
      </c>
      <c r="O3455" s="89" t="s">
        <v>8470</v>
      </c>
      <c r="P3455" s="88">
        <v>839</v>
      </c>
      <c r="Q3455" s="90" t="s">
        <v>5419</v>
      </c>
      <c r="R3455" s="10">
        <v>2</v>
      </c>
      <c r="S3455" s="10">
        <v>18506</v>
      </c>
      <c r="T3455" s="10">
        <f t="shared" si="2258"/>
        <v>37012</v>
      </c>
      <c r="U3455" s="10">
        <f t="shared" si="2259"/>
        <v>41453.440000000002</v>
      </c>
      <c r="V3455" s="91"/>
      <c r="W3455" s="91">
        <v>2015</v>
      </c>
      <c r="X3455" s="92"/>
    </row>
    <row r="3456" spans="1:26" s="115" customFormat="1" ht="72" customHeight="1" x14ac:dyDescent="0.2">
      <c r="A3456" s="1" t="s">
        <v>8487</v>
      </c>
      <c r="B3456" s="86" t="s">
        <v>5277</v>
      </c>
      <c r="C3456" s="22" t="s">
        <v>3249</v>
      </c>
      <c r="D3456" s="6" t="s">
        <v>3250</v>
      </c>
      <c r="E3456" s="6" t="s">
        <v>5381</v>
      </c>
      <c r="F3456" s="6" t="s">
        <v>8468</v>
      </c>
      <c r="G3456" s="87" t="s">
        <v>1888</v>
      </c>
      <c r="H3456" s="22">
        <v>0</v>
      </c>
      <c r="I3456" s="18">
        <v>710000000</v>
      </c>
      <c r="J3456" s="87" t="s">
        <v>1931</v>
      </c>
      <c r="K3456" s="88" t="s">
        <v>6167</v>
      </c>
      <c r="L3456" s="7" t="s">
        <v>8469</v>
      </c>
      <c r="M3456" s="88" t="s">
        <v>3195</v>
      </c>
      <c r="N3456" s="87" t="s">
        <v>1408</v>
      </c>
      <c r="O3456" s="89" t="s">
        <v>8470</v>
      </c>
      <c r="P3456" s="88">
        <v>796</v>
      </c>
      <c r="Q3456" s="90" t="s">
        <v>6401</v>
      </c>
      <c r="R3456" s="10">
        <v>1</v>
      </c>
      <c r="S3456" s="10">
        <v>107775</v>
      </c>
      <c r="T3456" s="10">
        <f t="shared" si="2258"/>
        <v>107775</v>
      </c>
      <c r="U3456" s="10">
        <f t="shared" si="2259"/>
        <v>120708.00000000001</v>
      </c>
      <c r="V3456" s="91"/>
      <c r="W3456" s="91">
        <v>2015</v>
      </c>
      <c r="X3456" s="92"/>
    </row>
    <row r="3457" spans="1:24" s="115" customFormat="1" ht="72" customHeight="1" x14ac:dyDescent="0.2">
      <c r="A3457" s="1" t="s">
        <v>8490</v>
      </c>
      <c r="B3457" s="86" t="s">
        <v>5277</v>
      </c>
      <c r="C3457" s="22" t="s">
        <v>8488</v>
      </c>
      <c r="D3457" s="6" t="s">
        <v>8489</v>
      </c>
      <c r="E3457" s="6" t="s">
        <v>5364</v>
      </c>
      <c r="F3457" s="6" t="s">
        <v>8468</v>
      </c>
      <c r="G3457" s="87" t="s">
        <v>1888</v>
      </c>
      <c r="H3457" s="22">
        <v>0</v>
      </c>
      <c r="I3457" s="18">
        <v>710000000</v>
      </c>
      <c r="J3457" s="87" t="s">
        <v>1931</v>
      </c>
      <c r="K3457" s="88" t="s">
        <v>6167</v>
      </c>
      <c r="L3457" s="7" t="s">
        <v>8469</v>
      </c>
      <c r="M3457" s="88" t="s">
        <v>3195</v>
      </c>
      <c r="N3457" s="87" t="s">
        <v>1408</v>
      </c>
      <c r="O3457" s="89" t="s">
        <v>8470</v>
      </c>
      <c r="P3457" s="88">
        <v>796</v>
      </c>
      <c r="Q3457" s="90" t="s">
        <v>6401</v>
      </c>
      <c r="R3457" s="10">
        <v>1</v>
      </c>
      <c r="S3457" s="10">
        <v>55046</v>
      </c>
      <c r="T3457" s="10">
        <f t="shared" si="2258"/>
        <v>55046</v>
      </c>
      <c r="U3457" s="10">
        <f t="shared" si="2259"/>
        <v>61651.520000000004</v>
      </c>
      <c r="V3457" s="91"/>
      <c r="W3457" s="91">
        <v>2015</v>
      </c>
      <c r="X3457" s="92"/>
    </row>
    <row r="3458" spans="1:24" s="115" customFormat="1" ht="72" customHeight="1" x14ac:dyDescent="0.2">
      <c r="A3458" s="1" t="s">
        <v>8492</v>
      </c>
      <c r="B3458" s="86" t="s">
        <v>5277</v>
      </c>
      <c r="C3458" s="22" t="s">
        <v>3252</v>
      </c>
      <c r="D3458" s="6" t="s">
        <v>8491</v>
      </c>
      <c r="E3458" s="6" t="s">
        <v>5383</v>
      </c>
      <c r="F3458" s="6" t="s">
        <v>8468</v>
      </c>
      <c r="G3458" s="87" t="s">
        <v>1888</v>
      </c>
      <c r="H3458" s="22">
        <v>0</v>
      </c>
      <c r="I3458" s="18">
        <v>710000000</v>
      </c>
      <c r="J3458" s="87" t="s">
        <v>1931</v>
      </c>
      <c r="K3458" s="88" t="s">
        <v>6167</v>
      </c>
      <c r="L3458" s="7" t="s">
        <v>8469</v>
      </c>
      <c r="M3458" s="88" t="s">
        <v>3195</v>
      </c>
      <c r="N3458" s="87" t="s">
        <v>1408</v>
      </c>
      <c r="O3458" s="89" t="s">
        <v>8470</v>
      </c>
      <c r="P3458" s="88">
        <v>796</v>
      </c>
      <c r="Q3458" s="90" t="s">
        <v>6401</v>
      </c>
      <c r="R3458" s="10">
        <v>1</v>
      </c>
      <c r="S3458" s="10">
        <v>137746</v>
      </c>
      <c r="T3458" s="10">
        <f t="shared" si="2258"/>
        <v>137746</v>
      </c>
      <c r="U3458" s="10">
        <f t="shared" si="2259"/>
        <v>154275.52000000002</v>
      </c>
      <c r="V3458" s="91"/>
      <c r="W3458" s="91">
        <v>2015</v>
      </c>
      <c r="X3458" s="92"/>
    </row>
    <row r="3459" spans="1:24" s="115" customFormat="1" ht="72" customHeight="1" x14ac:dyDescent="0.2">
      <c r="A3459" s="1" t="s">
        <v>8494</v>
      </c>
      <c r="B3459" s="86" t="s">
        <v>5277</v>
      </c>
      <c r="C3459" s="22" t="s">
        <v>3253</v>
      </c>
      <c r="D3459" s="6" t="s">
        <v>5393</v>
      </c>
      <c r="E3459" s="6" t="s">
        <v>2035</v>
      </c>
      <c r="F3459" s="6" t="s">
        <v>8468</v>
      </c>
      <c r="G3459" s="87" t="s">
        <v>1888</v>
      </c>
      <c r="H3459" s="22">
        <v>0</v>
      </c>
      <c r="I3459" s="18">
        <v>710000000</v>
      </c>
      <c r="J3459" s="87" t="s">
        <v>1931</v>
      </c>
      <c r="K3459" s="88" t="s">
        <v>6167</v>
      </c>
      <c r="L3459" s="7" t="s">
        <v>8469</v>
      </c>
      <c r="M3459" s="88" t="s">
        <v>3195</v>
      </c>
      <c r="N3459" s="87" t="s">
        <v>1408</v>
      </c>
      <c r="O3459" s="89" t="s">
        <v>8470</v>
      </c>
      <c r="P3459" s="88">
        <v>796</v>
      </c>
      <c r="Q3459" s="90" t="s">
        <v>6401</v>
      </c>
      <c r="R3459" s="10">
        <v>1</v>
      </c>
      <c r="S3459" s="10">
        <v>44835</v>
      </c>
      <c r="T3459" s="10">
        <f t="shared" si="2258"/>
        <v>44835</v>
      </c>
      <c r="U3459" s="10">
        <f t="shared" si="2259"/>
        <v>50215.200000000004</v>
      </c>
      <c r="V3459" s="91"/>
      <c r="W3459" s="91">
        <v>2015</v>
      </c>
      <c r="X3459" s="92"/>
    </row>
    <row r="3460" spans="1:24" s="115" customFormat="1" ht="72" customHeight="1" x14ac:dyDescent="0.2">
      <c r="A3460" s="1" t="s">
        <v>8497</v>
      </c>
      <c r="B3460" s="86" t="s">
        <v>5277</v>
      </c>
      <c r="C3460" s="22" t="s">
        <v>8806</v>
      </c>
      <c r="D3460" s="6" t="s">
        <v>8495</v>
      </c>
      <c r="E3460" s="6" t="s">
        <v>8496</v>
      </c>
      <c r="F3460" s="6" t="s">
        <v>8468</v>
      </c>
      <c r="G3460" s="87" t="s">
        <v>1888</v>
      </c>
      <c r="H3460" s="22">
        <v>0</v>
      </c>
      <c r="I3460" s="18">
        <v>710000000</v>
      </c>
      <c r="J3460" s="87" t="s">
        <v>1931</v>
      </c>
      <c r="K3460" s="88" t="s">
        <v>6167</v>
      </c>
      <c r="L3460" s="7" t="s">
        <v>8469</v>
      </c>
      <c r="M3460" s="88" t="s">
        <v>3195</v>
      </c>
      <c r="N3460" s="87" t="s">
        <v>1408</v>
      </c>
      <c r="O3460" s="89" t="s">
        <v>8470</v>
      </c>
      <c r="P3460" s="88">
        <v>796</v>
      </c>
      <c r="Q3460" s="90" t="s">
        <v>6401</v>
      </c>
      <c r="R3460" s="10">
        <v>2</v>
      </c>
      <c r="S3460" s="10">
        <v>16589</v>
      </c>
      <c r="T3460" s="10">
        <f t="shared" si="2258"/>
        <v>33178</v>
      </c>
      <c r="U3460" s="10">
        <f t="shared" si="2259"/>
        <v>37159.360000000001</v>
      </c>
      <c r="V3460" s="91"/>
      <c r="W3460" s="91">
        <v>2015</v>
      </c>
      <c r="X3460" s="92"/>
    </row>
    <row r="3461" spans="1:24" s="115" customFormat="1" ht="72" customHeight="1" x14ac:dyDescent="0.2">
      <c r="A3461" s="1" t="s">
        <v>8500</v>
      </c>
      <c r="B3461" s="86" t="s">
        <v>5277</v>
      </c>
      <c r="C3461" s="22" t="s">
        <v>8498</v>
      </c>
      <c r="D3461" s="6" t="s">
        <v>8808</v>
      </c>
      <c r="E3461" s="6" t="s">
        <v>8499</v>
      </c>
      <c r="F3461" s="6" t="s">
        <v>8807</v>
      </c>
      <c r="G3461" s="87" t="s">
        <v>1888</v>
      </c>
      <c r="H3461" s="22">
        <v>0</v>
      </c>
      <c r="I3461" s="18">
        <v>710000000</v>
      </c>
      <c r="J3461" s="87" t="s">
        <v>1931</v>
      </c>
      <c r="K3461" s="88" t="s">
        <v>6167</v>
      </c>
      <c r="L3461" s="7" t="s">
        <v>8469</v>
      </c>
      <c r="M3461" s="88" t="s">
        <v>3195</v>
      </c>
      <c r="N3461" s="87" t="s">
        <v>1408</v>
      </c>
      <c r="O3461" s="89" t="s">
        <v>8470</v>
      </c>
      <c r="P3461" s="88">
        <v>839</v>
      </c>
      <c r="Q3461" s="90" t="s">
        <v>5419</v>
      </c>
      <c r="R3461" s="10">
        <v>3</v>
      </c>
      <c r="S3461" s="10">
        <v>20926</v>
      </c>
      <c r="T3461" s="10">
        <f t="shared" si="2258"/>
        <v>62778</v>
      </c>
      <c r="U3461" s="10">
        <f t="shared" si="2259"/>
        <v>70311.360000000001</v>
      </c>
      <c r="V3461" s="91"/>
      <c r="W3461" s="91">
        <v>2015</v>
      </c>
      <c r="X3461" s="92"/>
    </row>
    <row r="3462" spans="1:24" s="115" customFormat="1" ht="72" customHeight="1" x14ac:dyDescent="0.2">
      <c r="A3462" s="1" t="s">
        <v>8501</v>
      </c>
      <c r="B3462" s="86" t="s">
        <v>5277</v>
      </c>
      <c r="C3462" s="22" t="s">
        <v>3308</v>
      </c>
      <c r="D3462" s="6" t="s">
        <v>5392</v>
      </c>
      <c r="E3462" s="6" t="s">
        <v>5364</v>
      </c>
      <c r="F3462" s="6" t="s">
        <v>8468</v>
      </c>
      <c r="G3462" s="87" t="s">
        <v>1888</v>
      </c>
      <c r="H3462" s="22">
        <v>0</v>
      </c>
      <c r="I3462" s="18">
        <v>710000000</v>
      </c>
      <c r="J3462" s="87" t="s">
        <v>1931</v>
      </c>
      <c r="K3462" s="88" t="s">
        <v>6167</v>
      </c>
      <c r="L3462" s="7" t="s">
        <v>8469</v>
      </c>
      <c r="M3462" s="88" t="s">
        <v>3195</v>
      </c>
      <c r="N3462" s="87" t="s">
        <v>1408</v>
      </c>
      <c r="O3462" s="89" t="s">
        <v>8470</v>
      </c>
      <c r="P3462" s="88">
        <v>796</v>
      </c>
      <c r="Q3462" s="90" t="s">
        <v>6401</v>
      </c>
      <c r="R3462" s="10">
        <v>2</v>
      </c>
      <c r="S3462" s="10">
        <v>26347</v>
      </c>
      <c r="T3462" s="10">
        <f t="shared" si="2258"/>
        <v>52694</v>
      </c>
      <c r="U3462" s="10">
        <f t="shared" si="2259"/>
        <v>59017.280000000006</v>
      </c>
      <c r="V3462" s="91"/>
      <c r="W3462" s="91">
        <v>2015</v>
      </c>
      <c r="X3462" s="92"/>
    </row>
    <row r="3463" spans="1:24" s="115" customFormat="1" ht="72" customHeight="1" x14ac:dyDescent="0.2">
      <c r="A3463" s="1" t="s">
        <v>8503</v>
      </c>
      <c r="B3463" s="86" t="s">
        <v>5277</v>
      </c>
      <c r="C3463" s="22" t="s">
        <v>8466</v>
      </c>
      <c r="D3463" s="6" t="s">
        <v>5377</v>
      </c>
      <c r="E3463" s="6" t="s">
        <v>8467</v>
      </c>
      <c r="F3463" s="6" t="s">
        <v>8502</v>
      </c>
      <c r="G3463" s="87" t="s">
        <v>1888</v>
      </c>
      <c r="H3463" s="22">
        <v>0</v>
      </c>
      <c r="I3463" s="18">
        <v>710000000</v>
      </c>
      <c r="J3463" s="87" t="s">
        <v>1931</v>
      </c>
      <c r="K3463" s="88" t="s">
        <v>6167</v>
      </c>
      <c r="L3463" s="7" t="s">
        <v>8469</v>
      </c>
      <c r="M3463" s="88" t="s">
        <v>3195</v>
      </c>
      <c r="N3463" s="87" t="s">
        <v>1408</v>
      </c>
      <c r="O3463" s="89" t="s">
        <v>8470</v>
      </c>
      <c r="P3463" s="88">
        <v>796</v>
      </c>
      <c r="Q3463" s="90" t="s">
        <v>6401</v>
      </c>
      <c r="R3463" s="10">
        <v>6</v>
      </c>
      <c r="S3463" s="10">
        <v>28415</v>
      </c>
      <c r="T3463" s="10">
        <f t="shared" si="2258"/>
        <v>170490</v>
      </c>
      <c r="U3463" s="10">
        <f t="shared" si="2259"/>
        <v>190948.80000000002</v>
      </c>
      <c r="V3463" s="91"/>
      <c r="W3463" s="91">
        <v>2015</v>
      </c>
      <c r="X3463" s="92"/>
    </row>
    <row r="3464" spans="1:24" s="115" customFormat="1" ht="72" customHeight="1" x14ac:dyDescent="0.2">
      <c r="A3464" s="1" t="s">
        <v>8504</v>
      </c>
      <c r="B3464" s="86" t="s">
        <v>5277</v>
      </c>
      <c r="C3464" s="22" t="s">
        <v>8472</v>
      </c>
      <c r="D3464" s="6" t="s">
        <v>5377</v>
      </c>
      <c r="E3464" s="6" t="s">
        <v>8473</v>
      </c>
      <c r="F3464" s="6" t="s">
        <v>8502</v>
      </c>
      <c r="G3464" s="87" t="s">
        <v>1888</v>
      </c>
      <c r="H3464" s="22">
        <v>0</v>
      </c>
      <c r="I3464" s="18">
        <v>710000000</v>
      </c>
      <c r="J3464" s="87" t="s">
        <v>1931</v>
      </c>
      <c r="K3464" s="88" t="s">
        <v>6167</v>
      </c>
      <c r="L3464" s="7" t="s">
        <v>8469</v>
      </c>
      <c r="M3464" s="88" t="s">
        <v>3195</v>
      </c>
      <c r="N3464" s="87" t="s">
        <v>1408</v>
      </c>
      <c r="O3464" s="89" t="s">
        <v>8470</v>
      </c>
      <c r="P3464" s="88">
        <v>796</v>
      </c>
      <c r="Q3464" s="90" t="s">
        <v>6401</v>
      </c>
      <c r="R3464" s="10">
        <v>6</v>
      </c>
      <c r="S3464" s="10">
        <v>17460</v>
      </c>
      <c r="T3464" s="10">
        <f t="shared" si="2258"/>
        <v>104760</v>
      </c>
      <c r="U3464" s="10">
        <f t="shared" si="2259"/>
        <v>117331.20000000001</v>
      </c>
      <c r="V3464" s="91"/>
      <c r="W3464" s="91">
        <v>2015</v>
      </c>
      <c r="X3464" s="92"/>
    </row>
    <row r="3465" spans="1:24" s="115" customFormat="1" ht="72" customHeight="1" x14ac:dyDescent="0.2">
      <c r="A3465" s="1" t="s">
        <v>8505</v>
      </c>
      <c r="B3465" s="86" t="s">
        <v>5277</v>
      </c>
      <c r="C3465" s="22" t="s">
        <v>8475</v>
      </c>
      <c r="D3465" s="6" t="s">
        <v>8803</v>
      </c>
      <c r="E3465" s="6" t="s">
        <v>5364</v>
      </c>
      <c r="F3465" s="6" t="s">
        <v>8502</v>
      </c>
      <c r="G3465" s="87" t="s">
        <v>1888</v>
      </c>
      <c r="H3465" s="22">
        <v>0</v>
      </c>
      <c r="I3465" s="18">
        <v>710000000</v>
      </c>
      <c r="J3465" s="87" t="s">
        <v>1931</v>
      </c>
      <c r="K3465" s="88" t="s">
        <v>6167</v>
      </c>
      <c r="L3465" s="7" t="s">
        <v>8469</v>
      </c>
      <c r="M3465" s="88" t="s">
        <v>3195</v>
      </c>
      <c r="N3465" s="87" t="s">
        <v>1408</v>
      </c>
      <c r="O3465" s="89" t="s">
        <v>8470</v>
      </c>
      <c r="P3465" s="88">
        <v>796</v>
      </c>
      <c r="Q3465" s="90" t="s">
        <v>6401</v>
      </c>
      <c r="R3465" s="10">
        <v>6</v>
      </c>
      <c r="S3465" s="10">
        <v>4198</v>
      </c>
      <c r="T3465" s="10">
        <f t="shared" si="2258"/>
        <v>25188</v>
      </c>
      <c r="U3465" s="10">
        <f t="shared" si="2259"/>
        <v>28210.560000000001</v>
      </c>
      <c r="V3465" s="91"/>
      <c r="W3465" s="91">
        <v>2015</v>
      </c>
      <c r="X3465" s="92"/>
    </row>
    <row r="3466" spans="1:24" s="115" customFormat="1" ht="72" customHeight="1" x14ac:dyDescent="0.2">
      <c r="A3466" s="1" t="s">
        <v>8506</v>
      </c>
      <c r="B3466" s="86" t="s">
        <v>5277</v>
      </c>
      <c r="C3466" s="22" t="s">
        <v>8477</v>
      </c>
      <c r="D3466" s="6" t="s">
        <v>8478</v>
      </c>
      <c r="E3466" s="6" t="s">
        <v>5364</v>
      </c>
      <c r="F3466" s="6" t="s">
        <v>8502</v>
      </c>
      <c r="G3466" s="87" t="s">
        <v>1888</v>
      </c>
      <c r="H3466" s="22">
        <v>0</v>
      </c>
      <c r="I3466" s="18">
        <v>710000000</v>
      </c>
      <c r="J3466" s="87" t="s">
        <v>1931</v>
      </c>
      <c r="K3466" s="88" t="s">
        <v>6167</v>
      </c>
      <c r="L3466" s="7" t="s">
        <v>8469</v>
      </c>
      <c r="M3466" s="88" t="s">
        <v>3195</v>
      </c>
      <c r="N3466" s="87" t="s">
        <v>1408</v>
      </c>
      <c r="O3466" s="89" t="s">
        <v>8470</v>
      </c>
      <c r="P3466" s="88">
        <v>796</v>
      </c>
      <c r="Q3466" s="90" t="s">
        <v>6401</v>
      </c>
      <c r="R3466" s="10">
        <v>6</v>
      </c>
      <c r="S3466" s="10">
        <v>4314</v>
      </c>
      <c r="T3466" s="10">
        <f t="shared" si="2258"/>
        <v>25884</v>
      </c>
      <c r="U3466" s="10">
        <f t="shared" si="2259"/>
        <v>28990.080000000002</v>
      </c>
      <c r="V3466" s="91"/>
      <c r="W3466" s="91">
        <v>2015</v>
      </c>
      <c r="X3466" s="92"/>
    </row>
    <row r="3467" spans="1:24" s="115" customFormat="1" ht="72" customHeight="1" x14ac:dyDescent="0.2">
      <c r="A3467" s="1" t="s">
        <v>8507</v>
      </c>
      <c r="B3467" s="86" t="s">
        <v>5277</v>
      </c>
      <c r="C3467" s="22" t="s">
        <v>8480</v>
      </c>
      <c r="D3467" s="6" t="s">
        <v>5378</v>
      </c>
      <c r="E3467" s="6" t="s">
        <v>8542</v>
      </c>
      <c r="F3467" s="6" t="s">
        <v>8809</v>
      </c>
      <c r="G3467" s="87" t="s">
        <v>1888</v>
      </c>
      <c r="H3467" s="22">
        <v>0</v>
      </c>
      <c r="I3467" s="18">
        <v>710000000</v>
      </c>
      <c r="J3467" s="87" t="s">
        <v>1931</v>
      </c>
      <c r="K3467" s="88" t="s">
        <v>6167</v>
      </c>
      <c r="L3467" s="7" t="s">
        <v>8469</v>
      </c>
      <c r="M3467" s="88" t="s">
        <v>3195</v>
      </c>
      <c r="N3467" s="87" t="s">
        <v>1408</v>
      </c>
      <c r="O3467" s="89" t="s">
        <v>8470</v>
      </c>
      <c r="P3467" s="88">
        <v>839</v>
      </c>
      <c r="Q3467" s="90" t="s">
        <v>5419</v>
      </c>
      <c r="R3467" s="10">
        <v>3</v>
      </c>
      <c r="S3467" s="10">
        <v>125536</v>
      </c>
      <c r="T3467" s="10">
        <f t="shared" si="2258"/>
        <v>376608</v>
      </c>
      <c r="U3467" s="10">
        <f t="shared" si="2259"/>
        <v>421800.96000000002</v>
      </c>
      <c r="V3467" s="91"/>
      <c r="W3467" s="91">
        <v>2015</v>
      </c>
      <c r="X3467" s="92"/>
    </row>
    <row r="3468" spans="1:24" s="115" customFormat="1" ht="72" customHeight="1" x14ac:dyDescent="0.2">
      <c r="A3468" s="1" t="s">
        <v>8508</v>
      </c>
      <c r="B3468" s="86" t="s">
        <v>5277</v>
      </c>
      <c r="C3468" s="22" t="s">
        <v>8480</v>
      </c>
      <c r="D3468" s="6" t="s">
        <v>5378</v>
      </c>
      <c r="E3468" s="6" t="s">
        <v>8542</v>
      </c>
      <c r="F3468" s="6" t="s">
        <v>8810</v>
      </c>
      <c r="G3468" s="87" t="s">
        <v>1888</v>
      </c>
      <c r="H3468" s="22">
        <v>0</v>
      </c>
      <c r="I3468" s="18">
        <v>710000000</v>
      </c>
      <c r="J3468" s="87" t="s">
        <v>1931</v>
      </c>
      <c r="K3468" s="88" t="s">
        <v>6167</v>
      </c>
      <c r="L3468" s="7" t="s">
        <v>8469</v>
      </c>
      <c r="M3468" s="88" t="s">
        <v>3195</v>
      </c>
      <c r="N3468" s="87" t="s">
        <v>1408</v>
      </c>
      <c r="O3468" s="89" t="s">
        <v>8470</v>
      </c>
      <c r="P3468" s="88">
        <v>839</v>
      </c>
      <c r="Q3468" s="90" t="s">
        <v>5419</v>
      </c>
      <c r="R3468" s="10">
        <v>2</v>
      </c>
      <c r="S3468" s="10">
        <v>94357</v>
      </c>
      <c r="T3468" s="10">
        <f t="shared" si="2258"/>
        <v>188714</v>
      </c>
      <c r="U3468" s="10">
        <f t="shared" si="2259"/>
        <v>211359.68000000002</v>
      </c>
      <c r="V3468" s="91"/>
      <c r="W3468" s="91">
        <v>2015</v>
      </c>
      <c r="X3468" s="92"/>
    </row>
    <row r="3469" spans="1:24" s="115" customFormat="1" ht="72" customHeight="1" x14ac:dyDescent="0.2">
      <c r="A3469" s="1" t="s">
        <v>8510</v>
      </c>
      <c r="B3469" s="86" t="s">
        <v>5277</v>
      </c>
      <c r="C3469" s="22" t="s">
        <v>8509</v>
      </c>
      <c r="D3469" s="6" t="s">
        <v>5378</v>
      </c>
      <c r="E3469" s="6" t="s">
        <v>8811</v>
      </c>
      <c r="F3469" s="6" t="s">
        <v>8813</v>
      </c>
      <c r="G3469" s="87" t="s">
        <v>1888</v>
      </c>
      <c r="H3469" s="22">
        <v>0</v>
      </c>
      <c r="I3469" s="18">
        <v>710000000</v>
      </c>
      <c r="J3469" s="87" t="s">
        <v>1931</v>
      </c>
      <c r="K3469" s="88" t="s">
        <v>6167</v>
      </c>
      <c r="L3469" s="7" t="s">
        <v>8469</v>
      </c>
      <c r="M3469" s="88" t="s">
        <v>3195</v>
      </c>
      <c r="N3469" s="87" t="s">
        <v>1408</v>
      </c>
      <c r="O3469" s="89" t="s">
        <v>8470</v>
      </c>
      <c r="P3469" s="88">
        <v>796</v>
      </c>
      <c r="Q3469" s="90" t="s">
        <v>6401</v>
      </c>
      <c r="R3469" s="10">
        <v>4</v>
      </c>
      <c r="S3469" s="10">
        <v>18772</v>
      </c>
      <c r="T3469" s="10">
        <f t="shared" si="2258"/>
        <v>75088</v>
      </c>
      <c r="U3469" s="10">
        <f t="shared" si="2259"/>
        <v>84098.560000000012</v>
      </c>
      <c r="V3469" s="91"/>
      <c r="W3469" s="91">
        <v>2015</v>
      </c>
      <c r="X3469" s="92"/>
    </row>
    <row r="3470" spans="1:24" s="115" customFormat="1" ht="72" customHeight="1" x14ac:dyDescent="0.2">
      <c r="A3470" s="1" t="s">
        <v>8511</v>
      </c>
      <c r="B3470" s="86" t="s">
        <v>5277</v>
      </c>
      <c r="C3470" s="22" t="s">
        <v>8480</v>
      </c>
      <c r="D3470" s="6" t="s">
        <v>5378</v>
      </c>
      <c r="E3470" s="6" t="s">
        <v>8542</v>
      </c>
      <c r="F3470" s="6" t="s">
        <v>8812</v>
      </c>
      <c r="G3470" s="87" t="s">
        <v>1888</v>
      </c>
      <c r="H3470" s="22">
        <v>0</v>
      </c>
      <c r="I3470" s="18">
        <v>710000000</v>
      </c>
      <c r="J3470" s="87" t="s">
        <v>1931</v>
      </c>
      <c r="K3470" s="88" t="s">
        <v>6167</v>
      </c>
      <c r="L3470" s="7" t="s">
        <v>8469</v>
      </c>
      <c r="M3470" s="88" t="s">
        <v>3195</v>
      </c>
      <c r="N3470" s="87" t="s">
        <v>1408</v>
      </c>
      <c r="O3470" s="89" t="s">
        <v>8470</v>
      </c>
      <c r="P3470" s="88">
        <v>796</v>
      </c>
      <c r="Q3470" s="90" t="s">
        <v>6401</v>
      </c>
      <c r="R3470" s="10">
        <v>4</v>
      </c>
      <c r="S3470" s="10">
        <v>22071</v>
      </c>
      <c r="T3470" s="10">
        <f t="shared" si="2258"/>
        <v>88284</v>
      </c>
      <c r="U3470" s="10">
        <f t="shared" si="2259"/>
        <v>98878.080000000016</v>
      </c>
      <c r="V3470" s="91"/>
      <c r="W3470" s="91">
        <v>2015</v>
      </c>
      <c r="X3470" s="92"/>
    </row>
    <row r="3471" spans="1:24" s="115" customFormat="1" ht="72" customHeight="1" x14ac:dyDescent="0.2">
      <c r="A3471" s="1" t="s">
        <v>8514</v>
      </c>
      <c r="B3471" s="86" t="s">
        <v>5277</v>
      </c>
      <c r="C3471" s="22" t="s">
        <v>8512</v>
      </c>
      <c r="D3471" s="6" t="s">
        <v>8513</v>
      </c>
      <c r="E3471" s="6" t="s">
        <v>5364</v>
      </c>
      <c r="F3471" s="6" t="s">
        <v>8502</v>
      </c>
      <c r="G3471" s="87" t="s">
        <v>1888</v>
      </c>
      <c r="H3471" s="22">
        <v>0</v>
      </c>
      <c r="I3471" s="18">
        <v>710000000</v>
      </c>
      <c r="J3471" s="87" t="s">
        <v>1931</v>
      </c>
      <c r="K3471" s="88" t="s">
        <v>6167</v>
      </c>
      <c r="L3471" s="7" t="s">
        <v>8469</v>
      </c>
      <c r="M3471" s="88" t="s">
        <v>3195</v>
      </c>
      <c r="N3471" s="87" t="s">
        <v>1408</v>
      </c>
      <c r="O3471" s="89" t="s">
        <v>8470</v>
      </c>
      <c r="P3471" s="88">
        <v>796</v>
      </c>
      <c r="Q3471" s="90" t="s">
        <v>6401</v>
      </c>
      <c r="R3471" s="10">
        <v>6</v>
      </c>
      <c r="S3471" s="10">
        <v>32541</v>
      </c>
      <c r="T3471" s="10">
        <f t="shared" si="2258"/>
        <v>195246</v>
      </c>
      <c r="U3471" s="10">
        <f t="shared" si="2259"/>
        <v>218675.52000000002</v>
      </c>
      <c r="V3471" s="91"/>
      <c r="W3471" s="91">
        <v>2015</v>
      </c>
      <c r="X3471" s="92"/>
    </row>
    <row r="3472" spans="1:24" s="115" customFormat="1" ht="72" customHeight="1" x14ac:dyDescent="0.2">
      <c r="A3472" s="1" t="s">
        <v>8517</v>
      </c>
      <c r="B3472" s="86" t="s">
        <v>5277</v>
      </c>
      <c r="C3472" s="22" t="s">
        <v>8515</v>
      </c>
      <c r="D3472" s="6" t="s">
        <v>5379</v>
      </c>
      <c r="E3472" s="6" t="s">
        <v>8516</v>
      </c>
      <c r="F3472" s="6" t="s">
        <v>8502</v>
      </c>
      <c r="G3472" s="87" t="s">
        <v>1888</v>
      </c>
      <c r="H3472" s="22">
        <v>0</v>
      </c>
      <c r="I3472" s="18">
        <v>710000000</v>
      </c>
      <c r="J3472" s="87" t="s">
        <v>1931</v>
      </c>
      <c r="K3472" s="88" t="s">
        <v>6167</v>
      </c>
      <c r="L3472" s="7" t="s">
        <v>8469</v>
      </c>
      <c r="M3472" s="88" t="s">
        <v>3195</v>
      </c>
      <c r="N3472" s="87" t="s">
        <v>1408</v>
      </c>
      <c r="O3472" s="89" t="s">
        <v>8470</v>
      </c>
      <c r="P3472" s="88">
        <v>796</v>
      </c>
      <c r="Q3472" s="90" t="s">
        <v>6401</v>
      </c>
      <c r="R3472" s="10">
        <v>8</v>
      </c>
      <c r="S3472" s="10">
        <v>30868</v>
      </c>
      <c r="T3472" s="10">
        <f t="shared" si="2258"/>
        <v>246944</v>
      </c>
      <c r="U3472" s="10">
        <f t="shared" si="2259"/>
        <v>276577.28000000003</v>
      </c>
      <c r="V3472" s="91"/>
      <c r="W3472" s="91">
        <v>2015</v>
      </c>
      <c r="X3472" s="92"/>
    </row>
    <row r="3473" spans="1:24" s="115" customFormat="1" ht="72" customHeight="1" x14ac:dyDescent="0.2">
      <c r="A3473" s="1" t="s">
        <v>8519</v>
      </c>
      <c r="B3473" s="86" t="s">
        <v>5277</v>
      </c>
      <c r="C3473" s="22" t="s">
        <v>8518</v>
      </c>
      <c r="D3473" s="6" t="s">
        <v>5380</v>
      </c>
      <c r="E3473" s="6" t="s">
        <v>5364</v>
      </c>
      <c r="F3473" s="6" t="s">
        <v>8502</v>
      </c>
      <c r="G3473" s="87" t="s">
        <v>1888</v>
      </c>
      <c r="H3473" s="22">
        <v>0</v>
      </c>
      <c r="I3473" s="18">
        <v>710000000</v>
      </c>
      <c r="J3473" s="87" t="s">
        <v>1931</v>
      </c>
      <c r="K3473" s="88" t="s">
        <v>6167</v>
      </c>
      <c r="L3473" s="7" t="s">
        <v>8469</v>
      </c>
      <c r="M3473" s="88" t="s">
        <v>3195</v>
      </c>
      <c r="N3473" s="87" t="s">
        <v>1408</v>
      </c>
      <c r="O3473" s="89" t="s">
        <v>8470</v>
      </c>
      <c r="P3473" s="88">
        <v>796</v>
      </c>
      <c r="Q3473" s="90" t="s">
        <v>6401</v>
      </c>
      <c r="R3473" s="10">
        <v>6</v>
      </c>
      <c r="S3473" s="10">
        <v>74509</v>
      </c>
      <c r="T3473" s="10">
        <f t="shared" si="2258"/>
        <v>447054</v>
      </c>
      <c r="U3473" s="10">
        <f t="shared" si="2259"/>
        <v>500700.48000000004</v>
      </c>
      <c r="V3473" s="91"/>
      <c r="W3473" s="91">
        <v>2015</v>
      </c>
      <c r="X3473" s="92"/>
    </row>
    <row r="3474" spans="1:24" s="115" customFormat="1" ht="72" customHeight="1" x14ac:dyDescent="0.2">
      <c r="A3474" s="1" t="s">
        <v>8520</v>
      </c>
      <c r="B3474" s="86" t="s">
        <v>5277</v>
      </c>
      <c r="C3474" s="22" t="s">
        <v>8483</v>
      </c>
      <c r="D3474" s="6" t="s">
        <v>8484</v>
      </c>
      <c r="E3474" s="6" t="s">
        <v>8485</v>
      </c>
      <c r="F3474" s="6" t="s">
        <v>8502</v>
      </c>
      <c r="G3474" s="87" t="s">
        <v>1888</v>
      </c>
      <c r="H3474" s="22">
        <v>0</v>
      </c>
      <c r="I3474" s="18">
        <v>710000000</v>
      </c>
      <c r="J3474" s="87" t="s">
        <v>1931</v>
      </c>
      <c r="K3474" s="88" t="s">
        <v>6167</v>
      </c>
      <c r="L3474" s="7" t="s">
        <v>8469</v>
      </c>
      <c r="M3474" s="88" t="s">
        <v>3195</v>
      </c>
      <c r="N3474" s="87" t="s">
        <v>1408</v>
      </c>
      <c r="O3474" s="89" t="s">
        <v>8470</v>
      </c>
      <c r="P3474" s="88">
        <v>839</v>
      </c>
      <c r="Q3474" s="90" t="s">
        <v>5419</v>
      </c>
      <c r="R3474" s="10">
        <v>6</v>
      </c>
      <c r="S3474" s="10">
        <v>16684</v>
      </c>
      <c r="T3474" s="10">
        <f t="shared" si="2258"/>
        <v>100104</v>
      </c>
      <c r="U3474" s="10">
        <f t="shared" si="2259"/>
        <v>112116.48000000001</v>
      </c>
      <c r="V3474" s="91"/>
      <c r="W3474" s="91">
        <v>2015</v>
      </c>
      <c r="X3474" s="92"/>
    </row>
    <row r="3475" spans="1:24" s="115" customFormat="1" ht="72" customHeight="1" x14ac:dyDescent="0.2">
      <c r="A3475" s="1" t="s">
        <v>8521</v>
      </c>
      <c r="B3475" s="86" t="s">
        <v>5277</v>
      </c>
      <c r="C3475" s="22" t="s">
        <v>3249</v>
      </c>
      <c r="D3475" s="6" t="s">
        <v>3250</v>
      </c>
      <c r="E3475" s="6" t="s">
        <v>5381</v>
      </c>
      <c r="F3475" s="6" t="s">
        <v>8502</v>
      </c>
      <c r="G3475" s="87" t="s">
        <v>1888</v>
      </c>
      <c r="H3475" s="22">
        <v>0</v>
      </c>
      <c r="I3475" s="18">
        <v>710000000</v>
      </c>
      <c r="J3475" s="87" t="s">
        <v>1931</v>
      </c>
      <c r="K3475" s="88" t="s">
        <v>6167</v>
      </c>
      <c r="L3475" s="7" t="s">
        <v>8469</v>
      </c>
      <c r="M3475" s="88" t="s">
        <v>3195</v>
      </c>
      <c r="N3475" s="87" t="s">
        <v>1408</v>
      </c>
      <c r="O3475" s="89" t="s">
        <v>8470</v>
      </c>
      <c r="P3475" s="88">
        <v>796</v>
      </c>
      <c r="Q3475" s="90" t="s">
        <v>6401</v>
      </c>
      <c r="R3475" s="10">
        <v>3</v>
      </c>
      <c r="S3475" s="10">
        <v>110714</v>
      </c>
      <c r="T3475" s="10">
        <f t="shared" si="2258"/>
        <v>332142</v>
      </c>
      <c r="U3475" s="10">
        <f t="shared" si="2259"/>
        <v>371999.04000000004</v>
      </c>
      <c r="V3475" s="91"/>
      <c r="W3475" s="91">
        <v>2015</v>
      </c>
      <c r="X3475" s="92"/>
    </row>
    <row r="3476" spans="1:24" s="115" customFormat="1" ht="72" customHeight="1" x14ac:dyDescent="0.2">
      <c r="A3476" s="1" t="s">
        <v>8522</v>
      </c>
      <c r="B3476" s="86" t="s">
        <v>5277</v>
      </c>
      <c r="C3476" s="22" t="s">
        <v>3252</v>
      </c>
      <c r="D3476" s="6" t="s">
        <v>8491</v>
      </c>
      <c r="E3476" s="6" t="s">
        <v>5383</v>
      </c>
      <c r="F3476" s="6" t="s">
        <v>8502</v>
      </c>
      <c r="G3476" s="87" t="s">
        <v>1888</v>
      </c>
      <c r="H3476" s="22">
        <v>0</v>
      </c>
      <c r="I3476" s="18">
        <v>710000000</v>
      </c>
      <c r="J3476" s="87" t="s">
        <v>1931</v>
      </c>
      <c r="K3476" s="88" t="s">
        <v>6167</v>
      </c>
      <c r="L3476" s="7" t="s">
        <v>8469</v>
      </c>
      <c r="M3476" s="88" t="s">
        <v>3195</v>
      </c>
      <c r="N3476" s="87" t="s">
        <v>1408</v>
      </c>
      <c r="O3476" s="89" t="s">
        <v>8470</v>
      </c>
      <c r="P3476" s="88">
        <v>796</v>
      </c>
      <c r="Q3476" s="90" t="s">
        <v>6401</v>
      </c>
      <c r="R3476" s="10">
        <v>3</v>
      </c>
      <c r="S3476" s="10">
        <v>120904</v>
      </c>
      <c r="T3476" s="10">
        <f t="shared" si="2258"/>
        <v>362712</v>
      </c>
      <c r="U3476" s="10">
        <f t="shared" si="2259"/>
        <v>406237.44000000006</v>
      </c>
      <c r="V3476" s="91"/>
      <c r="W3476" s="91">
        <v>2015</v>
      </c>
      <c r="X3476" s="92"/>
    </row>
    <row r="3477" spans="1:24" s="115" customFormat="1" ht="72" customHeight="1" x14ac:dyDescent="0.2">
      <c r="A3477" s="1" t="s">
        <v>8523</v>
      </c>
      <c r="B3477" s="86" t="s">
        <v>5277</v>
      </c>
      <c r="C3477" s="22" t="s">
        <v>3253</v>
      </c>
      <c r="D3477" s="6" t="s">
        <v>8493</v>
      </c>
      <c r="E3477" s="6" t="s">
        <v>8814</v>
      </c>
      <c r="F3477" s="6" t="s">
        <v>8502</v>
      </c>
      <c r="G3477" s="87" t="s">
        <v>1888</v>
      </c>
      <c r="H3477" s="22">
        <v>0</v>
      </c>
      <c r="I3477" s="18">
        <v>710000000</v>
      </c>
      <c r="J3477" s="87" t="s">
        <v>1931</v>
      </c>
      <c r="K3477" s="88" t="s">
        <v>6167</v>
      </c>
      <c r="L3477" s="7" t="s">
        <v>8469</v>
      </c>
      <c r="M3477" s="88" t="s">
        <v>3195</v>
      </c>
      <c r="N3477" s="87" t="s">
        <v>1408</v>
      </c>
      <c r="O3477" s="89" t="s">
        <v>8470</v>
      </c>
      <c r="P3477" s="88">
        <v>796</v>
      </c>
      <c r="Q3477" s="90" t="s">
        <v>6401</v>
      </c>
      <c r="R3477" s="10">
        <v>6</v>
      </c>
      <c r="S3477" s="10">
        <v>38667</v>
      </c>
      <c r="T3477" s="10">
        <f t="shared" si="2258"/>
        <v>232002</v>
      </c>
      <c r="U3477" s="10">
        <f t="shared" si="2259"/>
        <v>259842.24000000002</v>
      </c>
      <c r="V3477" s="91"/>
      <c r="W3477" s="91">
        <v>2015</v>
      </c>
      <c r="X3477" s="92"/>
    </row>
    <row r="3478" spans="1:24" s="115" customFormat="1" ht="72" customHeight="1" x14ac:dyDescent="0.2">
      <c r="A3478" s="1" t="s">
        <v>8524</v>
      </c>
      <c r="B3478" s="86" t="s">
        <v>5277</v>
      </c>
      <c r="C3478" s="22" t="s">
        <v>8806</v>
      </c>
      <c r="D3478" s="6" t="s">
        <v>8495</v>
      </c>
      <c r="E3478" s="6" t="s">
        <v>8496</v>
      </c>
      <c r="F3478" s="6" t="s">
        <v>8502</v>
      </c>
      <c r="G3478" s="87" t="s">
        <v>1888</v>
      </c>
      <c r="H3478" s="22">
        <v>0</v>
      </c>
      <c r="I3478" s="18">
        <v>710000000</v>
      </c>
      <c r="J3478" s="87" t="s">
        <v>1931</v>
      </c>
      <c r="K3478" s="88" t="s">
        <v>6167</v>
      </c>
      <c r="L3478" s="7" t="s">
        <v>8469</v>
      </c>
      <c r="M3478" s="88" t="s">
        <v>3195</v>
      </c>
      <c r="N3478" s="87" t="s">
        <v>1408</v>
      </c>
      <c r="O3478" s="89" t="s">
        <v>8470</v>
      </c>
      <c r="P3478" s="88">
        <v>796</v>
      </c>
      <c r="Q3478" s="90" t="s">
        <v>6401</v>
      </c>
      <c r="R3478" s="10">
        <v>4</v>
      </c>
      <c r="S3478" s="10">
        <v>15798</v>
      </c>
      <c r="T3478" s="10">
        <f t="shared" si="2258"/>
        <v>63192</v>
      </c>
      <c r="U3478" s="10">
        <f t="shared" si="2259"/>
        <v>70775.040000000008</v>
      </c>
      <c r="V3478" s="91"/>
      <c r="W3478" s="91">
        <v>2015</v>
      </c>
      <c r="X3478" s="92"/>
    </row>
    <row r="3479" spans="1:24" s="115" customFormat="1" ht="72" customHeight="1" x14ac:dyDescent="0.2">
      <c r="A3479" s="1" t="s">
        <v>8526</v>
      </c>
      <c r="B3479" s="86" t="s">
        <v>5277</v>
      </c>
      <c r="C3479" s="22" t="s">
        <v>8525</v>
      </c>
      <c r="D3479" s="6" t="s">
        <v>5389</v>
      </c>
      <c r="E3479" s="6" t="s">
        <v>5364</v>
      </c>
      <c r="F3479" s="6" t="s">
        <v>8502</v>
      </c>
      <c r="G3479" s="87" t="s">
        <v>1888</v>
      </c>
      <c r="H3479" s="22">
        <v>0</v>
      </c>
      <c r="I3479" s="18">
        <v>710000000</v>
      </c>
      <c r="J3479" s="87" t="s">
        <v>1931</v>
      </c>
      <c r="K3479" s="88" t="s">
        <v>6167</v>
      </c>
      <c r="L3479" s="7" t="s">
        <v>8469</v>
      </c>
      <c r="M3479" s="88" t="s">
        <v>3195</v>
      </c>
      <c r="N3479" s="87" t="s">
        <v>1408</v>
      </c>
      <c r="O3479" s="89" t="s">
        <v>8470</v>
      </c>
      <c r="P3479" s="88">
        <v>796</v>
      </c>
      <c r="Q3479" s="90" t="s">
        <v>6401</v>
      </c>
      <c r="R3479" s="10">
        <v>6</v>
      </c>
      <c r="S3479" s="10">
        <v>9847</v>
      </c>
      <c r="T3479" s="10">
        <f t="shared" si="2258"/>
        <v>59082</v>
      </c>
      <c r="U3479" s="10">
        <f t="shared" si="2259"/>
        <v>66171.840000000011</v>
      </c>
      <c r="V3479" s="91"/>
      <c r="W3479" s="91">
        <v>2015</v>
      </c>
      <c r="X3479" s="92"/>
    </row>
    <row r="3480" spans="1:24" s="115" customFormat="1" ht="72" customHeight="1" x14ac:dyDescent="0.2">
      <c r="A3480" s="1" t="s">
        <v>8530</v>
      </c>
      <c r="B3480" s="86" t="s">
        <v>5277</v>
      </c>
      <c r="C3480" s="22" t="s">
        <v>8527</v>
      </c>
      <c r="D3480" s="6" t="s">
        <v>8528</v>
      </c>
      <c r="E3480" s="6" t="s">
        <v>8529</v>
      </c>
      <c r="F3480" s="6" t="s">
        <v>8502</v>
      </c>
      <c r="G3480" s="87" t="s">
        <v>1888</v>
      </c>
      <c r="H3480" s="22">
        <v>0</v>
      </c>
      <c r="I3480" s="18">
        <v>710000000</v>
      </c>
      <c r="J3480" s="87" t="s">
        <v>1931</v>
      </c>
      <c r="K3480" s="88" t="s">
        <v>6167</v>
      </c>
      <c r="L3480" s="7" t="s">
        <v>8469</v>
      </c>
      <c r="M3480" s="88" t="s">
        <v>3195</v>
      </c>
      <c r="N3480" s="87" t="s">
        <v>1408</v>
      </c>
      <c r="O3480" s="89" t="s">
        <v>8470</v>
      </c>
      <c r="P3480" s="88">
        <v>796</v>
      </c>
      <c r="Q3480" s="90" t="s">
        <v>6401</v>
      </c>
      <c r="R3480" s="10">
        <v>8</v>
      </c>
      <c r="S3480" s="10">
        <v>17664</v>
      </c>
      <c r="T3480" s="10">
        <f t="shared" si="2258"/>
        <v>141312</v>
      </c>
      <c r="U3480" s="10">
        <f t="shared" si="2259"/>
        <v>158269.44</v>
      </c>
      <c r="V3480" s="91"/>
      <c r="W3480" s="91">
        <v>2015</v>
      </c>
      <c r="X3480" s="92"/>
    </row>
    <row r="3481" spans="1:24" s="115" customFormat="1" ht="72" customHeight="1" x14ac:dyDescent="0.2">
      <c r="A3481" s="1" t="s">
        <v>8531</v>
      </c>
      <c r="B3481" s="86" t="s">
        <v>5277</v>
      </c>
      <c r="C3481" s="22" t="s">
        <v>8815</v>
      </c>
      <c r="D3481" s="6" t="s">
        <v>8816</v>
      </c>
      <c r="E3481" s="6" t="s">
        <v>8817</v>
      </c>
      <c r="F3481" s="6" t="s">
        <v>8502</v>
      </c>
      <c r="G3481" s="87" t="s">
        <v>1888</v>
      </c>
      <c r="H3481" s="22">
        <v>0</v>
      </c>
      <c r="I3481" s="18">
        <v>710000000</v>
      </c>
      <c r="J3481" s="87" t="s">
        <v>1931</v>
      </c>
      <c r="K3481" s="88" t="s">
        <v>6167</v>
      </c>
      <c r="L3481" s="7" t="s">
        <v>8469</v>
      </c>
      <c r="M3481" s="88" t="s">
        <v>3195</v>
      </c>
      <c r="N3481" s="87" t="s">
        <v>1408</v>
      </c>
      <c r="O3481" s="89" t="s">
        <v>8470</v>
      </c>
      <c r="P3481" s="88">
        <v>796</v>
      </c>
      <c r="Q3481" s="90" t="s">
        <v>6401</v>
      </c>
      <c r="R3481" s="10">
        <v>8</v>
      </c>
      <c r="S3481" s="10">
        <v>13612</v>
      </c>
      <c r="T3481" s="10">
        <f t="shared" si="2258"/>
        <v>108896</v>
      </c>
      <c r="U3481" s="10">
        <f t="shared" si="2259"/>
        <v>121963.52000000002</v>
      </c>
      <c r="V3481" s="91"/>
      <c r="W3481" s="91">
        <v>2015</v>
      </c>
      <c r="X3481" s="92"/>
    </row>
    <row r="3482" spans="1:24" s="115" customFormat="1" ht="72" customHeight="1" x14ac:dyDescent="0.2">
      <c r="A3482" s="1" t="s">
        <v>8532</v>
      </c>
      <c r="B3482" s="86" t="s">
        <v>5277</v>
      </c>
      <c r="C3482" s="22" t="s">
        <v>8498</v>
      </c>
      <c r="D3482" s="6" t="s">
        <v>8808</v>
      </c>
      <c r="E3482" s="6" t="s">
        <v>8499</v>
      </c>
      <c r="F3482" s="6" t="s">
        <v>8818</v>
      </c>
      <c r="G3482" s="87" t="s">
        <v>1888</v>
      </c>
      <c r="H3482" s="22">
        <v>0</v>
      </c>
      <c r="I3482" s="18">
        <v>710000000</v>
      </c>
      <c r="J3482" s="87" t="s">
        <v>1931</v>
      </c>
      <c r="K3482" s="88" t="s">
        <v>6167</v>
      </c>
      <c r="L3482" s="7" t="s">
        <v>8469</v>
      </c>
      <c r="M3482" s="88" t="s">
        <v>3195</v>
      </c>
      <c r="N3482" s="87" t="s">
        <v>1408</v>
      </c>
      <c r="O3482" s="89" t="s">
        <v>8470</v>
      </c>
      <c r="P3482" s="88">
        <v>839</v>
      </c>
      <c r="Q3482" s="90" t="s">
        <v>5419</v>
      </c>
      <c r="R3482" s="10">
        <v>6</v>
      </c>
      <c r="S3482" s="10">
        <v>16389</v>
      </c>
      <c r="T3482" s="10">
        <f t="shared" si="2258"/>
        <v>98334</v>
      </c>
      <c r="U3482" s="10">
        <f t="shared" si="2259"/>
        <v>110134.08000000002</v>
      </c>
      <c r="V3482" s="91"/>
      <c r="W3482" s="91">
        <v>2015</v>
      </c>
      <c r="X3482" s="92"/>
    </row>
    <row r="3483" spans="1:24" s="115" customFormat="1" ht="72" customHeight="1" x14ac:dyDescent="0.2">
      <c r="A3483" s="1" t="s">
        <v>8533</v>
      </c>
      <c r="B3483" s="86" t="s">
        <v>5277</v>
      </c>
      <c r="C3483" s="22" t="s">
        <v>3308</v>
      </c>
      <c r="D3483" s="6" t="s">
        <v>5392</v>
      </c>
      <c r="E3483" s="6" t="s">
        <v>5364</v>
      </c>
      <c r="F3483" s="6" t="s">
        <v>8502</v>
      </c>
      <c r="G3483" s="87" t="s">
        <v>1888</v>
      </c>
      <c r="H3483" s="22">
        <v>0</v>
      </c>
      <c r="I3483" s="18">
        <v>710000000</v>
      </c>
      <c r="J3483" s="87" t="s">
        <v>1931</v>
      </c>
      <c r="K3483" s="88" t="s">
        <v>6167</v>
      </c>
      <c r="L3483" s="7" t="s">
        <v>8469</v>
      </c>
      <c r="M3483" s="88" t="s">
        <v>3195</v>
      </c>
      <c r="N3483" s="87" t="s">
        <v>1408</v>
      </c>
      <c r="O3483" s="89" t="s">
        <v>8470</v>
      </c>
      <c r="P3483" s="88">
        <v>796</v>
      </c>
      <c r="Q3483" s="90" t="s">
        <v>6401</v>
      </c>
      <c r="R3483" s="10">
        <v>6</v>
      </c>
      <c r="S3483" s="10">
        <v>19179</v>
      </c>
      <c r="T3483" s="10">
        <f t="shared" si="2258"/>
        <v>115074</v>
      </c>
      <c r="U3483" s="10">
        <f t="shared" si="2259"/>
        <v>128882.88000000002</v>
      </c>
      <c r="V3483" s="91"/>
      <c r="W3483" s="91">
        <v>2015</v>
      </c>
      <c r="X3483" s="92"/>
    </row>
    <row r="3484" spans="1:24" s="115" customFormat="1" ht="72" customHeight="1" x14ac:dyDescent="0.2">
      <c r="A3484" s="1" t="s">
        <v>8535</v>
      </c>
      <c r="B3484" s="86" t="s">
        <v>5277</v>
      </c>
      <c r="C3484" s="22" t="s">
        <v>8466</v>
      </c>
      <c r="D3484" s="6" t="s">
        <v>5377</v>
      </c>
      <c r="E3484" s="6" t="s">
        <v>8467</v>
      </c>
      <c r="F3484" s="6" t="s">
        <v>8534</v>
      </c>
      <c r="G3484" s="87" t="s">
        <v>1888</v>
      </c>
      <c r="H3484" s="22">
        <v>0</v>
      </c>
      <c r="I3484" s="18">
        <v>710000000</v>
      </c>
      <c r="J3484" s="87" t="s">
        <v>1931</v>
      </c>
      <c r="K3484" s="88" t="s">
        <v>6167</v>
      </c>
      <c r="L3484" s="7" t="s">
        <v>8469</v>
      </c>
      <c r="M3484" s="88" t="s">
        <v>3195</v>
      </c>
      <c r="N3484" s="87" t="s">
        <v>1408</v>
      </c>
      <c r="O3484" s="89" t="s">
        <v>8470</v>
      </c>
      <c r="P3484" s="88">
        <v>839</v>
      </c>
      <c r="Q3484" s="90" t="s">
        <v>5419</v>
      </c>
      <c r="R3484" s="10">
        <v>3</v>
      </c>
      <c r="S3484" s="10">
        <v>61306</v>
      </c>
      <c r="T3484" s="10">
        <f t="shared" si="2258"/>
        <v>183918</v>
      </c>
      <c r="U3484" s="10">
        <f t="shared" si="2259"/>
        <v>205988.16000000003</v>
      </c>
      <c r="V3484" s="91"/>
      <c r="W3484" s="91">
        <v>2015</v>
      </c>
      <c r="X3484" s="92"/>
    </row>
    <row r="3485" spans="1:24" s="115" customFormat="1" ht="72" customHeight="1" x14ac:dyDescent="0.2">
      <c r="A3485" s="1" t="s">
        <v>8536</v>
      </c>
      <c r="B3485" s="86" t="s">
        <v>5277</v>
      </c>
      <c r="C3485" s="22" t="s">
        <v>8472</v>
      </c>
      <c r="D3485" s="6" t="s">
        <v>5377</v>
      </c>
      <c r="E3485" s="6" t="s">
        <v>8473</v>
      </c>
      <c r="F3485" s="6" t="s">
        <v>8534</v>
      </c>
      <c r="G3485" s="87" t="s">
        <v>1888</v>
      </c>
      <c r="H3485" s="22">
        <v>0</v>
      </c>
      <c r="I3485" s="18">
        <v>710000000</v>
      </c>
      <c r="J3485" s="87" t="s">
        <v>1931</v>
      </c>
      <c r="K3485" s="88" t="s">
        <v>6167</v>
      </c>
      <c r="L3485" s="7" t="s">
        <v>8469</v>
      </c>
      <c r="M3485" s="88" t="s">
        <v>3195</v>
      </c>
      <c r="N3485" s="87" t="s">
        <v>1408</v>
      </c>
      <c r="O3485" s="89" t="s">
        <v>8470</v>
      </c>
      <c r="P3485" s="88">
        <v>839</v>
      </c>
      <c r="Q3485" s="90" t="s">
        <v>5419</v>
      </c>
      <c r="R3485" s="10">
        <v>3</v>
      </c>
      <c r="S3485" s="10">
        <v>56639</v>
      </c>
      <c r="T3485" s="10">
        <f t="shared" si="2258"/>
        <v>169917</v>
      </c>
      <c r="U3485" s="10">
        <f t="shared" si="2259"/>
        <v>190307.04</v>
      </c>
      <c r="V3485" s="91"/>
      <c r="W3485" s="91">
        <v>2015</v>
      </c>
      <c r="X3485" s="92"/>
    </row>
    <row r="3486" spans="1:24" s="115" customFormat="1" ht="72" customHeight="1" x14ac:dyDescent="0.2">
      <c r="A3486" s="1" t="s">
        <v>8537</v>
      </c>
      <c r="B3486" s="86" t="s">
        <v>5277</v>
      </c>
      <c r="C3486" s="22" t="s">
        <v>8475</v>
      </c>
      <c r="D3486" s="6" t="s">
        <v>8803</v>
      </c>
      <c r="E3486" s="6" t="s">
        <v>5364</v>
      </c>
      <c r="F3486" s="6" t="s">
        <v>8534</v>
      </c>
      <c r="G3486" s="87" t="s">
        <v>1888</v>
      </c>
      <c r="H3486" s="22">
        <v>0</v>
      </c>
      <c r="I3486" s="18">
        <v>710000000</v>
      </c>
      <c r="J3486" s="87" t="s">
        <v>1931</v>
      </c>
      <c r="K3486" s="88" t="s">
        <v>6167</v>
      </c>
      <c r="L3486" s="7" t="s">
        <v>8469</v>
      </c>
      <c r="M3486" s="88" t="s">
        <v>3195</v>
      </c>
      <c r="N3486" s="87" t="s">
        <v>1408</v>
      </c>
      <c r="O3486" s="89" t="s">
        <v>8470</v>
      </c>
      <c r="P3486" s="88">
        <v>796</v>
      </c>
      <c r="Q3486" s="90" t="s">
        <v>6401</v>
      </c>
      <c r="R3486" s="10">
        <v>3</v>
      </c>
      <c r="S3486" s="10">
        <v>9169</v>
      </c>
      <c r="T3486" s="10">
        <f t="shared" si="2258"/>
        <v>27507</v>
      </c>
      <c r="U3486" s="10">
        <f t="shared" si="2259"/>
        <v>30807.840000000004</v>
      </c>
      <c r="V3486" s="91"/>
      <c r="W3486" s="91">
        <v>2015</v>
      </c>
      <c r="X3486" s="92"/>
    </row>
    <row r="3487" spans="1:24" s="115" customFormat="1" ht="72" customHeight="1" x14ac:dyDescent="0.2">
      <c r="A3487" s="1" t="s">
        <v>8538</v>
      </c>
      <c r="B3487" s="86" t="s">
        <v>5277</v>
      </c>
      <c r="C3487" s="22" t="s">
        <v>8477</v>
      </c>
      <c r="D3487" s="6" t="s">
        <v>8478</v>
      </c>
      <c r="E3487" s="6" t="s">
        <v>5364</v>
      </c>
      <c r="F3487" s="6" t="s">
        <v>8534</v>
      </c>
      <c r="G3487" s="87" t="s">
        <v>1888</v>
      </c>
      <c r="H3487" s="22">
        <v>0</v>
      </c>
      <c r="I3487" s="18">
        <v>710000000</v>
      </c>
      <c r="J3487" s="87" t="s">
        <v>1931</v>
      </c>
      <c r="K3487" s="88" t="s">
        <v>6167</v>
      </c>
      <c r="L3487" s="7" t="s">
        <v>8469</v>
      </c>
      <c r="M3487" s="88" t="s">
        <v>3195</v>
      </c>
      <c r="N3487" s="87" t="s">
        <v>1408</v>
      </c>
      <c r="O3487" s="89" t="s">
        <v>8470</v>
      </c>
      <c r="P3487" s="88">
        <v>796</v>
      </c>
      <c r="Q3487" s="90" t="s">
        <v>6401</v>
      </c>
      <c r="R3487" s="10">
        <v>3</v>
      </c>
      <c r="S3487" s="10">
        <v>8926</v>
      </c>
      <c r="T3487" s="10">
        <f t="shared" si="2258"/>
        <v>26778</v>
      </c>
      <c r="U3487" s="10">
        <f t="shared" si="2259"/>
        <v>29991.360000000004</v>
      </c>
      <c r="V3487" s="91"/>
      <c r="W3487" s="91">
        <v>2015</v>
      </c>
      <c r="X3487" s="92"/>
    </row>
    <row r="3488" spans="1:24" s="115" customFormat="1" ht="72" customHeight="1" x14ac:dyDescent="0.2">
      <c r="A3488" s="1" t="s">
        <v>8539</v>
      </c>
      <c r="B3488" s="86" t="s">
        <v>5277</v>
      </c>
      <c r="C3488" s="22" t="s">
        <v>8480</v>
      </c>
      <c r="D3488" s="6" t="s">
        <v>5378</v>
      </c>
      <c r="E3488" s="6" t="s">
        <v>8542</v>
      </c>
      <c r="F3488" s="6" t="s">
        <v>8819</v>
      </c>
      <c r="G3488" s="87" t="s">
        <v>1888</v>
      </c>
      <c r="H3488" s="22">
        <v>0</v>
      </c>
      <c r="I3488" s="18">
        <v>710000000</v>
      </c>
      <c r="J3488" s="87" t="s">
        <v>1931</v>
      </c>
      <c r="K3488" s="88" t="s">
        <v>6167</v>
      </c>
      <c r="L3488" s="7" t="s">
        <v>8469</v>
      </c>
      <c r="M3488" s="88" t="s">
        <v>3195</v>
      </c>
      <c r="N3488" s="87" t="s">
        <v>1408</v>
      </c>
      <c r="O3488" s="89" t="s">
        <v>8470</v>
      </c>
      <c r="P3488" s="88">
        <v>839</v>
      </c>
      <c r="Q3488" s="90" t="s">
        <v>5419</v>
      </c>
      <c r="R3488" s="10">
        <v>3</v>
      </c>
      <c r="S3488" s="10">
        <v>63671</v>
      </c>
      <c r="T3488" s="10">
        <f t="shared" si="2258"/>
        <v>191013</v>
      </c>
      <c r="U3488" s="10">
        <f t="shared" si="2259"/>
        <v>213934.56000000003</v>
      </c>
      <c r="V3488" s="91"/>
      <c r="W3488" s="91">
        <v>2015</v>
      </c>
      <c r="X3488" s="92"/>
    </row>
    <row r="3489" spans="1:24" s="115" customFormat="1" ht="72" customHeight="1" x14ac:dyDescent="0.2">
      <c r="A3489" s="1" t="s">
        <v>8540</v>
      </c>
      <c r="B3489" s="86" t="s">
        <v>5277</v>
      </c>
      <c r="C3489" s="22" t="s">
        <v>3251</v>
      </c>
      <c r="D3489" s="6" t="s">
        <v>5382</v>
      </c>
      <c r="E3489" s="6" t="s">
        <v>5364</v>
      </c>
      <c r="F3489" s="6" t="s">
        <v>8534</v>
      </c>
      <c r="G3489" s="87" t="s">
        <v>1888</v>
      </c>
      <c r="H3489" s="22">
        <v>0</v>
      </c>
      <c r="I3489" s="18">
        <v>710000000</v>
      </c>
      <c r="J3489" s="87" t="s">
        <v>1931</v>
      </c>
      <c r="K3489" s="88" t="s">
        <v>6167</v>
      </c>
      <c r="L3489" s="7" t="s">
        <v>8469</v>
      </c>
      <c r="M3489" s="88" t="s">
        <v>3195</v>
      </c>
      <c r="N3489" s="87" t="s">
        <v>1408</v>
      </c>
      <c r="O3489" s="89" t="s">
        <v>8470</v>
      </c>
      <c r="P3489" s="88">
        <v>839</v>
      </c>
      <c r="Q3489" s="90" t="s">
        <v>5419</v>
      </c>
      <c r="R3489" s="10">
        <v>3</v>
      </c>
      <c r="S3489" s="10">
        <v>24879</v>
      </c>
      <c r="T3489" s="10">
        <f t="shared" si="2258"/>
        <v>74637</v>
      </c>
      <c r="U3489" s="10">
        <f t="shared" si="2259"/>
        <v>83593.440000000002</v>
      </c>
      <c r="V3489" s="91"/>
      <c r="W3489" s="91">
        <v>2015</v>
      </c>
      <c r="X3489" s="92"/>
    </row>
    <row r="3490" spans="1:24" s="115" customFormat="1" ht="72" customHeight="1" x14ac:dyDescent="0.2">
      <c r="A3490" s="1" t="s">
        <v>8541</v>
      </c>
      <c r="B3490" s="86" t="s">
        <v>5277</v>
      </c>
      <c r="C3490" s="22" t="s">
        <v>8509</v>
      </c>
      <c r="D3490" s="6" t="s">
        <v>5378</v>
      </c>
      <c r="E3490" s="6" t="s">
        <v>8811</v>
      </c>
      <c r="F3490" s="6" t="s">
        <v>8820</v>
      </c>
      <c r="G3490" s="87" t="s">
        <v>1888</v>
      </c>
      <c r="H3490" s="22">
        <v>0</v>
      </c>
      <c r="I3490" s="18">
        <v>710000000</v>
      </c>
      <c r="J3490" s="87" t="s">
        <v>1931</v>
      </c>
      <c r="K3490" s="88" t="s">
        <v>6167</v>
      </c>
      <c r="L3490" s="7" t="s">
        <v>8469</v>
      </c>
      <c r="M3490" s="88" t="s">
        <v>3195</v>
      </c>
      <c r="N3490" s="87" t="s">
        <v>1408</v>
      </c>
      <c r="O3490" s="89" t="s">
        <v>8470</v>
      </c>
      <c r="P3490" s="88">
        <v>796</v>
      </c>
      <c r="Q3490" s="90" t="s">
        <v>6401</v>
      </c>
      <c r="R3490" s="10">
        <v>3</v>
      </c>
      <c r="S3490" s="10">
        <v>12785</v>
      </c>
      <c r="T3490" s="10">
        <f t="shared" si="2258"/>
        <v>38355</v>
      </c>
      <c r="U3490" s="10">
        <f t="shared" si="2259"/>
        <v>42957.600000000006</v>
      </c>
      <c r="V3490" s="91"/>
      <c r="W3490" s="91">
        <v>2015</v>
      </c>
      <c r="X3490" s="92"/>
    </row>
    <row r="3491" spans="1:24" s="115" customFormat="1" ht="72" customHeight="1" x14ac:dyDescent="0.2">
      <c r="A3491" s="1" t="s">
        <v>8543</v>
      </c>
      <c r="B3491" s="86" t="s">
        <v>5277</v>
      </c>
      <c r="C3491" s="22" t="s">
        <v>8480</v>
      </c>
      <c r="D3491" s="6" t="s">
        <v>5378</v>
      </c>
      <c r="E3491" s="6" t="s">
        <v>8542</v>
      </c>
      <c r="F3491" s="6" t="s">
        <v>8534</v>
      </c>
      <c r="G3491" s="87" t="s">
        <v>1888</v>
      </c>
      <c r="H3491" s="22">
        <v>0</v>
      </c>
      <c r="I3491" s="18">
        <v>710000000</v>
      </c>
      <c r="J3491" s="87" t="s">
        <v>1931</v>
      </c>
      <c r="K3491" s="88" t="s">
        <v>6167</v>
      </c>
      <c r="L3491" s="7" t="s">
        <v>8469</v>
      </c>
      <c r="M3491" s="88" t="s">
        <v>3195</v>
      </c>
      <c r="N3491" s="87" t="s">
        <v>1408</v>
      </c>
      <c r="O3491" s="89" t="s">
        <v>8470</v>
      </c>
      <c r="P3491" s="88">
        <v>796</v>
      </c>
      <c r="Q3491" s="90" t="s">
        <v>6401</v>
      </c>
      <c r="R3491" s="10">
        <v>3</v>
      </c>
      <c r="S3491" s="10">
        <v>14018</v>
      </c>
      <c r="T3491" s="10">
        <f t="shared" si="2258"/>
        <v>42054</v>
      </c>
      <c r="U3491" s="10">
        <f t="shared" si="2259"/>
        <v>47100.480000000003</v>
      </c>
      <c r="V3491" s="91"/>
      <c r="W3491" s="91">
        <v>2015</v>
      </c>
      <c r="X3491" s="92"/>
    </row>
    <row r="3492" spans="1:24" s="115" customFormat="1" ht="72" customHeight="1" x14ac:dyDescent="0.2">
      <c r="A3492" s="1" t="s">
        <v>8544</v>
      </c>
      <c r="B3492" s="86" t="s">
        <v>5277</v>
      </c>
      <c r="C3492" s="22" t="s">
        <v>8480</v>
      </c>
      <c r="D3492" s="6" t="s">
        <v>5378</v>
      </c>
      <c r="E3492" s="6" t="s">
        <v>8542</v>
      </c>
      <c r="F3492" s="6" t="s">
        <v>8821</v>
      </c>
      <c r="G3492" s="87" t="s">
        <v>1888</v>
      </c>
      <c r="H3492" s="22">
        <v>0</v>
      </c>
      <c r="I3492" s="18">
        <v>710000000</v>
      </c>
      <c r="J3492" s="87" t="s">
        <v>1931</v>
      </c>
      <c r="K3492" s="88" t="s">
        <v>6167</v>
      </c>
      <c r="L3492" s="7" t="s">
        <v>8469</v>
      </c>
      <c r="M3492" s="88" t="s">
        <v>3195</v>
      </c>
      <c r="N3492" s="87" t="s">
        <v>1408</v>
      </c>
      <c r="O3492" s="89" t="s">
        <v>8470</v>
      </c>
      <c r="P3492" s="88">
        <v>796</v>
      </c>
      <c r="Q3492" s="90" t="s">
        <v>6401</v>
      </c>
      <c r="R3492" s="10">
        <v>3</v>
      </c>
      <c r="S3492" s="10">
        <v>16605</v>
      </c>
      <c r="T3492" s="10">
        <f t="shared" si="2258"/>
        <v>49815</v>
      </c>
      <c r="U3492" s="10">
        <f t="shared" si="2259"/>
        <v>55792.800000000003</v>
      </c>
      <c r="V3492" s="91"/>
      <c r="W3492" s="91">
        <v>2015</v>
      </c>
      <c r="X3492" s="92"/>
    </row>
    <row r="3493" spans="1:24" s="115" customFormat="1" ht="72" customHeight="1" x14ac:dyDescent="0.2">
      <c r="A3493" s="1" t="s">
        <v>8546</v>
      </c>
      <c r="B3493" s="86" t="s">
        <v>5277</v>
      </c>
      <c r="C3493" s="22" t="s">
        <v>8545</v>
      </c>
      <c r="D3493" s="6" t="s">
        <v>5401</v>
      </c>
      <c r="E3493" s="6" t="s">
        <v>1984</v>
      </c>
      <c r="F3493" s="6" t="s">
        <v>8534</v>
      </c>
      <c r="G3493" s="87" t="s">
        <v>1888</v>
      </c>
      <c r="H3493" s="22">
        <v>0</v>
      </c>
      <c r="I3493" s="18">
        <v>710000000</v>
      </c>
      <c r="J3493" s="87" t="s">
        <v>1931</v>
      </c>
      <c r="K3493" s="88" t="s">
        <v>6167</v>
      </c>
      <c r="L3493" s="7" t="s">
        <v>8469</v>
      </c>
      <c r="M3493" s="88" t="s">
        <v>3195</v>
      </c>
      <c r="N3493" s="87" t="s">
        <v>1408</v>
      </c>
      <c r="O3493" s="89" t="s">
        <v>8470</v>
      </c>
      <c r="P3493" s="88">
        <v>796</v>
      </c>
      <c r="Q3493" s="90" t="s">
        <v>6401</v>
      </c>
      <c r="R3493" s="10">
        <v>4</v>
      </c>
      <c r="S3493" s="10">
        <v>37017</v>
      </c>
      <c r="T3493" s="10">
        <f t="shared" si="2258"/>
        <v>148068</v>
      </c>
      <c r="U3493" s="10">
        <f t="shared" si="2259"/>
        <v>165836.16</v>
      </c>
      <c r="V3493" s="91"/>
      <c r="W3493" s="91">
        <v>2015</v>
      </c>
      <c r="X3493" s="92"/>
    </row>
    <row r="3494" spans="1:24" s="115" customFormat="1" ht="72" customHeight="1" x14ac:dyDescent="0.2">
      <c r="A3494" s="1" t="s">
        <v>8548</v>
      </c>
      <c r="B3494" s="86" t="s">
        <v>5277</v>
      </c>
      <c r="C3494" s="22" t="s">
        <v>8547</v>
      </c>
      <c r="D3494" s="6" t="s">
        <v>5401</v>
      </c>
      <c r="E3494" s="6" t="s">
        <v>5410</v>
      </c>
      <c r="F3494" s="6" t="s">
        <v>8534</v>
      </c>
      <c r="G3494" s="87" t="s">
        <v>1888</v>
      </c>
      <c r="H3494" s="22">
        <v>0</v>
      </c>
      <c r="I3494" s="18">
        <v>710000000</v>
      </c>
      <c r="J3494" s="87" t="s">
        <v>1931</v>
      </c>
      <c r="K3494" s="88" t="s">
        <v>6167</v>
      </c>
      <c r="L3494" s="7" t="s">
        <v>8469</v>
      </c>
      <c r="M3494" s="88" t="s">
        <v>3195</v>
      </c>
      <c r="N3494" s="87" t="s">
        <v>1408</v>
      </c>
      <c r="O3494" s="89" t="s">
        <v>8470</v>
      </c>
      <c r="P3494" s="88">
        <v>796</v>
      </c>
      <c r="Q3494" s="90" t="s">
        <v>6401</v>
      </c>
      <c r="R3494" s="10">
        <v>4</v>
      </c>
      <c r="S3494" s="10">
        <v>13111</v>
      </c>
      <c r="T3494" s="10">
        <f t="shared" si="2258"/>
        <v>52444</v>
      </c>
      <c r="U3494" s="10">
        <f t="shared" si="2259"/>
        <v>58737.280000000006</v>
      </c>
      <c r="V3494" s="91"/>
      <c r="W3494" s="91">
        <v>2015</v>
      </c>
      <c r="X3494" s="92"/>
    </row>
    <row r="3495" spans="1:24" s="115" customFormat="1" ht="72" customHeight="1" x14ac:dyDescent="0.2">
      <c r="A3495" s="1" t="s">
        <v>8551</v>
      </c>
      <c r="B3495" s="86" t="s">
        <v>5277</v>
      </c>
      <c r="C3495" s="22" t="s">
        <v>8549</v>
      </c>
      <c r="D3495" s="6" t="s">
        <v>8550</v>
      </c>
      <c r="E3495" s="6" t="s">
        <v>5364</v>
      </c>
      <c r="F3495" s="6" t="s">
        <v>8534</v>
      </c>
      <c r="G3495" s="87" t="s">
        <v>1888</v>
      </c>
      <c r="H3495" s="22">
        <v>0</v>
      </c>
      <c r="I3495" s="18">
        <v>710000000</v>
      </c>
      <c r="J3495" s="87" t="s">
        <v>1931</v>
      </c>
      <c r="K3495" s="88" t="s">
        <v>6167</v>
      </c>
      <c r="L3495" s="7" t="s">
        <v>8469</v>
      </c>
      <c r="M3495" s="88" t="s">
        <v>3195</v>
      </c>
      <c r="N3495" s="87" t="s">
        <v>1408</v>
      </c>
      <c r="O3495" s="89" t="s">
        <v>8470</v>
      </c>
      <c r="P3495" s="88">
        <v>796</v>
      </c>
      <c r="Q3495" s="90" t="s">
        <v>6401</v>
      </c>
      <c r="R3495" s="10">
        <v>4</v>
      </c>
      <c r="S3495" s="10">
        <v>13106</v>
      </c>
      <c r="T3495" s="10">
        <f t="shared" si="2258"/>
        <v>52424</v>
      </c>
      <c r="U3495" s="10">
        <f t="shared" si="2259"/>
        <v>58714.880000000005</v>
      </c>
      <c r="V3495" s="91"/>
      <c r="W3495" s="91">
        <v>2015</v>
      </c>
      <c r="X3495" s="92"/>
    </row>
    <row r="3496" spans="1:24" s="115" customFormat="1" ht="72" customHeight="1" x14ac:dyDescent="0.2">
      <c r="A3496" s="1" t="s">
        <v>8552</v>
      </c>
      <c r="B3496" s="86" t="s">
        <v>5277</v>
      </c>
      <c r="C3496" s="22" t="s">
        <v>8515</v>
      </c>
      <c r="D3496" s="6" t="s">
        <v>5379</v>
      </c>
      <c r="E3496" s="6" t="s">
        <v>8516</v>
      </c>
      <c r="F3496" s="6" t="s">
        <v>8534</v>
      </c>
      <c r="G3496" s="87" t="s">
        <v>1888</v>
      </c>
      <c r="H3496" s="22">
        <v>0</v>
      </c>
      <c r="I3496" s="18">
        <v>710000000</v>
      </c>
      <c r="J3496" s="87" t="s">
        <v>1931</v>
      </c>
      <c r="K3496" s="88" t="s">
        <v>6167</v>
      </c>
      <c r="L3496" s="7" t="s">
        <v>8469</v>
      </c>
      <c r="M3496" s="88" t="s">
        <v>3195</v>
      </c>
      <c r="N3496" s="87" t="s">
        <v>1408</v>
      </c>
      <c r="O3496" s="89" t="s">
        <v>8470</v>
      </c>
      <c r="P3496" s="88">
        <v>796</v>
      </c>
      <c r="Q3496" s="90" t="s">
        <v>6401</v>
      </c>
      <c r="R3496" s="10">
        <v>2</v>
      </c>
      <c r="S3496" s="10">
        <v>22008</v>
      </c>
      <c r="T3496" s="10">
        <f t="shared" si="2258"/>
        <v>44016</v>
      </c>
      <c r="U3496" s="10">
        <f t="shared" si="2259"/>
        <v>49297.920000000006</v>
      </c>
      <c r="V3496" s="91"/>
      <c r="W3496" s="91">
        <v>2015</v>
      </c>
      <c r="X3496" s="92"/>
    </row>
    <row r="3497" spans="1:24" s="115" customFormat="1" ht="72" customHeight="1" x14ac:dyDescent="0.2">
      <c r="A3497" s="1" t="s">
        <v>8553</v>
      </c>
      <c r="B3497" s="86" t="s">
        <v>5277</v>
      </c>
      <c r="C3497" s="22" t="s">
        <v>8518</v>
      </c>
      <c r="D3497" s="6" t="s">
        <v>5380</v>
      </c>
      <c r="E3497" s="6" t="s">
        <v>5364</v>
      </c>
      <c r="F3497" s="6" t="s">
        <v>8534</v>
      </c>
      <c r="G3497" s="87" t="s">
        <v>1888</v>
      </c>
      <c r="H3497" s="22">
        <v>0</v>
      </c>
      <c r="I3497" s="18">
        <v>710000000</v>
      </c>
      <c r="J3497" s="87" t="s">
        <v>1931</v>
      </c>
      <c r="K3497" s="88" t="s">
        <v>6167</v>
      </c>
      <c r="L3497" s="7" t="s">
        <v>8469</v>
      </c>
      <c r="M3497" s="88" t="s">
        <v>3195</v>
      </c>
      <c r="N3497" s="87" t="s">
        <v>1408</v>
      </c>
      <c r="O3497" s="89" t="s">
        <v>8470</v>
      </c>
      <c r="P3497" s="88">
        <v>796</v>
      </c>
      <c r="Q3497" s="90" t="s">
        <v>6401</v>
      </c>
      <c r="R3497" s="10">
        <v>2</v>
      </c>
      <c r="S3497" s="10">
        <v>70238</v>
      </c>
      <c r="T3497" s="10">
        <f t="shared" si="2258"/>
        <v>140476</v>
      </c>
      <c r="U3497" s="10">
        <f t="shared" si="2259"/>
        <v>157333.12000000002</v>
      </c>
      <c r="V3497" s="91"/>
      <c r="W3497" s="91">
        <v>2015</v>
      </c>
      <c r="X3497" s="92"/>
    </row>
    <row r="3498" spans="1:24" s="115" customFormat="1" ht="72" customHeight="1" x14ac:dyDescent="0.2">
      <c r="A3498" s="1" t="s">
        <v>8554</v>
      </c>
      <c r="B3498" s="86" t="s">
        <v>5277</v>
      </c>
      <c r="C3498" s="22" t="s">
        <v>8483</v>
      </c>
      <c r="D3498" s="6" t="s">
        <v>8484</v>
      </c>
      <c r="E3498" s="6" t="s">
        <v>8485</v>
      </c>
      <c r="F3498" s="6" t="s">
        <v>8534</v>
      </c>
      <c r="G3498" s="87" t="s">
        <v>1888</v>
      </c>
      <c r="H3498" s="22">
        <v>0</v>
      </c>
      <c r="I3498" s="18">
        <v>710000000</v>
      </c>
      <c r="J3498" s="87" t="s">
        <v>1931</v>
      </c>
      <c r="K3498" s="88" t="s">
        <v>6167</v>
      </c>
      <c r="L3498" s="7" t="s">
        <v>8469</v>
      </c>
      <c r="M3498" s="88" t="s">
        <v>3195</v>
      </c>
      <c r="N3498" s="87" t="s">
        <v>1408</v>
      </c>
      <c r="O3498" s="89" t="s">
        <v>8470</v>
      </c>
      <c r="P3498" s="88">
        <v>839</v>
      </c>
      <c r="Q3498" s="90" t="s">
        <v>5419</v>
      </c>
      <c r="R3498" s="10">
        <v>4</v>
      </c>
      <c r="S3498" s="10">
        <v>13663</v>
      </c>
      <c r="T3498" s="10">
        <f t="shared" si="2258"/>
        <v>54652</v>
      </c>
      <c r="U3498" s="10">
        <f t="shared" si="2259"/>
        <v>61210.240000000005</v>
      </c>
      <c r="V3498" s="91"/>
      <c r="W3498" s="91">
        <v>2015</v>
      </c>
      <c r="X3498" s="92"/>
    </row>
    <row r="3499" spans="1:24" s="115" customFormat="1" ht="72" customHeight="1" x14ac:dyDescent="0.2">
      <c r="A3499" s="1" t="s">
        <v>8555</v>
      </c>
      <c r="B3499" s="86" t="s">
        <v>5277</v>
      </c>
      <c r="C3499" s="22" t="s">
        <v>3249</v>
      </c>
      <c r="D3499" s="6" t="s">
        <v>3250</v>
      </c>
      <c r="E3499" s="6" t="s">
        <v>5381</v>
      </c>
      <c r="F3499" s="6" t="s">
        <v>8534</v>
      </c>
      <c r="G3499" s="87" t="s">
        <v>1888</v>
      </c>
      <c r="H3499" s="22">
        <v>0</v>
      </c>
      <c r="I3499" s="18">
        <v>710000000</v>
      </c>
      <c r="J3499" s="87" t="s">
        <v>1931</v>
      </c>
      <c r="K3499" s="88" t="s">
        <v>6167</v>
      </c>
      <c r="L3499" s="7" t="s">
        <v>8469</v>
      </c>
      <c r="M3499" s="88" t="s">
        <v>3195</v>
      </c>
      <c r="N3499" s="87" t="s">
        <v>1408</v>
      </c>
      <c r="O3499" s="89" t="s">
        <v>8470</v>
      </c>
      <c r="P3499" s="88">
        <v>796</v>
      </c>
      <c r="Q3499" s="90" t="s">
        <v>6401</v>
      </c>
      <c r="R3499" s="10">
        <v>2</v>
      </c>
      <c r="S3499" s="10">
        <v>76488</v>
      </c>
      <c r="T3499" s="10">
        <f t="shared" si="2258"/>
        <v>152976</v>
      </c>
      <c r="U3499" s="10">
        <f t="shared" si="2259"/>
        <v>171333.12000000002</v>
      </c>
      <c r="V3499" s="91"/>
      <c r="W3499" s="91">
        <v>2015</v>
      </c>
      <c r="X3499" s="92"/>
    </row>
    <row r="3500" spans="1:24" s="115" customFormat="1" ht="72" customHeight="1" x14ac:dyDescent="0.2">
      <c r="A3500" s="1" t="s">
        <v>8556</v>
      </c>
      <c r="B3500" s="86" t="s">
        <v>5277</v>
      </c>
      <c r="C3500" s="22" t="s">
        <v>3252</v>
      </c>
      <c r="D3500" s="6" t="s">
        <v>8491</v>
      </c>
      <c r="E3500" s="6" t="s">
        <v>5383</v>
      </c>
      <c r="F3500" s="6" t="s">
        <v>8534</v>
      </c>
      <c r="G3500" s="87" t="s">
        <v>1888</v>
      </c>
      <c r="H3500" s="22">
        <v>0</v>
      </c>
      <c r="I3500" s="18">
        <v>710000000</v>
      </c>
      <c r="J3500" s="87" t="s">
        <v>1931</v>
      </c>
      <c r="K3500" s="88" t="s">
        <v>6167</v>
      </c>
      <c r="L3500" s="7" t="s">
        <v>8469</v>
      </c>
      <c r="M3500" s="88" t="s">
        <v>3195</v>
      </c>
      <c r="N3500" s="87" t="s">
        <v>1408</v>
      </c>
      <c r="O3500" s="89" t="s">
        <v>8470</v>
      </c>
      <c r="P3500" s="88">
        <v>796</v>
      </c>
      <c r="Q3500" s="90" t="s">
        <v>6401</v>
      </c>
      <c r="R3500" s="10">
        <v>2</v>
      </c>
      <c r="S3500" s="10">
        <v>90774</v>
      </c>
      <c r="T3500" s="10">
        <f t="shared" si="2258"/>
        <v>181548</v>
      </c>
      <c r="U3500" s="10">
        <f t="shared" si="2259"/>
        <v>203333.76000000001</v>
      </c>
      <c r="V3500" s="91"/>
      <c r="W3500" s="91">
        <v>2015</v>
      </c>
      <c r="X3500" s="92"/>
    </row>
    <row r="3501" spans="1:24" s="115" customFormat="1" ht="72" customHeight="1" x14ac:dyDescent="0.2">
      <c r="A3501" s="1" t="s">
        <v>8557</v>
      </c>
      <c r="B3501" s="86" t="s">
        <v>5277</v>
      </c>
      <c r="C3501" s="22" t="s">
        <v>3253</v>
      </c>
      <c r="D3501" s="6" t="s">
        <v>8493</v>
      </c>
      <c r="E3501" s="6" t="s">
        <v>8814</v>
      </c>
      <c r="F3501" s="6" t="s">
        <v>8534</v>
      </c>
      <c r="G3501" s="87" t="s">
        <v>1888</v>
      </c>
      <c r="H3501" s="22">
        <v>0</v>
      </c>
      <c r="I3501" s="18">
        <v>710000000</v>
      </c>
      <c r="J3501" s="87" t="s">
        <v>1931</v>
      </c>
      <c r="K3501" s="88" t="s">
        <v>6167</v>
      </c>
      <c r="L3501" s="7" t="s">
        <v>8469</v>
      </c>
      <c r="M3501" s="88" t="s">
        <v>3195</v>
      </c>
      <c r="N3501" s="87" t="s">
        <v>1408</v>
      </c>
      <c r="O3501" s="89" t="s">
        <v>8470</v>
      </c>
      <c r="P3501" s="88">
        <v>796</v>
      </c>
      <c r="Q3501" s="90" t="s">
        <v>6401</v>
      </c>
      <c r="R3501" s="10">
        <v>4</v>
      </c>
      <c r="S3501" s="10">
        <v>39911</v>
      </c>
      <c r="T3501" s="10">
        <f t="shared" si="2258"/>
        <v>159644</v>
      </c>
      <c r="U3501" s="10">
        <f t="shared" si="2259"/>
        <v>178801.28000000003</v>
      </c>
      <c r="V3501" s="91"/>
      <c r="W3501" s="91">
        <v>2015</v>
      </c>
      <c r="X3501" s="92"/>
    </row>
    <row r="3502" spans="1:24" s="115" customFormat="1" ht="72" customHeight="1" x14ac:dyDescent="0.2">
      <c r="A3502" s="1" t="s">
        <v>8558</v>
      </c>
      <c r="B3502" s="86" t="s">
        <v>5277</v>
      </c>
      <c r="C3502" s="22" t="s">
        <v>8822</v>
      </c>
      <c r="D3502" s="6" t="s">
        <v>8495</v>
      </c>
      <c r="E3502" s="6" t="s">
        <v>8823</v>
      </c>
      <c r="F3502" s="6" t="s">
        <v>8534</v>
      </c>
      <c r="G3502" s="87" t="s">
        <v>1888</v>
      </c>
      <c r="H3502" s="22">
        <v>0</v>
      </c>
      <c r="I3502" s="18">
        <v>710000000</v>
      </c>
      <c r="J3502" s="87" t="s">
        <v>1931</v>
      </c>
      <c r="K3502" s="88" t="s">
        <v>6167</v>
      </c>
      <c r="L3502" s="7" t="s">
        <v>8469</v>
      </c>
      <c r="M3502" s="88" t="s">
        <v>3195</v>
      </c>
      <c r="N3502" s="87" t="s">
        <v>1408</v>
      </c>
      <c r="O3502" s="89" t="s">
        <v>8470</v>
      </c>
      <c r="P3502" s="88">
        <v>796</v>
      </c>
      <c r="Q3502" s="90" t="s">
        <v>6401</v>
      </c>
      <c r="R3502" s="10">
        <v>4</v>
      </c>
      <c r="S3502" s="10">
        <v>14996</v>
      </c>
      <c r="T3502" s="10">
        <f t="shared" si="2258"/>
        <v>59984</v>
      </c>
      <c r="U3502" s="10">
        <f t="shared" si="2259"/>
        <v>67182.080000000002</v>
      </c>
      <c r="V3502" s="91"/>
      <c r="W3502" s="91">
        <v>2015</v>
      </c>
      <c r="X3502" s="92"/>
    </row>
    <row r="3503" spans="1:24" s="115" customFormat="1" ht="72" customHeight="1" x14ac:dyDescent="0.2">
      <c r="A3503" s="1" t="s">
        <v>8559</v>
      </c>
      <c r="B3503" s="86" t="s">
        <v>5277</v>
      </c>
      <c r="C3503" s="22" t="s">
        <v>8527</v>
      </c>
      <c r="D3503" s="6" t="s">
        <v>8528</v>
      </c>
      <c r="E3503" s="6" t="s">
        <v>8529</v>
      </c>
      <c r="F3503" s="6" t="s">
        <v>8534</v>
      </c>
      <c r="G3503" s="87" t="s">
        <v>1888</v>
      </c>
      <c r="H3503" s="22">
        <v>0</v>
      </c>
      <c r="I3503" s="18">
        <v>710000000</v>
      </c>
      <c r="J3503" s="87" t="s">
        <v>1931</v>
      </c>
      <c r="K3503" s="88" t="s">
        <v>6167</v>
      </c>
      <c r="L3503" s="7" t="s">
        <v>8469</v>
      </c>
      <c r="M3503" s="88" t="s">
        <v>3195</v>
      </c>
      <c r="N3503" s="87" t="s">
        <v>1408</v>
      </c>
      <c r="O3503" s="89" t="s">
        <v>8470</v>
      </c>
      <c r="P3503" s="88">
        <v>796</v>
      </c>
      <c r="Q3503" s="90" t="s">
        <v>6401</v>
      </c>
      <c r="R3503" s="10">
        <v>4</v>
      </c>
      <c r="S3503" s="10">
        <v>25938</v>
      </c>
      <c r="T3503" s="10">
        <f t="shared" si="2258"/>
        <v>103752</v>
      </c>
      <c r="U3503" s="10">
        <f t="shared" si="2259"/>
        <v>116202.24000000001</v>
      </c>
      <c r="V3503" s="91"/>
      <c r="W3503" s="91">
        <v>2015</v>
      </c>
      <c r="X3503" s="92"/>
    </row>
    <row r="3504" spans="1:24" s="115" customFormat="1" ht="72" customHeight="1" x14ac:dyDescent="0.2">
      <c r="A3504" s="1" t="s">
        <v>8560</v>
      </c>
      <c r="B3504" s="86" t="s">
        <v>5277</v>
      </c>
      <c r="C3504" s="22" t="s">
        <v>8498</v>
      </c>
      <c r="D3504" s="6" t="s">
        <v>8808</v>
      </c>
      <c r="E3504" s="6" t="s">
        <v>8499</v>
      </c>
      <c r="F3504" s="6" t="s">
        <v>8824</v>
      </c>
      <c r="G3504" s="87" t="s">
        <v>1888</v>
      </c>
      <c r="H3504" s="22">
        <v>0</v>
      </c>
      <c r="I3504" s="18">
        <v>710000000</v>
      </c>
      <c r="J3504" s="87" t="s">
        <v>1931</v>
      </c>
      <c r="K3504" s="88" t="s">
        <v>6167</v>
      </c>
      <c r="L3504" s="7" t="s">
        <v>8469</v>
      </c>
      <c r="M3504" s="88" t="s">
        <v>3195</v>
      </c>
      <c r="N3504" s="87" t="s">
        <v>1408</v>
      </c>
      <c r="O3504" s="89" t="s">
        <v>8470</v>
      </c>
      <c r="P3504" s="88">
        <v>839</v>
      </c>
      <c r="Q3504" s="90" t="s">
        <v>5419</v>
      </c>
      <c r="R3504" s="10">
        <v>4</v>
      </c>
      <c r="S3504" s="10">
        <v>20830</v>
      </c>
      <c r="T3504" s="10">
        <f t="shared" si="2258"/>
        <v>83320</v>
      </c>
      <c r="U3504" s="10">
        <f t="shared" si="2259"/>
        <v>93318.400000000009</v>
      </c>
      <c r="V3504" s="91"/>
      <c r="W3504" s="91">
        <v>2015</v>
      </c>
      <c r="X3504" s="92"/>
    </row>
    <row r="3505" spans="1:24" s="115" customFormat="1" ht="72" customHeight="1" x14ac:dyDescent="0.2">
      <c r="A3505" s="1" t="s">
        <v>8561</v>
      </c>
      <c r="B3505" s="86" t="s">
        <v>5277</v>
      </c>
      <c r="C3505" s="22" t="s">
        <v>3308</v>
      </c>
      <c r="D3505" s="6" t="s">
        <v>5392</v>
      </c>
      <c r="E3505" s="6" t="s">
        <v>5364</v>
      </c>
      <c r="F3505" s="6" t="s">
        <v>8534</v>
      </c>
      <c r="G3505" s="87" t="s">
        <v>1888</v>
      </c>
      <c r="H3505" s="22">
        <v>0</v>
      </c>
      <c r="I3505" s="18">
        <v>710000000</v>
      </c>
      <c r="J3505" s="87" t="s">
        <v>1931</v>
      </c>
      <c r="K3505" s="88" t="s">
        <v>6167</v>
      </c>
      <c r="L3505" s="7" t="s">
        <v>8469</v>
      </c>
      <c r="M3505" s="88" t="s">
        <v>3195</v>
      </c>
      <c r="N3505" s="87" t="s">
        <v>1408</v>
      </c>
      <c r="O3505" s="89" t="s">
        <v>8470</v>
      </c>
      <c r="P3505" s="88">
        <v>796</v>
      </c>
      <c r="Q3505" s="90" t="s">
        <v>6401</v>
      </c>
      <c r="R3505" s="10">
        <v>4</v>
      </c>
      <c r="S3505" s="10">
        <v>14242</v>
      </c>
      <c r="T3505" s="10">
        <f t="shared" si="2258"/>
        <v>56968</v>
      </c>
      <c r="U3505" s="10">
        <f t="shared" si="2259"/>
        <v>63804.160000000003</v>
      </c>
      <c r="V3505" s="91"/>
      <c r="W3505" s="91">
        <v>2015</v>
      </c>
      <c r="X3505" s="92"/>
    </row>
    <row r="3506" spans="1:24" s="115" customFormat="1" ht="72" customHeight="1" x14ac:dyDescent="0.2">
      <c r="A3506" s="1" t="s">
        <v>8563</v>
      </c>
      <c r="B3506" s="86" t="s">
        <v>5277</v>
      </c>
      <c r="C3506" s="22" t="s">
        <v>8466</v>
      </c>
      <c r="D3506" s="6" t="s">
        <v>5377</v>
      </c>
      <c r="E3506" s="6" t="s">
        <v>8467</v>
      </c>
      <c r="F3506" s="6" t="s">
        <v>8562</v>
      </c>
      <c r="G3506" s="87" t="s">
        <v>1888</v>
      </c>
      <c r="H3506" s="22">
        <v>0</v>
      </c>
      <c r="I3506" s="18">
        <v>710000000</v>
      </c>
      <c r="J3506" s="87" t="s">
        <v>1931</v>
      </c>
      <c r="K3506" s="88" t="s">
        <v>6167</v>
      </c>
      <c r="L3506" s="7" t="s">
        <v>8469</v>
      </c>
      <c r="M3506" s="88" t="s">
        <v>3195</v>
      </c>
      <c r="N3506" s="87" t="s">
        <v>1408</v>
      </c>
      <c r="O3506" s="89" t="s">
        <v>8470</v>
      </c>
      <c r="P3506" s="88">
        <v>796</v>
      </c>
      <c r="Q3506" s="90" t="s">
        <v>6401</v>
      </c>
      <c r="R3506" s="10">
        <v>2</v>
      </c>
      <c r="S3506" s="10">
        <v>53571</v>
      </c>
      <c r="T3506" s="10">
        <f t="shared" si="2258"/>
        <v>107142</v>
      </c>
      <c r="U3506" s="10">
        <f t="shared" si="2259"/>
        <v>119999.04000000001</v>
      </c>
      <c r="V3506" s="91"/>
      <c r="W3506" s="91">
        <v>2015</v>
      </c>
      <c r="X3506" s="92"/>
    </row>
    <row r="3507" spans="1:24" s="115" customFormat="1" ht="72" customHeight="1" x14ac:dyDescent="0.2">
      <c r="A3507" s="1" t="s">
        <v>8564</v>
      </c>
      <c r="B3507" s="86" t="s">
        <v>5277</v>
      </c>
      <c r="C3507" s="22" t="s">
        <v>8472</v>
      </c>
      <c r="D3507" s="6" t="s">
        <v>5377</v>
      </c>
      <c r="E3507" s="6" t="s">
        <v>8473</v>
      </c>
      <c r="F3507" s="6" t="s">
        <v>8562</v>
      </c>
      <c r="G3507" s="87" t="s">
        <v>1888</v>
      </c>
      <c r="H3507" s="22">
        <v>0</v>
      </c>
      <c r="I3507" s="18">
        <v>710000000</v>
      </c>
      <c r="J3507" s="87" t="s">
        <v>1931</v>
      </c>
      <c r="K3507" s="88" t="s">
        <v>6167</v>
      </c>
      <c r="L3507" s="7" t="s">
        <v>8469</v>
      </c>
      <c r="M3507" s="88" t="s">
        <v>3195</v>
      </c>
      <c r="N3507" s="87" t="s">
        <v>1408</v>
      </c>
      <c r="O3507" s="89" t="s">
        <v>8470</v>
      </c>
      <c r="P3507" s="88">
        <v>796</v>
      </c>
      <c r="Q3507" s="90" t="s">
        <v>6401</v>
      </c>
      <c r="R3507" s="10">
        <v>2</v>
      </c>
      <c r="S3507" s="10">
        <v>50000</v>
      </c>
      <c r="T3507" s="10">
        <f t="shared" si="2258"/>
        <v>100000</v>
      </c>
      <c r="U3507" s="10">
        <f t="shared" si="2259"/>
        <v>112000.00000000001</v>
      </c>
      <c r="V3507" s="91"/>
      <c r="W3507" s="91">
        <v>2015</v>
      </c>
      <c r="X3507" s="92"/>
    </row>
    <row r="3508" spans="1:24" s="115" customFormat="1" ht="72" customHeight="1" x14ac:dyDescent="0.2">
      <c r="A3508" s="1" t="s">
        <v>8565</v>
      </c>
      <c r="B3508" s="86" t="s">
        <v>5277</v>
      </c>
      <c r="C3508" s="22" t="s">
        <v>8475</v>
      </c>
      <c r="D3508" s="6" t="s">
        <v>8803</v>
      </c>
      <c r="E3508" s="6" t="s">
        <v>5364</v>
      </c>
      <c r="F3508" s="6" t="s">
        <v>8562</v>
      </c>
      <c r="G3508" s="87" t="s">
        <v>1888</v>
      </c>
      <c r="H3508" s="22">
        <v>0</v>
      </c>
      <c r="I3508" s="18">
        <v>710000000</v>
      </c>
      <c r="J3508" s="87" t="s">
        <v>1931</v>
      </c>
      <c r="K3508" s="88" t="s">
        <v>6167</v>
      </c>
      <c r="L3508" s="7" t="s">
        <v>8469</v>
      </c>
      <c r="M3508" s="88" t="s">
        <v>3195</v>
      </c>
      <c r="N3508" s="87" t="s">
        <v>1408</v>
      </c>
      <c r="O3508" s="89" t="s">
        <v>8470</v>
      </c>
      <c r="P3508" s="88">
        <v>796</v>
      </c>
      <c r="Q3508" s="90" t="s">
        <v>6401</v>
      </c>
      <c r="R3508" s="10">
        <v>4</v>
      </c>
      <c r="S3508" s="10">
        <v>8036</v>
      </c>
      <c r="T3508" s="10">
        <f t="shared" si="2258"/>
        <v>32144</v>
      </c>
      <c r="U3508" s="10">
        <f t="shared" si="2259"/>
        <v>36001.280000000006</v>
      </c>
      <c r="V3508" s="91"/>
      <c r="W3508" s="91">
        <v>2015</v>
      </c>
      <c r="X3508" s="92"/>
    </row>
    <row r="3509" spans="1:24" s="115" customFormat="1" ht="72" customHeight="1" x14ac:dyDescent="0.2">
      <c r="A3509" s="1" t="s">
        <v>8566</v>
      </c>
      <c r="B3509" s="86" t="s">
        <v>5277</v>
      </c>
      <c r="C3509" s="22" t="s">
        <v>8477</v>
      </c>
      <c r="D3509" s="6" t="s">
        <v>8478</v>
      </c>
      <c r="E3509" s="6" t="s">
        <v>5364</v>
      </c>
      <c r="F3509" s="6" t="s">
        <v>8562</v>
      </c>
      <c r="G3509" s="87" t="s">
        <v>1888</v>
      </c>
      <c r="H3509" s="22">
        <v>0</v>
      </c>
      <c r="I3509" s="18">
        <v>710000000</v>
      </c>
      <c r="J3509" s="87" t="s">
        <v>1931</v>
      </c>
      <c r="K3509" s="88" t="s">
        <v>6167</v>
      </c>
      <c r="L3509" s="7" t="s">
        <v>8469</v>
      </c>
      <c r="M3509" s="88" t="s">
        <v>3195</v>
      </c>
      <c r="N3509" s="87" t="s">
        <v>1408</v>
      </c>
      <c r="O3509" s="89" t="s">
        <v>8470</v>
      </c>
      <c r="P3509" s="88">
        <v>796</v>
      </c>
      <c r="Q3509" s="90" t="s">
        <v>6401</v>
      </c>
      <c r="R3509" s="10">
        <v>4</v>
      </c>
      <c r="S3509" s="10">
        <v>8036</v>
      </c>
      <c r="T3509" s="10">
        <f t="shared" si="2258"/>
        <v>32144</v>
      </c>
      <c r="U3509" s="10">
        <f t="shared" si="2259"/>
        <v>36001.280000000006</v>
      </c>
      <c r="V3509" s="91"/>
      <c r="W3509" s="91">
        <v>2015</v>
      </c>
      <c r="X3509" s="92"/>
    </row>
    <row r="3510" spans="1:24" s="115" customFormat="1" ht="72" customHeight="1" x14ac:dyDescent="0.2">
      <c r="A3510" s="1" t="s">
        <v>8570</v>
      </c>
      <c r="B3510" s="86" t="s">
        <v>5277</v>
      </c>
      <c r="C3510" s="22" t="s">
        <v>8567</v>
      </c>
      <c r="D3510" s="6" t="s">
        <v>8568</v>
      </c>
      <c r="E3510" s="6" t="s">
        <v>8569</v>
      </c>
      <c r="F3510" s="6" t="s">
        <v>8562</v>
      </c>
      <c r="G3510" s="87" t="s">
        <v>1888</v>
      </c>
      <c r="H3510" s="22">
        <v>0</v>
      </c>
      <c r="I3510" s="18">
        <v>710000000</v>
      </c>
      <c r="J3510" s="87" t="s">
        <v>1931</v>
      </c>
      <c r="K3510" s="88" t="s">
        <v>6167</v>
      </c>
      <c r="L3510" s="7" t="s">
        <v>8469</v>
      </c>
      <c r="M3510" s="88" t="s">
        <v>3195</v>
      </c>
      <c r="N3510" s="87" t="s">
        <v>1408</v>
      </c>
      <c r="O3510" s="89" t="s">
        <v>8470</v>
      </c>
      <c r="P3510" s="88">
        <v>796</v>
      </c>
      <c r="Q3510" s="90" t="s">
        <v>6401</v>
      </c>
      <c r="R3510" s="10">
        <v>4</v>
      </c>
      <c r="S3510" s="10">
        <v>5357</v>
      </c>
      <c r="T3510" s="10">
        <f t="shared" si="2258"/>
        <v>21428</v>
      </c>
      <c r="U3510" s="10">
        <f t="shared" si="2259"/>
        <v>23999.360000000001</v>
      </c>
      <c r="V3510" s="91"/>
      <c r="W3510" s="91">
        <v>2015</v>
      </c>
      <c r="X3510" s="92"/>
    </row>
    <row r="3511" spans="1:24" s="115" customFormat="1" ht="72" customHeight="1" x14ac:dyDescent="0.2">
      <c r="A3511" s="1" t="s">
        <v>8571</v>
      </c>
      <c r="B3511" s="86" t="s">
        <v>5277</v>
      </c>
      <c r="C3511" s="22" t="s">
        <v>8515</v>
      </c>
      <c r="D3511" s="6" t="s">
        <v>5379</v>
      </c>
      <c r="E3511" s="6" t="s">
        <v>8516</v>
      </c>
      <c r="F3511" s="6" t="s">
        <v>8562</v>
      </c>
      <c r="G3511" s="87" t="s">
        <v>1888</v>
      </c>
      <c r="H3511" s="22">
        <v>0</v>
      </c>
      <c r="I3511" s="18">
        <v>710000000</v>
      </c>
      <c r="J3511" s="87" t="s">
        <v>1931</v>
      </c>
      <c r="K3511" s="88" t="s">
        <v>6167</v>
      </c>
      <c r="L3511" s="7" t="s">
        <v>8469</v>
      </c>
      <c r="M3511" s="88" t="s">
        <v>3195</v>
      </c>
      <c r="N3511" s="87" t="s">
        <v>1408</v>
      </c>
      <c r="O3511" s="89" t="s">
        <v>8470</v>
      </c>
      <c r="P3511" s="88">
        <v>796</v>
      </c>
      <c r="Q3511" s="90" t="s">
        <v>6401</v>
      </c>
      <c r="R3511" s="10">
        <v>1</v>
      </c>
      <c r="S3511" s="10">
        <v>25714</v>
      </c>
      <c r="T3511" s="10">
        <f t="shared" si="2258"/>
        <v>25714</v>
      </c>
      <c r="U3511" s="10">
        <f t="shared" si="2259"/>
        <v>28799.680000000004</v>
      </c>
      <c r="V3511" s="91"/>
      <c r="W3511" s="91">
        <v>2015</v>
      </c>
      <c r="X3511" s="92"/>
    </row>
    <row r="3512" spans="1:24" s="115" customFormat="1" ht="72" customHeight="1" x14ac:dyDescent="0.2">
      <c r="A3512" s="1" t="s">
        <v>8572</v>
      </c>
      <c r="B3512" s="86" t="s">
        <v>5277</v>
      </c>
      <c r="C3512" s="22" t="s">
        <v>8498</v>
      </c>
      <c r="D3512" s="6" t="s">
        <v>8808</v>
      </c>
      <c r="E3512" s="6" t="s">
        <v>8499</v>
      </c>
      <c r="F3512" s="6" t="s">
        <v>8825</v>
      </c>
      <c r="G3512" s="87" t="s">
        <v>1888</v>
      </c>
      <c r="H3512" s="22">
        <v>0</v>
      </c>
      <c r="I3512" s="18">
        <v>710000000</v>
      </c>
      <c r="J3512" s="87" t="s">
        <v>1931</v>
      </c>
      <c r="K3512" s="88" t="s">
        <v>6167</v>
      </c>
      <c r="L3512" s="7" t="s">
        <v>8469</v>
      </c>
      <c r="M3512" s="88" t="s">
        <v>3195</v>
      </c>
      <c r="N3512" s="87" t="s">
        <v>1408</v>
      </c>
      <c r="O3512" s="89" t="s">
        <v>8470</v>
      </c>
      <c r="P3512" s="88">
        <v>839</v>
      </c>
      <c r="Q3512" s="90" t="s">
        <v>5419</v>
      </c>
      <c r="R3512" s="10">
        <v>2</v>
      </c>
      <c r="S3512" s="10">
        <v>26786</v>
      </c>
      <c r="T3512" s="10">
        <f t="shared" si="2258"/>
        <v>53572</v>
      </c>
      <c r="U3512" s="10">
        <f t="shared" si="2259"/>
        <v>60000.640000000007</v>
      </c>
      <c r="V3512" s="91"/>
      <c r="W3512" s="91">
        <v>2015</v>
      </c>
      <c r="X3512" s="92"/>
    </row>
    <row r="3513" spans="1:24" s="115" customFormat="1" ht="72" customHeight="1" x14ac:dyDescent="0.2">
      <c r="A3513" s="1" t="s">
        <v>8573</v>
      </c>
      <c r="B3513" s="86" t="s">
        <v>5277</v>
      </c>
      <c r="C3513" s="22" t="s">
        <v>3308</v>
      </c>
      <c r="D3513" s="6" t="s">
        <v>5392</v>
      </c>
      <c r="E3513" s="6" t="s">
        <v>5364</v>
      </c>
      <c r="F3513" s="6" t="s">
        <v>8562</v>
      </c>
      <c r="G3513" s="87" t="s">
        <v>1888</v>
      </c>
      <c r="H3513" s="22">
        <v>0</v>
      </c>
      <c r="I3513" s="18">
        <v>710000000</v>
      </c>
      <c r="J3513" s="87" t="s">
        <v>1931</v>
      </c>
      <c r="K3513" s="88" t="s">
        <v>6167</v>
      </c>
      <c r="L3513" s="7" t="s">
        <v>8469</v>
      </c>
      <c r="M3513" s="88" t="s">
        <v>3195</v>
      </c>
      <c r="N3513" s="87" t="s">
        <v>1408</v>
      </c>
      <c r="O3513" s="89" t="s">
        <v>8470</v>
      </c>
      <c r="P3513" s="88">
        <v>796</v>
      </c>
      <c r="Q3513" s="90" t="s">
        <v>6401</v>
      </c>
      <c r="R3513" s="10">
        <v>4</v>
      </c>
      <c r="S3513" s="10">
        <v>17857</v>
      </c>
      <c r="T3513" s="10">
        <f t="shared" si="2258"/>
        <v>71428</v>
      </c>
      <c r="U3513" s="10">
        <f t="shared" si="2259"/>
        <v>79999.360000000001</v>
      </c>
      <c r="V3513" s="91"/>
      <c r="W3513" s="91">
        <v>2015</v>
      </c>
      <c r="X3513" s="92"/>
    </row>
    <row r="3514" spans="1:24" s="115" customFormat="1" ht="72" customHeight="1" x14ac:dyDescent="0.2">
      <c r="A3514" s="1" t="s">
        <v>8575</v>
      </c>
      <c r="B3514" s="86" t="s">
        <v>5277</v>
      </c>
      <c r="C3514" s="22" t="s">
        <v>8466</v>
      </c>
      <c r="D3514" s="6" t="s">
        <v>5377</v>
      </c>
      <c r="E3514" s="6" t="s">
        <v>8467</v>
      </c>
      <c r="F3514" s="6" t="s">
        <v>8574</v>
      </c>
      <c r="G3514" s="87" t="s">
        <v>1888</v>
      </c>
      <c r="H3514" s="22">
        <v>0</v>
      </c>
      <c r="I3514" s="18">
        <v>710000000</v>
      </c>
      <c r="J3514" s="87" t="s">
        <v>1931</v>
      </c>
      <c r="K3514" s="88" t="s">
        <v>6167</v>
      </c>
      <c r="L3514" s="7" t="s">
        <v>8469</v>
      </c>
      <c r="M3514" s="88" t="s">
        <v>3195</v>
      </c>
      <c r="N3514" s="87" t="s">
        <v>1408</v>
      </c>
      <c r="O3514" s="89" t="s">
        <v>8470</v>
      </c>
      <c r="P3514" s="88">
        <v>796</v>
      </c>
      <c r="Q3514" s="90" t="s">
        <v>6401</v>
      </c>
      <c r="R3514" s="10">
        <v>4</v>
      </c>
      <c r="S3514" s="10">
        <v>16598</v>
      </c>
      <c r="T3514" s="10">
        <f t="shared" ref="T3514:T3573" si="2260">R3514*S3514</f>
        <v>66392</v>
      </c>
      <c r="U3514" s="10">
        <f t="shared" ref="U3514:U3573" si="2261">T3514*1.12</f>
        <v>74359.040000000008</v>
      </c>
      <c r="V3514" s="91"/>
      <c r="W3514" s="91">
        <v>2015</v>
      </c>
      <c r="X3514" s="92"/>
    </row>
    <row r="3515" spans="1:24" s="115" customFormat="1" ht="72" customHeight="1" x14ac:dyDescent="0.2">
      <c r="A3515" s="1" t="s">
        <v>8576</v>
      </c>
      <c r="B3515" s="86" t="s">
        <v>5277</v>
      </c>
      <c r="C3515" s="22" t="s">
        <v>8472</v>
      </c>
      <c r="D3515" s="6" t="s">
        <v>5377</v>
      </c>
      <c r="E3515" s="6" t="s">
        <v>8473</v>
      </c>
      <c r="F3515" s="6" t="s">
        <v>8574</v>
      </c>
      <c r="G3515" s="87" t="s">
        <v>1888</v>
      </c>
      <c r="H3515" s="22">
        <v>0</v>
      </c>
      <c r="I3515" s="18">
        <v>710000000</v>
      </c>
      <c r="J3515" s="87" t="s">
        <v>1931</v>
      </c>
      <c r="K3515" s="88" t="s">
        <v>6167</v>
      </c>
      <c r="L3515" s="7" t="s">
        <v>8469</v>
      </c>
      <c r="M3515" s="88" t="s">
        <v>3195</v>
      </c>
      <c r="N3515" s="87" t="s">
        <v>1408</v>
      </c>
      <c r="O3515" s="89" t="s">
        <v>8470</v>
      </c>
      <c r="P3515" s="88">
        <v>796</v>
      </c>
      <c r="Q3515" s="90" t="s">
        <v>6401</v>
      </c>
      <c r="R3515" s="10">
        <v>4</v>
      </c>
      <c r="S3515" s="10">
        <v>13835</v>
      </c>
      <c r="T3515" s="10">
        <f t="shared" si="2260"/>
        <v>55340</v>
      </c>
      <c r="U3515" s="10">
        <f t="shared" si="2261"/>
        <v>61980.800000000003</v>
      </c>
      <c r="V3515" s="91"/>
      <c r="W3515" s="91">
        <v>2015</v>
      </c>
      <c r="X3515" s="92"/>
    </row>
    <row r="3516" spans="1:24" s="115" customFormat="1" ht="72" customHeight="1" x14ac:dyDescent="0.2">
      <c r="A3516" s="1" t="s">
        <v>8580</v>
      </c>
      <c r="B3516" s="86" t="s">
        <v>5277</v>
      </c>
      <c r="C3516" s="22" t="s">
        <v>8577</v>
      </c>
      <c r="D3516" s="6" t="s">
        <v>8578</v>
      </c>
      <c r="E3516" s="6" t="s">
        <v>8579</v>
      </c>
      <c r="F3516" s="6" t="s">
        <v>8574</v>
      </c>
      <c r="G3516" s="87" t="s">
        <v>1888</v>
      </c>
      <c r="H3516" s="22">
        <v>0</v>
      </c>
      <c r="I3516" s="18">
        <v>710000000</v>
      </c>
      <c r="J3516" s="87" t="s">
        <v>1931</v>
      </c>
      <c r="K3516" s="88" t="s">
        <v>6167</v>
      </c>
      <c r="L3516" s="7" t="s">
        <v>8469</v>
      </c>
      <c r="M3516" s="88" t="s">
        <v>3195</v>
      </c>
      <c r="N3516" s="87" t="s">
        <v>1408</v>
      </c>
      <c r="O3516" s="89" t="s">
        <v>8470</v>
      </c>
      <c r="P3516" s="88">
        <v>796</v>
      </c>
      <c r="Q3516" s="90" t="s">
        <v>6401</v>
      </c>
      <c r="R3516" s="10">
        <v>2</v>
      </c>
      <c r="S3516" s="10">
        <v>51077</v>
      </c>
      <c r="T3516" s="10">
        <f t="shared" si="2260"/>
        <v>102154</v>
      </c>
      <c r="U3516" s="10">
        <f t="shared" si="2261"/>
        <v>114412.48000000001</v>
      </c>
      <c r="V3516" s="91"/>
      <c r="W3516" s="91">
        <v>2015</v>
      </c>
      <c r="X3516" s="92"/>
    </row>
    <row r="3517" spans="1:24" s="115" customFormat="1" ht="72" customHeight="1" x14ac:dyDescent="0.2">
      <c r="A3517" s="1" t="s">
        <v>8581</v>
      </c>
      <c r="B3517" s="86" t="s">
        <v>5277</v>
      </c>
      <c r="C3517" s="22" t="s">
        <v>8480</v>
      </c>
      <c r="D3517" s="6" t="s">
        <v>5378</v>
      </c>
      <c r="E3517" s="6" t="s">
        <v>8542</v>
      </c>
      <c r="F3517" s="6" t="s">
        <v>8826</v>
      </c>
      <c r="G3517" s="87" t="s">
        <v>1888</v>
      </c>
      <c r="H3517" s="22">
        <v>0</v>
      </c>
      <c r="I3517" s="18">
        <v>710000000</v>
      </c>
      <c r="J3517" s="87" t="s">
        <v>1931</v>
      </c>
      <c r="K3517" s="88" t="s">
        <v>6167</v>
      </c>
      <c r="L3517" s="7" t="s">
        <v>8469</v>
      </c>
      <c r="M3517" s="88" t="s">
        <v>3195</v>
      </c>
      <c r="N3517" s="87" t="s">
        <v>1408</v>
      </c>
      <c r="O3517" s="89" t="s">
        <v>8470</v>
      </c>
      <c r="P3517" s="88">
        <v>839</v>
      </c>
      <c r="Q3517" s="90" t="s">
        <v>5419</v>
      </c>
      <c r="R3517" s="10">
        <v>4</v>
      </c>
      <c r="S3517" s="10">
        <v>76935</v>
      </c>
      <c r="T3517" s="10">
        <f t="shared" si="2260"/>
        <v>307740</v>
      </c>
      <c r="U3517" s="10">
        <f t="shared" si="2261"/>
        <v>344668.80000000005</v>
      </c>
      <c r="V3517" s="91"/>
      <c r="W3517" s="91">
        <v>2015</v>
      </c>
      <c r="X3517" s="92"/>
    </row>
    <row r="3518" spans="1:24" s="115" customFormat="1" ht="72" customHeight="1" x14ac:dyDescent="0.2">
      <c r="A3518" s="1" t="s">
        <v>8582</v>
      </c>
      <c r="B3518" s="86" t="s">
        <v>5277</v>
      </c>
      <c r="C3518" s="22" t="s">
        <v>8480</v>
      </c>
      <c r="D3518" s="6" t="s">
        <v>5378</v>
      </c>
      <c r="E3518" s="6" t="s">
        <v>8542</v>
      </c>
      <c r="F3518" s="6" t="s">
        <v>8827</v>
      </c>
      <c r="G3518" s="87" t="s">
        <v>1888</v>
      </c>
      <c r="H3518" s="22">
        <v>0</v>
      </c>
      <c r="I3518" s="18">
        <v>710000000</v>
      </c>
      <c r="J3518" s="87" t="s">
        <v>1931</v>
      </c>
      <c r="K3518" s="88" t="s">
        <v>6167</v>
      </c>
      <c r="L3518" s="7" t="s">
        <v>8469</v>
      </c>
      <c r="M3518" s="88" t="s">
        <v>3195</v>
      </c>
      <c r="N3518" s="87" t="s">
        <v>1408</v>
      </c>
      <c r="O3518" s="89" t="s">
        <v>8470</v>
      </c>
      <c r="P3518" s="88">
        <v>839</v>
      </c>
      <c r="Q3518" s="90" t="s">
        <v>5419</v>
      </c>
      <c r="R3518" s="10">
        <v>2</v>
      </c>
      <c r="S3518" s="10">
        <v>59309</v>
      </c>
      <c r="T3518" s="10">
        <f t="shared" si="2260"/>
        <v>118618</v>
      </c>
      <c r="U3518" s="10">
        <f t="shared" si="2261"/>
        <v>132852.16</v>
      </c>
      <c r="V3518" s="91"/>
      <c r="W3518" s="91">
        <v>2015</v>
      </c>
      <c r="X3518" s="92"/>
    </row>
    <row r="3519" spans="1:24" s="115" customFormat="1" ht="72" customHeight="1" x14ac:dyDescent="0.2">
      <c r="A3519" s="1" t="s">
        <v>8583</v>
      </c>
      <c r="B3519" s="86" t="s">
        <v>5277</v>
      </c>
      <c r="C3519" s="22" t="s">
        <v>8567</v>
      </c>
      <c r="D3519" s="6" t="s">
        <v>8568</v>
      </c>
      <c r="E3519" s="6" t="s">
        <v>8569</v>
      </c>
      <c r="F3519" s="6" t="s">
        <v>8828</v>
      </c>
      <c r="G3519" s="87" t="s">
        <v>1888</v>
      </c>
      <c r="H3519" s="22">
        <v>0</v>
      </c>
      <c r="I3519" s="18">
        <v>710000000</v>
      </c>
      <c r="J3519" s="87" t="s">
        <v>1931</v>
      </c>
      <c r="K3519" s="88" t="s">
        <v>6167</v>
      </c>
      <c r="L3519" s="7" t="s">
        <v>8469</v>
      </c>
      <c r="M3519" s="88" t="s">
        <v>3195</v>
      </c>
      <c r="N3519" s="87" t="s">
        <v>1408</v>
      </c>
      <c r="O3519" s="89" t="s">
        <v>8470</v>
      </c>
      <c r="P3519" s="88">
        <v>796</v>
      </c>
      <c r="Q3519" s="90" t="s">
        <v>6401</v>
      </c>
      <c r="R3519" s="10">
        <v>4</v>
      </c>
      <c r="S3519" s="10">
        <v>4429</v>
      </c>
      <c r="T3519" s="10">
        <f t="shared" si="2260"/>
        <v>17716</v>
      </c>
      <c r="U3519" s="10">
        <f t="shared" si="2261"/>
        <v>19841.920000000002</v>
      </c>
      <c r="V3519" s="91"/>
      <c r="W3519" s="91">
        <v>2015</v>
      </c>
      <c r="X3519" s="92"/>
    </row>
    <row r="3520" spans="1:24" s="115" customFormat="1" ht="72" customHeight="1" x14ac:dyDescent="0.2">
      <c r="A3520" s="1" t="s">
        <v>8584</v>
      </c>
      <c r="B3520" s="86" t="s">
        <v>5277</v>
      </c>
      <c r="C3520" s="22" t="s">
        <v>8567</v>
      </c>
      <c r="D3520" s="6" t="s">
        <v>8568</v>
      </c>
      <c r="E3520" s="6" t="s">
        <v>8569</v>
      </c>
      <c r="F3520" s="6" t="s">
        <v>8829</v>
      </c>
      <c r="G3520" s="87" t="s">
        <v>1888</v>
      </c>
      <c r="H3520" s="22">
        <v>0</v>
      </c>
      <c r="I3520" s="18">
        <v>710000000</v>
      </c>
      <c r="J3520" s="87" t="s">
        <v>1931</v>
      </c>
      <c r="K3520" s="88" t="s">
        <v>6167</v>
      </c>
      <c r="L3520" s="7" t="s">
        <v>8469</v>
      </c>
      <c r="M3520" s="88" t="s">
        <v>3195</v>
      </c>
      <c r="N3520" s="87" t="s">
        <v>1408</v>
      </c>
      <c r="O3520" s="89" t="s">
        <v>8470</v>
      </c>
      <c r="P3520" s="88">
        <v>796</v>
      </c>
      <c r="Q3520" s="90" t="s">
        <v>6401</v>
      </c>
      <c r="R3520" s="10">
        <v>4</v>
      </c>
      <c r="S3520" s="10">
        <v>3941</v>
      </c>
      <c r="T3520" s="10">
        <f t="shared" si="2260"/>
        <v>15764</v>
      </c>
      <c r="U3520" s="10">
        <f t="shared" si="2261"/>
        <v>17655.68</v>
      </c>
      <c r="V3520" s="91"/>
      <c r="W3520" s="91">
        <v>2015</v>
      </c>
      <c r="X3520" s="92"/>
    </row>
    <row r="3521" spans="1:24" s="115" customFormat="1" ht="72" customHeight="1" x14ac:dyDescent="0.2">
      <c r="A3521" s="1" t="s">
        <v>8585</v>
      </c>
      <c r="B3521" s="86" t="s">
        <v>5277</v>
      </c>
      <c r="C3521" s="22" t="s">
        <v>8545</v>
      </c>
      <c r="D3521" s="6" t="s">
        <v>5401</v>
      </c>
      <c r="E3521" s="6" t="s">
        <v>1984</v>
      </c>
      <c r="F3521" s="6" t="s">
        <v>8574</v>
      </c>
      <c r="G3521" s="87" t="s">
        <v>1888</v>
      </c>
      <c r="H3521" s="22">
        <v>0</v>
      </c>
      <c r="I3521" s="18">
        <v>710000000</v>
      </c>
      <c r="J3521" s="87" t="s">
        <v>1931</v>
      </c>
      <c r="K3521" s="88" t="s">
        <v>6167</v>
      </c>
      <c r="L3521" s="7" t="s">
        <v>8469</v>
      </c>
      <c r="M3521" s="88" t="s">
        <v>3195</v>
      </c>
      <c r="N3521" s="87" t="s">
        <v>1408</v>
      </c>
      <c r="O3521" s="89" t="s">
        <v>8470</v>
      </c>
      <c r="P3521" s="88">
        <v>796</v>
      </c>
      <c r="Q3521" s="90" t="s">
        <v>6401</v>
      </c>
      <c r="R3521" s="10">
        <v>4</v>
      </c>
      <c r="S3521" s="10">
        <v>12518</v>
      </c>
      <c r="T3521" s="10">
        <f t="shared" si="2260"/>
        <v>50072</v>
      </c>
      <c r="U3521" s="10">
        <f t="shared" si="2261"/>
        <v>56080.640000000007</v>
      </c>
      <c r="V3521" s="91"/>
      <c r="W3521" s="91">
        <v>2015</v>
      </c>
      <c r="X3521" s="92"/>
    </row>
    <row r="3522" spans="1:24" s="115" customFormat="1" ht="72" customHeight="1" x14ac:dyDescent="0.2">
      <c r="A3522" s="1" t="s">
        <v>8586</v>
      </c>
      <c r="B3522" s="86" t="s">
        <v>5277</v>
      </c>
      <c r="C3522" s="22" t="s">
        <v>8547</v>
      </c>
      <c r="D3522" s="6" t="s">
        <v>5401</v>
      </c>
      <c r="E3522" s="6" t="s">
        <v>5410</v>
      </c>
      <c r="F3522" s="6" t="s">
        <v>8574</v>
      </c>
      <c r="G3522" s="87" t="s">
        <v>1888</v>
      </c>
      <c r="H3522" s="22">
        <v>0</v>
      </c>
      <c r="I3522" s="18">
        <v>710000000</v>
      </c>
      <c r="J3522" s="87" t="s">
        <v>1931</v>
      </c>
      <c r="K3522" s="88" t="s">
        <v>6167</v>
      </c>
      <c r="L3522" s="7" t="s">
        <v>8469</v>
      </c>
      <c r="M3522" s="88" t="s">
        <v>3195</v>
      </c>
      <c r="N3522" s="87" t="s">
        <v>1408</v>
      </c>
      <c r="O3522" s="89" t="s">
        <v>8470</v>
      </c>
      <c r="P3522" s="88">
        <v>796</v>
      </c>
      <c r="Q3522" s="90" t="s">
        <v>6401</v>
      </c>
      <c r="R3522" s="10">
        <v>4</v>
      </c>
      <c r="S3522" s="10">
        <v>19301</v>
      </c>
      <c r="T3522" s="10">
        <f t="shared" si="2260"/>
        <v>77204</v>
      </c>
      <c r="U3522" s="10">
        <f t="shared" si="2261"/>
        <v>86468.48000000001</v>
      </c>
      <c r="V3522" s="91"/>
      <c r="W3522" s="91">
        <v>2015</v>
      </c>
      <c r="X3522" s="92"/>
    </row>
    <row r="3523" spans="1:24" s="115" customFormat="1" ht="72" customHeight="1" x14ac:dyDescent="0.2">
      <c r="A3523" s="1" t="s">
        <v>8589</v>
      </c>
      <c r="B3523" s="86" t="s">
        <v>5277</v>
      </c>
      <c r="C3523" s="22" t="s">
        <v>8587</v>
      </c>
      <c r="D3523" s="6" t="s">
        <v>8588</v>
      </c>
      <c r="E3523" s="6" t="s">
        <v>5364</v>
      </c>
      <c r="F3523" s="6" t="s">
        <v>8574</v>
      </c>
      <c r="G3523" s="87" t="s">
        <v>1888</v>
      </c>
      <c r="H3523" s="22">
        <v>0</v>
      </c>
      <c r="I3523" s="18">
        <v>710000000</v>
      </c>
      <c r="J3523" s="87" t="s">
        <v>1931</v>
      </c>
      <c r="K3523" s="88" t="s">
        <v>6167</v>
      </c>
      <c r="L3523" s="7" t="s">
        <v>8469</v>
      </c>
      <c r="M3523" s="88" t="s">
        <v>3195</v>
      </c>
      <c r="N3523" s="87" t="s">
        <v>1408</v>
      </c>
      <c r="O3523" s="89" t="s">
        <v>8470</v>
      </c>
      <c r="P3523" s="88">
        <v>796</v>
      </c>
      <c r="Q3523" s="90" t="s">
        <v>6401</v>
      </c>
      <c r="R3523" s="10">
        <v>2</v>
      </c>
      <c r="S3523" s="10">
        <v>31661</v>
      </c>
      <c r="T3523" s="10">
        <f t="shared" si="2260"/>
        <v>63322</v>
      </c>
      <c r="U3523" s="10">
        <f t="shared" si="2261"/>
        <v>70920.640000000014</v>
      </c>
      <c r="V3523" s="91"/>
      <c r="W3523" s="91">
        <v>2015</v>
      </c>
      <c r="X3523" s="92"/>
    </row>
    <row r="3524" spans="1:24" s="115" customFormat="1" ht="72" customHeight="1" x14ac:dyDescent="0.2">
      <c r="A3524" s="1" t="s">
        <v>8590</v>
      </c>
      <c r="B3524" s="86" t="s">
        <v>5277</v>
      </c>
      <c r="C3524" s="22" t="s">
        <v>8515</v>
      </c>
      <c r="D3524" s="6" t="s">
        <v>5379</v>
      </c>
      <c r="E3524" s="6" t="s">
        <v>8516</v>
      </c>
      <c r="F3524" s="6" t="s">
        <v>8574</v>
      </c>
      <c r="G3524" s="87" t="s">
        <v>1888</v>
      </c>
      <c r="H3524" s="22">
        <v>0</v>
      </c>
      <c r="I3524" s="18">
        <v>710000000</v>
      </c>
      <c r="J3524" s="87" t="s">
        <v>1931</v>
      </c>
      <c r="K3524" s="88" t="s">
        <v>6167</v>
      </c>
      <c r="L3524" s="7" t="s">
        <v>8469</v>
      </c>
      <c r="M3524" s="88" t="s">
        <v>3195</v>
      </c>
      <c r="N3524" s="87" t="s">
        <v>1408</v>
      </c>
      <c r="O3524" s="89" t="s">
        <v>8470</v>
      </c>
      <c r="P3524" s="88">
        <v>796</v>
      </c>
      <c r="Q3524" s="90" t="s">
        <v>6401</v>
      </c>
      <c r="R3524" s="10">
        <v>2</v>
      </c>
      <c r="S3524" s="10">
        <v>25617</v>
      </c>
      <c r="T3524" s="10">
        <f t="shared" si="2260"/>
        <v>51234</v>
      </c>
      <c r="U3524" s="10">
        <f t="shared" si="2261"/>
        <v>57382.080000000009</v>
      </c>
      <c r="V3524" s="91"/>
      <c r="W3524" s="91">
        <v>2015</v>
      </c>
      <c r="X3524" s="92"/>
    </row>
    <row r="3525" spans="1:24" s="115" customFormat="1" ht="72" customHeight="1" x14ac:dyDescent="0.2">
      <c r="A3525" s="1" t="s">
        <v>8591</v>
      </c>
      <c r="B3525" s="86" t="s">
        <v>5277</v>
      </c>
      <c r="C3525" s="22" t="s">
        <v>3249</v>
      </c>
      <c r="D3525" s="6" t="s">
        <v>3250</v>
      </c>
      <c r="E3525" s="6" t="s">
        <v>5381</v>
      </c>
      <c r="F3525" s="6" t="s">
        <v>8574</v>
      </c>
      <c r="G3525" s="87" t="s">
        <v>1888</v>
      </c>
      <c r="H3525" s="22">
        <v>0</v>
      </c>
      <c r="I3525" s="18">
        <v>710000000</v>
      </c>
      <c r="J3525" s="87" t="s">
        <v>1931</v>
      </c>
      <c r="K3525" s="88" t="s">
        <v>6167</v>
      </c>
      <c r="L3525" s="7" t="s">
        <v>8469</v>
      </c>
      <c r="M3525" s="88" t="s">
        <v>3195</v>
      </c>
      <c r="N3525" s="87" t="s">
        <v>1408</v>
      </c>
      <c r="O3525" s="89" t="s">
        <v>8470</v>
      </c>
      <c r="P3525" s="88">
        <v>796</v>
      </c>
      <c r="Q3525" s="90" t="s">
        <v>6401</v>
      </c>
      <c r="R3525" s="10">
        <v>2</v>
      </c>
      <c r="S3525" s="10">
        <v>78274</v>
      </c>
      <c r="T3525" s="10">
        <f t="shared" si="2260"/>
        <v>156548</v>
      </c>
      <c r="U3525" s="10">
        <f t="shared" si="2261"/>
        <v>175333.76000000001</v>
      </c>
      <c r="V3525" s="91"/>
      <c r="W3525" s="91">
        <v>2015</v>
      </c>
      <c r="X3525" s="92"/>
    </row>
    <row r="3526" spans="1:24" s="115" customFormat="1" ht="72" customHeight="1" x14ac:dyDescent="0.2">
      <c r="A3526" s="1" t="s">
        <v>8592</v>
      </c>
      <c r="B3526" s="86" t="s">
        <v>5277</v>
      </c>
      <c r="C3526" s="22" t="s">
        <v>3253</v>
      </c>
      <c r="D3526" s="6" t="s">
        <v>8493</v>
      </c>
      <c r="E3526" s="6" t="s">
        <v>8814</v>
      </c>
      <c r="F3526" s="6" t="s">
        <v>8574</v>
      </c>
      <c r="G3526" s="87" t="s">
        <v>1888</v>
      </c>
      <c r="H3526" s="22">
        <v>0</v>
      </c>
      <c r="I3526" s="18">
        <v>710000000</v>
      </c>
      <c r="J3526" s="87" t="s">
        <v>1931</v>
      </c>
      <c r="K3526" s="88" t="s">
        <v>6167</v>
      </c>
      <c r="L3526" s="7" t="s">
        <v>8469</v>
      </c>
      <c r="M3526" s="88" t="s">
        <v>3195</v>
      </c>
      <c r="N3526" s="87" t="s">
        <v>1408</v>
      </c>
      <c r="O3526" s="89" t="s">
        <v>8470</v>
      </c>
      <c r="P3526" s="88">
        <v>796</v>
      </c>
      <c r="Q3526" s="90" t="s">
        <v>6401</v>
      </c>
      <c r="R3526" s="10">
        <v>4</v>
      </c>
      <c r="S3526" s="10">
        <v>37500</v>
      </c>
      <c r="T3526" s="10">
        <f t="shared" si="2260"/>
        <v>150000</v>
      </c>
      <c r="U3526" s="10">
        <f t="shared" si="2261"/>
        <v>168000.00000000003</v>
      </c>
      <c r="V3526" s="91"/>
      <c r="W3526" s="91">
        <v>2015</v>
      </c>
      <c r="X3526" s="92"/>
    </row>
    <row r="3527" spans="1:24" s="115" customFormat="1" ht="72" customHeight="1" x14ac:dyDescent="0.2">
      <c r="A3527" s="1" t="s">
        <v>8593</v>
      </c>
      <c r="B3527" s="86" t="s">
        <v>5277</v>
      </c>
      <c r="C3527" s="22" t="s">
        <v>8498</v>
      </c>
      <c r="D3527" s="6" t="s">
        <v>8808</v>
      </c>
      <c r="E3527" s="6" t="s">
        <v>8499</v>
      </c>
      <c r="F3527" s="6" t="s">
        <v>8830</v>
      </c>
      <c r="G3527" s="87" t="s">
        <v>1888</v>
      </c>
      <c r="H3527" s="22">
        <v>0</v>
      </c>
      <c r="I3527" s="18">
        <v>710000000</v>
      </c>
      <c r="J3527" s="87" t="s">
        <v>1931</v>
      </c>
      <c r="K3527" s="88" t="s">
        <v>6167</v>
      </c>
      <c r="L3527" s="7" t="s">
        <v>8469</v>
      </c>
      <c r="M3527" s="88" t="s">
        <v>3195</v>
      </c>
      <c r="N3527" s="87" t="s">
        <v>1408</v>
      </c>
      <c r="O3527" s="89" t="s">
        <v>8470</v>
      </c>
      <c r="P3527" s="88">
        <v>839</v>
      </c>
      <c r="Q3527" s="90" t="s">
        <v>5419</v>
      </c>
      <c r="R3527" s="10">
        <v>4</v>
      </c>
      <c r="S3527" s="10">
        <v>18190</v>
      </c>
      <c r="T3527" s="10">
        <f t="shared" si="2260"/>
        <v>72760</v>
      </c>
      <c r="U3527" s="10">
        <f t="shared" si="2261"/>
        <v>81491.200000000012</v>
      </c>
      <c r="V3527" s="91"/>
      <c r="W3527" s="91">
        <v>2015</v>
      </c>
      <c r="X3527" s="92"/>
    </row>
    <row r="3528" spans="1:24" s="115" customFormat="1" ht="72" customHeight="1" x14ac:dyDescent="0.2">
      <c r="A3528" s="1" t="s">
        <v>8594</v>
      </c>
      <c r="B3528" s="86" t="s">
        <v>5277</v>
      </c>
      <c r="C3528" s="22" t="s">
        <v>3308</v>
      </c>
      <c r="D3528" s="6" t="s">
        <v>5392</v>
      </c>
      <c r="E3528" s="6" t="s">
        <v>5364</v>
      </c>
      <c r="F3528" s="6" t="s">
        <v>8574</v>
      </c>
      <c r="G3528" s="87" t="s">
        <v>1888</v>
      </c>
      <c r="H3528" s="22">
        <v>0</v>
      </c>
      <c r="I3528" s="18">
        <v>710000000</v>
      </c>
      <c r="J3528" s="87" t="s">
        <v>1931</v>
      </c>
      <c r="K3528" s="88" t="s">
        <v>6167</v>
      </c>
      <c r="L3528" s="7" t="s">
        <v>8469</v>
      </c>
      <c r="M3528" s="88" t="s">
        <v>3195</v>
      </c>
      <c r="N3528" s="87" t="s">
        <v>1408</v>
      </c>
      <c r="O3528" s="89" t="s">
        <v>8470</v>
      </c>
      <c r="P3528" s="88">
        <v>796</v>
      </c>
      <c r="Q3528" s="90" t="s">
        <v>6401</v>
      </c>
      <c r="R3528" s="10">
        <v>4</v>
      </c>
      <c r="S3528" s="10">
        <v>15179</v>
      </c>
      <c r="T3528" s="10">
        <f t="shared" si="2260"/>
        <v>60716</v>
      </c>
      <c r="U3528" s="10">
        <f t="shared" si="2261"/>
        <v>68001.920000000013</v>
      </c>
      <c r="V3528" s="91"/>
      <c r="W3528" s="91">
        <v>2015</v>
      </c>
      <c r="X3528" s="92"/>
    </row>
    <row r="3529" spans="1:24" s="115" customFormat="1" ht="72" customHeight="1" x14ac:dyDescent="0.2">
      <c r="A3529" s="1" t="s">
        <v>8596</v>
      </c>
      <c r="B3529" s="86" t="s">
        <v>5277</v>
      </c>
      <c r="C3529" s="22" t="s">
        <v>8466</v>
      </c>
      <c r="D3529" s="6" t="s">
        <v>5377</v>
      </c>
      <c r="E3529" s="6" t="s">
        <v>8467</v>
      </c>
      <c r="F3529" s="6" t="s">
        <v>8595</v>
      </c>
      <c r="G3529" s="87" t="s">
        <v>1888</v>
      </c>
      <c r="H3529" s="22">
        <v>0</v>
      </c>
      <c r="I3529" s="18">
        <v>710000000</v>
      </c>
      <c r="J3529" s="87" t="s">
        <v>1931</v>
      </c>
      <c r="K3529" s="88" t="s">
        <v>6167</v>
      </c>
      <c r="L3529" s="7" t="s">
        <v>8469</v>
      </c>
      <c r="M3529" s="88" t="s">
        <v>3195</v>
      </c>
      <c r="N3529" s="87" t="s">
        <v>1408</v>
      </c>
      <c r="O3529" s="89" t="s">
        <v>8470</v>
      </c>
      <c r="P3529" s="88">
        <v>796</v>
      </c>
      <c r="Q3529" s="90" t="s">
        <v>6401</v>
      </c>
      <c r="R3529" s="10">
        <v>2</v>
      </c>
      <c r="S3529" s="10">
        <v>31250</v>
      </c>
      <c r="T3529" s="10">
        <f t="shared" si="2260"/>
        <v>62500</v>
      </c>
      <c r="U3529" s="10">
        <f t="shared" si="2261"/>
        <v>70000</v>
      </c>
      <c r="V3529" s="91"/>
      <c r="W3529" s="91">
        <v>2015</v>
      </c>
      <c r="X3529" s="92"/>
    </row>
    <row r="3530" spans="1:24" s="115" customFormat="1" ht="72" customHeight="1" x14ac:dyDescent="0.2">
      <c r="A3530" s="1" t="s">
        <v>8597</v>
      </c>
      <c r="B3530" s="86" t="s">
        <v>5277</v>
      </c>
      <c r="C3530" s="22" t="s">
        <v>8472</v>
      </c>
      <c r="D3530" s="6" t="s">
        <v>5377</v>
      </c>
      <c r="E3530" s="6" t="s">
        <v>8473</v>
      </c>
      <c r="F3530" s="6" t="s">
        <v>8595</v>
      </c>
      <c r="G3530" s="87" t="s">
        <v>1888</v>
      </c>
      <c r="H3530" s="22">
        <v>0</v>
      </c>
      <c r="I3530" s="18">
        <v>710000000</v>
      </c>
      <c r="J3530" s="87" t="s">
        <v>1931</v>
      </c>
      <c r="K3530" s="88" t="s">
        <v>6167</v>
      </c>
      <c r="L3530" s="7" t="s">
        <v>8469</v>
      </c>
      <c r="M3530" s="88" t="s">
        <v>3195</v>
      </c>
      <c r="N3530" s="87" t="s">
        <v>1408</v>
      </c>
      <c r="O3530" s="89" t="s">
        <v>8470</v>
      </c>
      <c r="P3530" s="88">
        <v>796</v>
      </c>
      <c r="Q3530" s="90" t="s">
        <v>6401</v>
      </c>
      <c r="R3530" s="10">
        <v>2</v>
      </c>
      <c r="S3530" s="10">
        <v>25000</v>
      </c>
      <c r="T3530" s="10">
        <f t="shared" si="2260"/>
        <v>50000</v>
      </c>
      <c r="U3530" s="10">
        <f t="shared" si="2261"/>
        <v>56000.000000000007</v>
      </c>
      <c r="V3530" s="91"/>
      <c r="W3530" s="91">
        <v>2015</v>
      </c>
      <c r="X3530" s="92"/>
    </row>
    <row r="3531" spans="1:24" s="115" customFormat="1" ht="72" customHeight="1" x14ac:dyDescent="0.2">
      <c r="A3531" s="1" t="s">
        <v>8598</v>
      </c>
      <c r="B3531" s="86" t="s">
        <v>5277</v>
      </c>
      <c r="C3531" s="22" t="s">
        <v>8475</v>
      </c>
      <c r="D3531" s="6" t="s">
        <v>8803</v>
      </c>
      <c r="E3531" s="6" t="s">
        <v>5364</v>
      </c>
      <c r="F3531" s="6" t="s">
        <v>8595</v>
      </c>
      <c r="G3531" s="87" t="s">
        <v>1888</v>
      </c>
      <c r="H3531" s="22">
        <v>0</v>
      </c>
      <c r="I3531" s="18">
        <v>710000000</v>
      </c>
      <c r="J3531" s="87" t="s">
        <v>1931</v>
      </c>
      <c r="K3531" s="88" t="s">
        <v>6167</v>
      </c>
      <c r="L3531" s="7" t="s">
        <v>8469</v>
      </c>
      <c r="M3531" s="88" t="s">
        <v>3195</v>
      </c>
      <c r="N3531" s="87" t="s">
        <v>1408</v>
      </c>
      <c r="O3531" s="89" t="s">
        <v>8470</v>
      </c>
      <c r="P3531" s="88">
        <v>796</v>
      </c>
      <c r="Q3531" s="90" t="s">
        <v>6401</v>
      </c>
      <c r="R3531" s="10">
        <v>4</v>
      </c>
      <c r="S3531" s="10">
        <v>7143</v>
      </c>
      <c r="T3531" s="10">
        <f t="shared" si="2260"/>
        <v>28572</v>
      </c>
      <c r="U3531" s="10">
        <f t="shared" si="2261"/>
        <v>32000.640000000003</v>
      </c>
      <c r="V3531" s="91"/>
      <c r="W3531" s="91">
        <v>2015</v>
      </c>
      <c r="X3531" s="92"/>
    </row>
    <row r="3532" spans="1:24" s="115" customFormat="1" ht="72" customHeight="1" x14ac:dyDescent="0.2">
      <c r="A3532" s="1" t="s">
        <v>8599</v>
      </c>
      <c r="B3532" s="86" t="s">
        <v>5277</v>
      </c>
      <c r="C3532" s="22" t="s">
        <v>8509</v>
      </c>
      <c r="D3532" s="6" t="s">
        <v>5378</v>
      </c>
      <c r="E3532" s="6" t="s">
        <v>8811</v>
      </c>
      <c r="F3532" s="6" t="s">
        <v>8831</v>
      </c>
      <c r="G3532" s="87" t="s">
        <v>1888</v>
      </c>
      <c r="H3532" s="22">
        <v>0</v>
      </c>
      <c r="I3532" s="18">
        <v>710000000</v>
      </c>
      <c r="J3532" s="87" t="s">
        <v>1931</v>
      </c>
      <c r="K3532" s="88" t="s">
        <v>6167</v>
      </c>
      <c r="L3532" s="7" t="s">
        <v>8469</v>
      </c>
      <c r="M3532" s="88" t="s">
        <v>3195</v>
      </c>
      <c r="N3532" s="87" t="s">
        <v>1408</v>
      </c>
      <c r="O3532" s="89" t="s">
        <v>8470</v>
      </c>
      <c r="P3532" s="88">
        <v>796</v>
      </c>
      <c r="Q3532" s="90" t="s">
        <v>6401</v>
      </c>
      <c r="R3532" s="10">
        <v>4</v>
      </c>
      <c r="S3532" s="10">
        <v>12777</v>
      </c>
      <c r="T3532" s="10">
        <f t="shared" si="2260"/>
        <v>51108</v>
      </c>
      <c r="U3532" s="10">
        <f t="shared" si="2261"/>
        <v>57240.960000000006</v>
      </c>
      <c r="V3532" s="91"/>
      <c r="W3532" s="91">
        <v>2015</v>
      </c>
      <c r="X3532" s="92"/>
    </row>
    <row r="3533" spans="1:24" s="115" customFormat="1" ht="72" customHeight="1" x14ac:dyDescent="0.2">
      <c r="A3533" s="1" t="s">
        <v>8600</v>
      </c>
      <c r="B3533" s="86" t="s">
        <v>5277</v>
      </c>
      <c r="C3533" s="22" t="s">
        <v>8480</v>
      </c>
      <c r="D3533" s="6" t="s">
        <v>5378</v>
      </c>
      <c r="E3533" s="6" t="s">
        <v>8542</v>
      </c>
      <c r="F3533" s="6" t="s">
        <v>8832</v>
      </c>
      <c r="G3533" s="87" t="s">
        <v>1888</v>
      </c>
      <c r="H3533" s="22">
        <v>0</v>
      </c>
      <c r="I3533" s="18">
        <v>710000000</v>
      </c>
      <c r="J3533" s="87" t="s">
        <v>1931</v>
      </c>
      <c r="K3533" s="88" t="s">
        <v>6167</v>
      </c>
      <c r="L3533" s="7" t="s">
        <v>8469</v>
      </c>
      <c r="M3533" s="88" t="s">
        <v>3195</v>
      </c>
      <c r="N3533" s="87" t="s">
        <v>1408</v>
      </c>
      <c r="O3533" s="89" t="s">
        <v>8470</v>
      </c>
      <c r="P3533" s="88">
        <v>839</v>
      </c>
      <c r="Q3533" s="90" t="s">
        <v>5419</v>
      </c>
      <c r="R3533" s="10">
        <v>2</v>
      </c>
      <c r="S3533" s="10">
        <v>113571</v>
      </c>
      <c r="T3533" s="10">
        <f t="shared" si="2260"/>
        <v>227142</v>
      </c>
      <c r="U3533" s="10">
        <f t="shared" si="2261"/>
        <v>254399.04000000004</v>
      </c>
      <c r="V3533" s="91"/>
      <c r="W3533" s="91">
        <v>2015</v>
      </c>
      <c r="X3533" s="92"/>
    </row>
    <row r="3534" spans="1:24" s="115" customFormat="1" ht="72" customHeight="1" x14ac:dyDescent="0.2">
      <c r="A3534" s="1" t="s">
        <v>8601</v>
      </c>
      <c r="B3534" s="86" t="s">
        <v>5277</v>
      </c>
      <c r="C3534" s="22" t="s">
        <v>8480</v>
      </c>
      <c r="D3534" s="6" t="s">
        <v>5378</v>
      </c>
      <c r="E3534" s="6" t="s">
        <v>8542</v>
      </c>
      <c r="F3534" s="6" t="s">
        <v>8833</v>
      </c>
      <c r="G3534" s="87" t="s">
        <v>1888</v>
      </c>
      <c r="H3534" s="22">
        <v>0</v>
      </c>
      <c r="I3534" s="18">
        <v>710000000</v>
      </c>
      <c r="J3534" s="87" t="s">
        <v>1931</v>
      </c>
      <c r="K3534" s="88" t="s">
        <v>6167</v>
      </c>
      <c r="L3534" s="7" t="s">
        <v>8469</v>
      </c>
      <c r="M3534" s="88" t="s">
        <v>3195</v>
      </c>
      <c r="N3534" s="87" t="s">
        <v>1408</v>
      </c>
      <c r="O3534" s="89" t="s">
        <v>8470</v>
      </c>
      <c r="P3534" s="88">
        <v>839</v>
      </c>
      <c r="Q3534" s="90" t="s">
        <v>5419</v>
      </c>
      <c r="R3534" s="10">
        <v>2</v>
      </c>
      <c r="S3534" s="10">
        <v>56786</v>
      </c>
      <c r="T3534" s="10">
        <f t="shared" si="2260"/>
        <v>113572</v>
      </c>
      <c r="U3534" s="10">
        <f t="shared" si="2261"/>
        <v>127200.64000000001</v>
      </c>
      <c r="V3534" s="91"/>
      <c r="W3534" s="91">
        <v>2015</v>
      </c>
      <c r="X3534" s="92"/>
    </row>
    <row r="3535" spans="1:24" s="115" customFormat="1" ht="72" customHeight="1" x14ac:dyDescent="0.2">
      <c r="A3535" s="1" t="s">
        <v>8602</v>
      </c>
      <c r="B3535" s="86" t="s">
        <v>5277</v>
      </c>
      <c r="C3535" s="22" t="s">
        <v>3249</v>
      </c>
      <c r="D3535" s="6" t="s">
        <v>3250</v>
      </c>
      <c r="E3535" s="6" t="s">
        <v>5381</v>
      </c>
      <c r="F3535" s="6" t="s">
        <v>8595</v>
      </c>
      <c r="G3535" s="87" t="s">
        <v>1888</v>
      </c>
      <c r="H3535" s="22">
        <v>0</v>
      </c>
      <c r="I3535" s="18">
        <v>710000000</v>
      </c>
      <c r="J3535" s="87" t="s">
        <v>1931</v>
      </c>
      <c r="K3535" s="88" t="s">
        <v>6167</v>
      </c>
      <c r="L3535" s="7" t="s">
        <v>8469</v>
      </c>
      <c r="M3535" s="88" t="s">
        <v>3195</v>
      </c>
      <c r="N3535" s="87" t="s">
        <v>1408</v>
      </c>
      <c r="O3535" s="89" t="s">
        <v>8470</v>
      </c>
      <c r="P3535" s="88">
        <v>796</v>
      </c>
      <c r="Q3535" s="90" t="s">
        <v>6401</v>
      </c>
      <c r="R3535" s="10">
        <v>1</v>
      </c>
      <c r="S3535" s="10">
        <v>59625</v>
      </c>
      <c r="T3535" s="10">
        <f t="shared" si="2260"/>
        <v>59625</v>
      </c>
      <c r="U3535" s="10">
        <f t="shared" si="2261"/>
        <v>66780</v>
      </c>
      <c r="V3535" s="91"/>
      <c r="W3535" s="91">
        <v>2015</v>
      </c>
      <c r="X3535" s="92"/>
    </row>
    <row r="3536" spans="1:24" s="115" customFormat="1" ht="72" customHeight="1" x14ac:dyDescent="0.2">
      <c r="A3536" s="1" t="s">
        <v>8603</v>
      </c>
      <c r="B3536" s="86" t="s">
        <v>5277</v>
      </c>
      <c r="C3536" s="22" t="s">
        <v>3252</v>
      </c>
      <c r="D3536" s="6" t="s">
        <v>8491</v>
      </c>
      <c r="E3536" s="6" t="s">
        <v>5383</v>
      </c>
      <c r="F3536" s="6" t="s">
        <v>8595</v>
      </c>
      <c r="G3536" s="87" t="s">
        <v>1888</v>
      </c>
      <c r="H3536" s="22">
        <v>0</v>
      </c>
      <c r="I3536" s="18">
        <v>710000000</v>
      </c>
      <c r="J3536" s="87" t="s">
        <v>1931</v>
      </c>
      <c r="K3536" s="88" t="s">
        <v>6167</v>
      </c>
      <c r="L3536" s="7" t="s">
        <v>8469</v>
      </c>
      <c r="M3536" s="88" t="s">
        <v>3195</v>
      </c>
      <c r="N3536" s="87" t="s">
        <v>1408</v>
      </c>
      <c r="O3536" s="89" t="s">
        <v>8470</v>
      </c>
      <c r="P3536" s="88">
        <v>796</v>
      </c>
      <c r="Q3536" s="90" t="s">
        <v>6401</v>
      </c>
      <c r="R3536" s="10">
        <v>1</v>
      </c>
      <c r="S3536" s="10">
        <v>80357</v>
      </c>
      <c r="T3536" s="10">
        <f t="shared" si="2260"/>
        <v>80357</v>
      </c>
      <c r="U3536" s="10">
        <f t="shared" si="2261"/>
        <v>89999.840000000011</v>
      </c>
      <c r="V3536" s="91"/>
      <c r="W3536" s="91">
        <v>2015</v>
      </c>
      <c r="X3536" s="92"/>
    </row>
    <row r="3537" spans="1:24" s="115" customFormat="1" ht="72" customHeight="1" x14ac:dyDescent="0.2">
      <c r="A3537" s="1" t="s">
        <v>8604</v>
      </c>
      <c r="B3537" s="86" t="s">
        <v>5277</v>
      </c>
      <c r="C3537" s="22" t="s">
        <v>3253</v>
      </c>
      <c r="D3537" s="6" t="s">
        <v>8493</v>
      </c>
      <c r="E3537" s="6" t="s">
        <v>8814</v>
      </c>
      <c r="F3537" s="6" t="s">
        <v>8595</v>
      </c>
      <c r="G3537" s="87" t="s">
        <v>1888</v>
      </c>
      <c r="H3537" s="22">
        <v>0</v>
      </c>
      <c r="I3537" s="18">
        <v>710000000</v>
      </c>
      <c r="J3537" s="87" t="s">
        <v>1931</v>
      </c>
      <c r="K3537" s="88" t="s">
        <v>6167</v>
      </c>
      <c r="L3537" s="7" t="s">
        <v>8469</v>
      </c>
      <c r="M3537" s="88" t="s">
        <v>3195</v>
      </c>
      <c r="N3537" s="87" t="s">
        <v>1408</v>
      </c>
      <c r="O3537" s="89" t="s">
        <v>8470</v>
      </c>
      <c r="P3537" s="88">
        <v>796</v>
      </c>
      <c r="Q3537" s="90" t="s">
        <v>6401</v>
      </c>
      <c r="R3537" s="10">
        <v>3</v>
      </c>
      <c r="S3537" s="10">
        <v>30893</v>
      </c>
      <c r="T3537" s="10">
        <f t="shared" si="2260"/>
        <v>92679</v>
      </c>
      <c r="U3537" s="10">
        <f t="shared" si="2261"/>
        <v>103800.48000000001</v>
      </c>
      <c r="V3537" s="91"/>
      <c r="W3537" s="91">
        <v>2015</v>
      </c>
      <c r="X3537" s="92"/>
    </row>
    <row r="3538" spans="1:24" s="115" customFormat="1" ht="72" customHeight="1" x14ac:dyDescent="0.2">
      <c r="A3538" s="1" t="s">
        <v>8605</v>
      </c>
      <c r="B3538" s="86" t="s">
        <v>5277</v>
      </c>
      <c r="C3538" s="22" t="s">
        <v>8498</v>
      </c>
      <c r="D3538" s="6" t="s">
        <v>8808</v>
      </c>
      <c r="E3538" s="6" t="s">
        <v>8499</v>
      </c>
      <c r="F3538" s="6" t="s">
        <v>8834</v>
      </c>
      <c r="G3538" s="87" t="s">
        <v>1888</v>
      </c>
      <c r="H3538" s="22">
        <v>0</v>
      </c>
      <c r="I3538" s="18">
        <v>710000000</v>
      </c>
      <c r="J3538" s="87" t="s">
        <v>1931</v>
      </c>
      <c r="K3538" s="88" t="s">
        <v>6167</v>
      </c>
      <c r="L3538" s="7" t="s">
        <v>8469</v>
      </c>
      <c r="M3538" s="88" t="s">
        <v>3195</v>
      </c>
      <c r="N3538" s="87" t="s">
        <v>1408</v>
      </c>
      <c r="O3538" s="89" t="s">
        <v>8470</v>
      </c>
      <c r="P3538" s="88">
        <v>839</v>
      </c>
      <c r="Q3538" s="90" t="s">
        <v>5419</v>
      </c>
      <c r="R3538" s="10">
        <v>3</v>
      </c>
      <c r="S3538" s="10">
        <v>14821</v>
      </c>
      <c r="T3538" s="10">
        <f t="shared" si="2260"/>
        <v>44463</v>
      </c>
      <c r="U3538" s="10">
        <f t="shared" si="2261"/>
        <v>49798.560000000005</v>
      </c>
      <c r="V3538" s="91"/>
      <c r="W3538" s="91">
        <v>2015</v>
      </c>
      <c r="X3538" s="92"/>
    </row>
    <row r="3539" spans="1:24" s="115" customFormat="1" ht="72" customHeight="1" x14ac:dyDescent="0.2">
      <c r="A3539" s="1" t="s">
        <v>8607</v>
      </c>
      <c r="B3539" s="86" t="s">
        <v>5277</v>
      </c>
      <c r="C3539" s="22" t="s">
        <v>8466</v>
      </c>
      <c r="D3539" s="6" t="s">
        <v>5377</v>
      </c>
      <c r="E3539" s="6" t="s">
        <v>8467</v>
      </c>
      <c r="F3539" s="6" t="s">
        <v>8606</v>
      </c>
      <c r="G3539" s="87" t="s">
        <v>1888</v>
      </c>
      <c r="H3539" s="22">
        <v>0</v>
      </c>
      <c r="I3539" s="18">
        <v>710000000</v>
      </c>
      <c r="J3539" s="87" t="s">
        <v>1931</v>
      </c>
      <c r="K3539" s="88" t="s">
        <v>6167</v>
      </c>
      <c r="L3539" s="7" t="s">
        <v>8469</v>
      </c>
      <c r="M3539" s="88" t="s">
        <v>3195</v>
      </c>
      <c r="N3539" s="87" t="s">
        <v>1408</v>
      </c>
      <c r="O3539" s="89" t="s">
        <v>8470</v>
      </c>
      <c r="P3539" s="88">
        <v>796</v>
      </c>
      <c r="Q3539" s="90" t="s">
        <v>6401</v>
      </c>
      <c r="R3539" s="10">
        <v>2</v>
      </c>
      <c r="S3539" s="10">
        <v>19643</v>
      </c>
      <c r="T3539" s="10">
        <f t="shared" si="2260"/>
        <v>39286</v>
      </c>
      <c r="U3539" s="10">
        <f t="shared" si="2261"/>
        <v>44000.320000000007</v>
      </c>
      <c r="V3539" s="91"/>
      <c r="W3539" s="91">
        <v>2015</v>
      </c>
      <c r="X3539" s="92"/>
    </row>
    <row r="3540" spans="1:24" s="115" customFormat="1" ht="72" customHeight="1" x14ac:dyDescent="0.2">
      <c r="A3540" s="1" t="s">
        <v>8608</v>
      </c>
      <c r="B3540" s="86" t="s">
        <v>5277</v>
      </c>
      <c r="C3540" s="22" t="s">
        <v>8472</v>
      </c>
      <c r="D3540" s="6" t="s">
        <v>5377</v>
      </c>
      <c r="E3540" s="6" t="s">
        <v>8473</v>
      </c>
      <c r="F3540" s="6" t="s">
        <v>8606</v>
      </c>
      <c r="G3540" s="87" t="s">
        <v>1888</v>
      </c>
      <c r="H3540" s="22">
        <v>0</v>
      </c>
      <c r="I3540" s="18">
        <v>710000000</v>
      </c>
      <c r="J3540" s="87" t="s">
        <v>1931</v>
      </c>
      <c r="K3540" s="88" t="s">
        <v>6167</v>
      </c>
      <c r="L3540" s="7" t="s">
        <v>8469</v>
      </c>
      <c r="M3540" s="88" t="s">
        <v>3195</v>
      </c>
      <c r="N3540" s="87" t="s">
        <v>1408</v>
      </c>
      <c r="O3540" s="89" t="s">
        <v>8470</v>
      </c>
      <c r="P3540" s="88">
        <v>796</v>
      </c>
      <c r="Q3540" s="90" t="s">
        <v>6401</v>
      </c>
      <c r="R3540" s="10">
        <v>2</v>
      </c>
      <c r="S3540" s="10">
        <v>16071</v>
      </c>
      <c r="T3540" s="10">
        <f t="shared" si="2260"/>
        <v>32142</v>
      </c>
      <c r="U3540" s="10">
        <f t="shared" si="2261"/>
        <v>35999.040000000001</v>
      </c>
      <c r="V3540" s="91"/>
      <c r="W3540" s="91">
        <v>2015</v>
      </c>
      <c r="X3540" s="92"/>
    </row>
    <row r="3541" spans="1:24" s="115" customFormat="1" ht="72" customHeight="1" x14ac:dyDescent="0.2">
      <c r="A3541" s="1" t="s">
        <v>8609</v>
      </c>
      <c r="B3541" s="86" t="s">
        <v>5277</v>
      </c>
      <c r="C3541" s="22" t="s">
        <v>8577</v>
      </c>
      <c r="D3541" s="6" t="s">
        <v>8578</v>
      </c>
      <c r="E3541" s="6" t="s">
        <v>8579</v>
      </c>
      <c r="F3541" s="6" t="s">
        <v>8606</v>
      </c>
      <c r="G3541" s="87" t="s">
        <v>1888</v>
      </c>
      <c r="H3541" s="22">
        <v>0</v>
      </c>
      <c r="I3541" s="18">
        <v>710000000</v>
      </c>
      <c r="J3541" s="87" t="s">
        <v>1931</v>
      </c>
      <c r="K3541" s="88" t="s">
        <v>6167</v>
      </c>
      <c r="L3541" s="7" t="s">
        <v>8469</v>
      </c>
      <c r="M3541" s="88" t="s">
        <v>3195</v>
      </c>
      <c r="N3541" s="87" t="s">
        <v>1408</v>
      </c>
      <c r="O3541" s="89" t="s">
        <v>8470</v>
      </c>
      <c r="P3541" s="88">
        <v>839</v>
      </c>
      <c r="Q3541" s="90" t="s">
        <v>5419</v>
      </c>
      <c r="R3541" s="10">
        <v>2</v>
      </c>
      <c r="S3541" s="10">
        <v>44643</v>
      </c>
      <c r="T3541" s="10">
        <f t="shared" si="2260"/>
        <v>89286</v>
      </c>
      <c r="U3541" s="10">
        <f t="shared" si="2261"/>
        <v>100000.32000000001</v>
      </c>
      <c r="V3541" s="91"/>
      <c r="W3541" s="91">
        <v>2015</v>
      </c>
      <c r="X3541" s="92"/>
    </row>
    <row r="3542" spans="1:24" s="115" customFormat="1" ht="72" customHeight="1" x14ac:dyDescent="0.2">
      <c r="A3542" s="1" t="s">
        <v>8610</v>
      </c>
      <c r="B3542" s="86" t="s">
        <v>5277</v>
      </c>
      <c r="C3542" s="22" t="s">
        <v>8697</v>
      </c>
      <c r="D3542" s="6" t="s">
        <v>6076</v>
      </c>
      <c r="E3542" s="6" t="s">
        <v>8835</v>
      </c>
      <c r="F3542" s="6" t="s">
        <v>8606</v>
      </c>
      <c r="G3542" s="87" t="s">
        <v>1888</v>
      </c>
      <c r="H3542" s="22">
        <v>0</v>
      </c>
      <c r="I3542" s="18">
        <v>710000000</v>
      </c>
      <c r="J3542" s="87" t="s">
        <v>1931</v>
      </c>
      <c r="K3542" s="88" t="s">
        <v>6167</v>
      </c>
      <c r="L3542" s="7" t="s">
        <v>8469</v>
      </c>
      <c r="M3542" s="88" t="s">
        <v>3195</v>
      </c>
      <c r="N3542" s="87" t="s">
        <v>1408</v>
      </c>
      <c r="O3542" s="89" t="s">
        <v>8470</v>
      </c>
      <c r="P3542" s="88">
        <v>839</v>
      </c>
      <c r="Q3542" s="90" t="s">
        <v>5419</v>
      </c>
      <c r="R3542" s="10">
        <v>2</v>
      </c>
      <c r="S3542" s="10">
        <v>21429</v>
      </c>
      <c r="T3542" s="10">
        <f t="shared" si="2260"/>
        <v>42858</v>
      </c>
      <c r="U3542" s="10">
        <f t="shared" si="2261"/>
        <v>48000.960000000006</v>
      </c>
      <c r="V3542" s="91"/>
      <c r="W3542" s="91">
        <v>2015</v>
      </c>
      <c r="X3542" s="92"/>
    </row>
    <row r="3543" spans="1:24" s="115" customFormat="1" ht="72" customHeight="1" x14ac:dyDescent="0.2">
      <c r="A3543" s="1" t="s">
        <v>8611</v>
      </c>
      <c r="B3543" s="86" t="s">
        <v>5277</v>
      </c>
      <c r="C3543" s="22" t="s">
        <v>8545</v>
      </c>
      <c r="D3543" s="6" t="s">
        <v>5401</v>
      </c>
      <c r="E3543" s="6" t="s">
        <v>1984</v>
      </c>
      <c r="F3543" s="6" t="s">
        <v>8606</v>
      </c>
      <c r="G3543" s="87" t="s">
        <v>1888</v>
      </c>
      <c r="H3543" s="22">
        <v>0</v>
      </c>
      <c r="I3543" s="18">
        <v>710000000</v>
      </c>
      <c r="J3543" s="87" t="s">
        <v>1931</v>
      </c>
      <c r="K3543" s="88" t="s">
        <v>6167</v>
      </c>
      <c r="L3543" s="7" t="s">
        <v>8469</v>
      </c>
      <c r="M3543" s="88" t="s">
        <v>3195</v>
      </c>
      <c r="N3543" s="87" t="s">
        <v>1408</v>
      </c>
      <c r="O3543" s="89" t="s">
        <v>8470</v>
      </c>
      <c r="P3543" s="88">
        <v>796</v>
      </c>
      <c r="Q3543" s="90" t="s">
        <v>6401</v>
      </c>
      <c r="R3543" s="10">
        <v>2</v>
      </c>
      <c r="S3543" s="10">
        <v>14286</v>
      </c>
      <c r="T3543" s="10">
        <f t="shared" si="2260"/>
        <v>28572</v>
      </c>
      <c r="U3543" s="10">
        <f t="shared" si="2261"/>
        <v>32000.640000000003</v>
      </c>
      <c r="V3543" s="91"/>
      <c r="W3543" s="91">
        <v>2015</v>
      </c>
      <c r="X3543" s="92"/>
    </row>
    <row r="3544" spans="1:24" s="115" customFormat="1" ht="72" customHeight="1" x14ac:dyDescent="0.2">
      <c r="A3544" s="1" t="s">
        <v>8612</v>
      </c>
      <c r="B3544" s="86" t="s">
        <v>5277</v>
      </c>
      <c r="C3544" s="22" t="s">
        <v>8547</v>
      </c>
      <c r="D3544" s="6" t="s">
        <v>5401</v>
      </c>
      <c r="E3544" s="6" t="s">
        <v>5410</v>
      </c>
      <c r="F3544" s="6" t="s">
        <v>8606</v>
      </c>
      <c r="G3544" s="87" t="s">
        <v>1888</v>
      </c>
      <c r="H3544" s="22">
        <v>0</v>
      </c>
      <c r="I3544" s="18">
        <v>710000000</v>
      </c>
      <c r="J3544" s="87" t="s">
        <v>1931</v>
      </c>
      <c r="K3544" s="88" t="s">
        <v>6167</v>
      </c>
      <c r="L3544" s="7" t="s">
        <v>8469</v>
      </c>
      <c r="M3544" s="88" t="s">
        <v>3195</v>
      </c>
      <c r="N3544" s="87" t="s">
        <v>1408</v>
      </c>
      <c r="O3544" s="89" t="s">
        <v>8470</v>
      </c>
      <c r="P3544" s="88">
        <v>796</v>
      </c>
      <c r="Q3544" s="90" t="s">
        <v>6401</v>
      </c>
      <c r="R3544" s="10">
        <v>2</v>
      </c>
      <c r="S3544" s="10">
        <v>19643</v>
      </c>
      <c r="T3544" s="10">
        <f t="shared" si="2260"/>
        <v>39286</v>
      </c>
      <c r="U3544" s="10">
        <f t="shared" si="2261"/>
        <v>44000.320000000007</v>
      </c>
      <c r="V3544" s="91"/>
      <c r="W3544" s="91">
        <v>2015</v>
      </c>
      <c r="X3544" s="92"/>
    </row>
    <row r="3545" spans="1:24" s="115" customFormat="1" ht="72" customHeight="1" x14ac:dyDescent="0.2">
      <c r="A3545" s="1" t="s">
        <v>8613</v>
      </c>
      <c r="B3545" s="86" t="s">
        <v>5277</v>
      </c>
      <c r="C3545" s="22" t="s">
        <v>8587</v>
      </c>
      <c r="D3545" s="6" t="s">
        <v>8588</v>
      </c>
      <c r="E3545" s="6" t="s">
        <v>5364</v>
      </c>
      <c r="F3545" s="6" t="s">
        <v>8606</v>
      </c>
      <c r="G3545" s="87" t="s">
        <v>1888</v>
      </c>
      <c r="H3545" s="22">
        <v>0</v>
      </c>
      <c r="I3545" s="18">
        <v>710000000</v>
      </c>
      <c r="J3545" s="87" t="s">
        <v>1931</v>
      </c>
      <c r="K3545" s="88" t="s">
        <v>6167</v>
      </c>
      <c r="L3545" s="7" t="s">
        <v>8469</v>
      </c>
      <c r="M3545" s="88" t="s">
        <v>3195</v>
      </c>
      <c r="N3545" s="87" t="s">
        <v>1408</v>
      </c>
      <c r="O3545" s="89" t="s">
        <v>8470</v>
      </c>
      <c r="P3545" s="88">
        <v>796</v>
      </c>
      <c r="Q3545" s="90" t="s">
        <v>6401</v>
      </c>
      <c r="R3545" s="10">
        <v>2</v>
      </c>
      <c r="S3545" s="10">
        <v>31250</v>
      </c>
      <c r="T3545" s="10">
        <f t="shared" si="2260"/>
        <v>62500</v>
      </c>
      <c r="U3545" s="10">
        <f t="shared" si="2261"/>
        <v>70000</v>
      </c>
      <c r="V3545" s="91"/>
      <c r="W3545" s="91">
        <v>2015</v>
      </c>
      <c r="X3545" s="92"/>
    </row>
    <row r="3546" spans="1:24" s="115" customFormat="1" ht="72" customHeight="1" x14ac:dyDescent="0.2">
      <c r="A3546" s="1" t="s">
        <v>8614</v>
      </c>
      <c r="B3546" s="86" t="s">
        <v>5277</v>
      </c>
      <c r="C3546" s="22" t="s">
        <v>8515</v>
      </c>
      <c r="D3546" s="6" t="s">
        <v>5379</v>
      </c>
      <c r="E3546" s="6" t="s">
        <v>8516</v>
      </c>
      <c r="F3546" s="6" t="s">
        <v>8606</v>
      </c>
      <c r="G3546" s="87" t="s">
        <v>1888</v>
      </c>
      <c r="H3546" s="22">
        <v>0</v>
      </c>
      <c r="I3546" s="18">
        <v>710000000</v>
      </c>
      <c r="J3546" s="87" t="s">
        <v>1931</v>
      </c>
      <c r="K3546" s="88" t="s">
        <v>6167</v>
      </c>
      <c r="L3546" s="7" t="s">
        <v>8469</v>
      </c>
      <c r="M3546" s="88" t="s">
        <v>3195</v>
      </c>
      <c r="N3546" s="87" t="s">
        <v>1408</v>
      </c>
      <c r="O3546" s="89" t="s">
        <v>8470</v>
      </c>
      <c r="P3546" s="88">
        <v>796</v>
      </c>
      <c r="Q3546" s="90" t="s">
        <v>6401</v>
      </c>
      <c r="R3546" s="10">
        <v>2</v>
      </c>
      <c r="S3546" s="10">
        <v>28125</v>
      </c>
      <c r="T3546" s="10">
        <f t="shared" si="2260"/>
        <v>56250</v>
      </c>
      <c r="U3546" s="10">
        <f t="shared" si="2261"/>
        <v>63000.000000000007</v>
      </c>
      <c r="V3546" s="91"/>
      <c r="W3546" s="91">
        <v>2015</v>
      </c>
      <c r="X3546" s="92"/>
    </row>
    <row r="3547" spans="1:24" s="115" customFormat="1" ht="72" customHeight="1" x14ac:dyDescent="0.2">
      <c r="A3547" s="1" t="s">
        <v>8615</v>
      </c>
      <c r="B3547" s="86" t="s">
        <v>5277</v>
      </c>
      <c r="C3547" s="22" t="s">
        <v>8518</v>
      </c>
      <c r="D3547" s="6" t="s">
        <v>5380</v>
      </c>
      <c r="E3547" s="6" t="s">
        <v>5364</v>
      </c>
      <c r="F3547" s="6" t="s">
        <v>8606</v>
      </c>
      <c r="G3547" s="87" t="s">
        <v>1888</v>
      </c>
      <c r="H3547" s="22">
        <v>0</v>
      </c>
      <c r="I3547" s="18">
        <v>710000000</v>
      </c>
      <c r="J3547" s="87" t="s">
        <v>1931</v>
      </c>
      <c r="K3547" s="88" t="s">
        <v>6167</v>
      </c>
      <c r="L3547" s="7" t="s">
        <v>8469</v>
      </c>
      <c r="M3547" s="88" t="s">
        <v>3195</v>
      </c>
      <c r="N3547" s="87" t="s">
        <v>1408</v>
      </c>
      <c r="O3547" s="89" t="s">
        <v>8470</v>
      </c>
      <c r="P3547" s="88">
        <v>796</v>
      </c>
      <c r="Q3547" s="90" t="s">
        <v>6401</v>
      </c>
      <c r="R3547" s="10">
        <v>1</v>
      </c>
      <c r="S3547" s="10">
        <v>44643</v>
      </c>
      <c r="T3547" s="10">
        <f t="shared" si="2260"/>
        <v>44643</v>
      </c>
      <c r="U3547" s="10">
        <f t="shared" si="2261"/>
        <v>50000.160000000003</v>
      </c>
      <c r="V3547" s="91"/>
      <c r="W3547" s="91">
        <v>2015</v>
      </c>
      <c r="X3547" s="92"/>
    </row>
    <row r="3548" spans="1:24" s="115" customFormat="1" ht="72" customHeight="1" x14ac:dyDescent="0.2">
      <c r="A3548" s="1" t="s">
        <v>8616</v>
      </c>
      <c r="B3548" s="86" t="s">
        <v>5277</v>
      </c>
      <c r="C3548" s="22" t="s">
        <v>3249</v>
      </c>
      <c r="D3548" s="6" t="s">
        <v>3250</v>
      </c>
      <c r="E3548" s="6" t="s">
        <v>5381</v>
      </c>
      <c r="F3548" s="6" t="s">
        <v>8606</v>
      </c>
      <c r="G3548" s="87" t="s">
        <v>1888</v>
      </c>
      <c r="H3548" s="22">
        <v>0</v>
      </c>
      <c r="I3548" s="18">
        <v>710000000</v>
      </c>
      <c r="J3548" s="87" t="s">
        <v>1931</v>
      </c>
      <c r="K3548" s="88" t="s">
        <v>6167</v>
      </c>
      <c r="L3548" s="7" t="s">
        <v>8469</v>
      </c>
      <c r="M3548" s="88" t="s">
        <v>3195</v>
      </c>
      <c r="N3548" s="87" t="s">
        <v>1408</v>
      </c>
      <c r="O3548" s="89" t="s">
        <v>8470</v>
      </c>
      <c r="P3548" s="88">
        <v>796</v>
      </c>
      <c r="Q3548" s="90" t="s">
        <v>6401</v>
      </c>
      <c r="R3548" s="10">
        <v>1</v>
      </c>
      <c r="S3548" s="10">
        <v>55357</v>
      </c>
      <c r="T3548" s="10">
        <f t="shared" si="2260"/>
        <v>55357</v>
      </c>
      <c r="U3548" s="10">
        <f t="shared" si="2261"/>
        <v>61999.840000000004</v>
      </c>
      <c r="V3548" s="91"/>
      <c r="W3548" s="91">
        <v>2015</v>
      </c>
      <c r="X3548" s="92"/>
    </row>
    <row r="3549" spans="1:24" s="115" customFormat="1" ht="72" customHeight="1" x14ac:dyDescent="0.2">
      <c r="A3549" s="1" t="s">
        <v>8617</v>
      </c>
      <c r="B3549" s="86" t="s">
        <v>5277</v>
      </c>
      <c r="C3549" s="22" t="s">
        <v>3252</v>
      </c>
      <c r="D3549" s="6" t="s">
        <v>8491</v>
      </c>
      <c r="E3549" s="6" t="s">
        <v>5383</v>
      </c>
      <c r="F3549" s="6" t="s">
        <v>8606</v>
      </c>
      <c r="G3549" s="87" t="s">
        <v>1888</v>
      </c>
      <c r="H3549" s="22">
        <v>0</v>
      </c>
      <c r="I3549" s="18">
        <v>710000000</v>
      </c>
      <c r="J3549" s="87" t="s">
        <v>1931</v>
      </c>
      <c r="K3549" s="88" t="s">
        <v>6167</v>
      </c>
      <c r="L3549" s="7" t="s">
        <v>8469</v>
      </c>
      <c r="M3549" s="88" t="s">
        <v>3195</v>
      </c>
      <c r="N3549" s="87" t="s">
        <v>1408</v>
      </c>
      <c r="O3549" s="89" t="s">
        <v>8470</v>
      </c>
      <c r="P3549" s="88">
        <v>796</v>
      </c>
      <c r="Q3549" s="90" t="s">
        <v>6401</v>
      </c>
      <c r="R3549" s="10">
        <v>1</v>
      </c>
      <c r="S3549" s="10">
        <v>42857</v>
      </c>
      <c r="T3549" s="10">
        <f t="shared" si="2260"/>
        <v>42857</v>
      </c>
      <c r="U3549" s="10">
        <f t="shared" si="2261"/>
        <v>47999.840000000004</v>
      </c>
      <c r="V3549" s="91"/>
      <c r="W3549" s="91">
        <v>2015</v>
      </c>
      <c r="X3549" s="92"/>
    </row>
    <row r="3550" spans="1:24" s="115" customFormat="1" ht="72" customHeight="1" x14ac:dyDescent="0.2">
      <c r="A3550" s="1" t="s">
        <v>8620</v>
      </c>
      <c r="B3550" s="86" t="s">
        <v>5277</v>
      </c>
      <c r="C3550" s="22" t="s">
        <v>8618</v>
      </c>
      <c r="D3550" s="6" t="s">
        <v>8619</v>
      </c>
      <c r="E3550" s="6" t="s">
        <v>5394</v>
      </c>
      <c r="F3550" s="6" t="s">
        <v>8606</v>
      </c>
      <c r="G3550" s="87" t="s">
        <v>1888</v>
      </c>
      <c r="H3550" s="22">
        <v>0</v>
      </c>
      <c r="I3550" s="18">
        <v>710000000</v>
      </c>
      <c r="J3550" s="87" t="s">
        <v>1931</v>
      </c>
      <c r="K3550" s="88" t="s">
        <v>6167</v>
      </c>
      <c r="L3550" s="7" t="s">
        <v>8469</v>
      </c>
      <c r="M3550" s="88" t="s">
        <v>3195</v>
      </c>
      <c r="N3550" s="87" t="s">
        <v>1408</v>
      </c>
      <c r="O3550" s="89" t="s">
        <v>8470</v>
      </c>
      <c r="P3550" s="88">
        <v>796</v>
      </c>
      <c r="Q3550" s="90" t="s">
        <v>6401</v>
      </c>
      <c r="R3550" s="10">
        <v>4</v>
      </c>
      <c r="S3550" s="10">
        <v>21429</v>
      </c>
      <c r="T3550" s="10">
        <f t="shared" si="2260"/>
        <v>85716</v>
      </c>
      <c r="U3550" s="10">
        <f t="shared" si="2261"/>
        <v>96001.920000000013</v>
      </c>
      <c r="V3550" s="91"/>
      <c r="W3550" s="91">
        <v>2015</v>
      </c>
      <c r="X3550" s="92"/>
    </row>
    <row r="3551" spans="1:24" s="115" customFormat="1" ht="72" customHeight="1" x14ac:dyDescent="0.2">
      <c r="A3551" s="1" t="s">
        <v>8621</v>
      </c>
      <c r="B3551" s="86" t="s">
        <v>5277</v>
      </c>
      <c r="C3551" s="22" t="s">
        <v>8525</v>
      </c>
      <c r="D3551" s="6" t="s">
        <v>5389</v>
      </c>
      <c r="E3551" s="6" t="s">
        <v>5364</v>
      </c>
      <c r="F3551" s="6" t="s">
        <v>8606</v>
      </c>
      <c r="G3551" s="87" t="s">
        <v>1888</v>
      </c>
      <c r="H3551" s="22">
        <v>0</v>
      </c>
      <c r="I3551" s="18">
        <v>710000000</v>
      </c>
      <c r="J3551" s="87" t="s">
        <v>1931</v>
      </c>
      <c r="K3551" s="88" t="s">
        <v>6167</v>
      </c>
      <c r="L3551" s="7" t="s">
        <v>8469</v>
      </c>
      <c r="M3551" s="88" t="s">
        <v>3195</v>
      </c>
      <c r="N3551" s="87" t="s">
        <v>1408</v>
      </c>
      <c r="O3551" s="89" t="s">
        <v>8470</v>
      </c>
      <c r="P3551" s="88">
        <v>796</v>
      </c>
      <c r="Q3551" s="90" t="s">
        <v>6401</v>
      </c>
      <c r="R3551" s="10">
        <v>6</v>
      </c>
      <c r="S3551" s="10">
        <v>10714</v>
      </c>
      <c r="T3551" s="10">
        <f t="shared" si="2260"/>
        <v>64284</v>
      </c>
      <c r="U3551" s="10">
        <f t="shared" si="2261"/>
        <v>71998.080000000002</v>
      </c>
      <c r="V3551" s="91"/>
      <c r="W3551" s="91">
        <v>2015</v>
      </c>
      <c r="X3551" s="92"/>
    </row>
    <row r="3552" spans="1:24" s="115" customFormat="1" ht="72" customHeight="1" x14ac:dyDescent="0.2">
      <c r="A3552" s="1" t="s">
        <v>8622</v>
      </c>
      <c r="B3552" s="86" t="s">
        <v>5277</v>
      </c>
      <c r="C3552" s="22" t="s">
        <v>8498</v>
      </c>
      <c r="D3552" s="6" t="s">
        <v>8808</v>
      </c>
      <c r="E3552" s="6" t="s">
        <v>8499</v>
      </c>
      <c r="F3552" s="6" t="s">
        <v>8836</v>
      </c>
      <c r="G3552" s="87" t="s">
        <v>1888</v>
      </c>
      <c r="H3552" s="22">
        <v>0</v>
      </c>
      <c r="I3552" s="18">
        <v>710000000</v>
      </c>
      <c r="J3552" s="87" t="s">
        <v>1931</v>
      </c>
      <c r="K3552" s="88" t="s">
        <v>6167</v>
      </c>
      <c r="L3552" s="7" t="s">
        <v>8469</v>
      </c>
      <c r="M3552" s="88" t="s">
        <v>3195</v>
      </c>
      <c r="N3552" s="87" t="s">
        <v>1408</v>
      </c>
      <c r="O3552" s="89" t="s">
        <v>8470</v>
      </c>
      <c r="P3552" s="88">
        <v>839</v>
      </c>
      <c r="Q3552" s="90" t="s">
        <v>5419</v>
      </c>
      <c r="R3552" s="10">
        <v>2</v>
      </c>
      <c r="S3552" s="10">
        <v>14286</v>
      </c>
      <c r="T3552" s="10">
        <f t="shared" si="2260"/>
        <v>28572</v>
      </c>
      <c r="U3552" s="10">
        <f t="shared" si="2261"/>
        <v>32000.640000000003</v>
      </c>
      <c r="V3552" s="91"/>
      <c r="W3552" s="91">
        <v>2015</v>
      </c>
      <c r="X3552" s="92"/>
    </row>
    <row r="3553" spans="1:24" s="115" customFormat="1" ht="72" customHeight="1" x14ac:dyDescent="0.2">
      <c r="A3553" s="1" t="s">
        <v>8624</v>
      </c>
      <c r="B3553" s="86" t="s">
        <v>5277</v>
      </c>
      <c r="C3553" s="22" t="s">
        <v>8466</v>
      </c>
      <c r="D3553" s="6" t="s">
        <v>5377</v>
      </c>
      <c r="E3553" s="6" t="s">
        <v>8467</v>
      </c>
      <c r="F3553" s="6" t="s">
        <v>8623</v>
      </c>
      <c r="G3553" s="87" t="s">
        <v>1888</v>
      </c>
      <c r="H3553" s="22">
        <v>0</v>
      </c>
      <c r="I3553" s="18">
        <v>710000000</v>
      </c>
      <c r="J3553" s="87" t="s">
        <v>1931</v>
      </c>
      <c r="K3553" s="88" t="s">
        <v>6167</v>
      </c>
      <c r="L3553" s="7" t="s">
        <v>8469</v>
      </c>
      <c r="M3553" s="88" t="s">
        <v>3195</v>
      </c>
      <c r="N3553" s="87" t="s">
        <v>1408</v>
      </c>
      <c r="O3553" s="89" t="s">
        <v>8470</v>
      </c>
      <c r="P3553" s="88">
        <v>796</v>
      </c>
      <c r="Q3553" s="90" t="s">
        <v>6401</v>
      </c>
      <c r="R3553" s="10">
        <v>2</v>
      </c>
      <c r="S3553" s="10">
        <v>17857</v>
      </c>
      <c r="T3553" s="10">
        <f t="shared" si="2260"/>
        <v>35714</v>
      </c>
      <c r="U3553" s="10">
        <f t="shared" si="2261"/>
        <v>39999.68</v>
      </c>
      <c r="V3553" s="91"/>
      <c r="W3553" s="91">
        <v>2015</v>
      </c>
      <c r="X3553" s="92"/>
    </row>
    <row r="3554" spans="1:24" s="115" customFormat="1" ht="72" customHeight="1" x14ac:dyDescent="0.2">
      <c r="A3554" s="1" t="s">
        <v>8625</v>
      </c>
      <c r="B3554" s="86" t="s">
        <v>5277</v>
      </c>
      <c r="C3554" s="22" t="s">
        <v>8472</v>
      </c>
      <c r="D3554" s="6" t="s">
        <v>5377</v>
      </c>
      <c r="E3554" s="6" t="s">
        <v>8473</v>
      </c>
      <c r="F3554" s="6" t="s">
        <v>8623</v>
      </c>
      <c r="G3554" s="87" t="s">
        <v>1888</v>
      </c>
      <c r="H3554" s="22">
        <v>0</v>
      </c>
      <c r="I3554" s="18">
        <v>710000000</v>
      </c>
      <c r="J3554" s="87" t="s">
        <v>1931</v>
      </c>
      <c r="K3554" s="88" t="s">
        <v>6167</v>
      </c>
      <c r="L3554" s="7" t="s">
        <v>8469</v>
      </c>
      <c r="M3554" s="88" t="s">
        <v>3195</v>
      </c>
      <c r="N3554" s="87" t="s">
        <v>1408</v>
      </c>
      <c r="O3554" s="89" t="s">
        <v>8470</v>
      </c>
      <c r="P3554" s="88">
        <v>796</v>
      </c>
      <c r="Q3554" s="90" t="s">
        <v>6401</v>
      </c>
      <c r="R3554" s="10">
        <v>2</v>
      </c>
      <c r="S3554" s="10">
        <v>20469</v>
      </c>
      <c r="T3554" s="10">
        <f t="shared" si="2260"/>
        <v>40938</v>
      </c>
      <c r="U3554" s="10">
        <f t="shared" si="2261"/>
        <v>45850.560000000005</v>
      </c>
      <c r="V3554" s="91"/>
      <c r="W3554" s="91">
        <v>2015</v>
      </c>
      <c r="X3554" s="92"/>
    </row>
    <row r="3555" spans="1:24" s="115" customFormat="1" ht="72" customHeight="1" x14ac:dyDescent="0.2">
      <c r="A3555" s="1" t="s">
        <v>8629</v>
      </c>
      <c r="B3555" s="86" t="s">
        <v>5277</v>
      </c>
      <c r="C3555" s="22" t="s">
        <v>8626</v>
      </c>
      <c r="D3555" s="6" t="s">
        <v>8627</v>
      </c>
      <c r="E3555" s="6" t="s">
        <v>8628</v>
      </c>
      <c r="F3555" s="6" t="s">
        <v>8623</v>
      </c>
      <c r="G3555" s="87" t="s">
        <v>1888</v>
      </c>
      <c r="H3555" s="22">
        <v>0</v>
      </c>
      <c r="I3555" s="18">
        <v>710000000</v>
      </c>
      <c r="J3555" s="87" t="s">
        <v>1931</v>
      </c>
      <c r="K3555" s="88" t="s">
        <v>6167</v>
      </c>
      <c r="L3555" s="7" t="s">
        <v>8469</v>
      </c>
      <c r="M3555" s="88" t="s">
        <v>3195</v>
      </c>
      <c r="N3555" s="87" t="s">
        <v>1408</v>
      </c>
      <c r="O3555" s="89" t="s">
        <v>8470</v>
      </c>
      <c r="P3555" s="88">
        <v>796</v>
      </c>
      <c r="Q3555" s="90" t="s">
        <v>6401</v>
      </c>
      <c r="R3555" s="10">
        <v>2</v>
      </c>
      <c r="S3555" s="10">
        <v>11253</v>
      </c>
      <c r="T3555" s="10">
        <f t="shared" si="2260"/>
        <v>22506</v>
      </c>
      <c r="U3555" s="10">
        <f t="shared" si="2261"/>
        <v>25206.720000000001</v>
      </c>
      <c r="V3555" s="91"/>
      <c r="W3555" s="91">
        <v>2015</v>
      </c>
      <c r="X3555" s="92"/>
    </row>
    <row r="3556" spans="1:24" s="115" customFormat="1" ht="72" customHeight="1" x14ac:dyDescent="0.2">
      <c r="A3556" s="1" t="s">
        <v>8633</v>
      </c>
      <c r="B3556" s="86" t="s">
        <v>5277</v>
      </c>
      <c r="C3556" s="22" t="s">
        <v>8630</v>
      </c>
      <c r="D3556" s="6" t="s">
        <v>8631</v>
      </c>
      <c r="E3556" s="6" t="s">
        <v>8632</v>
      </c>
      <c r="F3556" s="6" t="s">
        <v>8623</v>
      </c>
      <c r="G3556" s="87" t="s">
        <v>1888</v>
      </c>
      <c r="H3556" s="22">
        <v>0</v>
      </c>
      <c r="I3556" s="18">
        <v>710000000</v>
      </c>
      <c r="J3556" s="87" t="s">
        <v>1931</v>
      </c>
      <c r="K3556" s="88" t="s">
        <v>6167</v>
      </c>
      <c r="L3556" s="7" t="s">
        <v>8469</v>
      </c>
      <c r="M3556" s="88" t="s">
        <v>3195</v>
      </c>
      <c r="N3556" s="87" t="s">
        <v>1408</v>
      </c>
      <c r="O3556" s="89" t="s">
        <v>8470</v>
      </c>
      <c r="P3556" s="88">
        <v>796</v>
      </c>
      <c r="Q3556" s="90" t="s">
        <v>6401</v>
      </c>
      <c r="R3556" s="10">
        <v>2</v>
      </c>
      <c r="S3556" s="10">
        <v>107366</v>
      </c>
      <c r="T3556" s="10">
        <f t="shared" si="2260"/>
        <v>214732</v>
      </c>
      <c r="U3556" s="10">
        <f t="shared" si="2261"/>
        <v>240499.84000000003</v>
      </c>
      <c r="V3556" s="91"/>
      <c r="W3556" s="91">
        <v>2015</v>
      </c>
      <c r="X3556" s="92"/>
    </row>
    <row r="3557" spans="1:24" s="115" customFormat="1" ht="72" customHeight="1" x14ac:dyDescent="0.2">
      <c r="A3557" s="1" t="s">
        <v>8634</v>
      </c>
      <c r="B3557" s="86" t="s">
        <v>5277</v>
      </c>
      <c r="C3557" s="22" t="s">
        <v>8515</v>
      </c>
      <c r="D3557" s="6" t="s">
        <v>5379</v>
      </c>
      <c r="E3557" s="6" t="s">
        <v>8516</v>
      </c>
      <c r="F3557" s="6" t="s">
        <v>8623</v>
      </c>
      <c r="G3557" s="87" t="s">
        <v>1888</v>
      </c>
      <c r="H3557" s="22">
        <v>0</v>
      </c>
      <c r="I3557" s="18">
        <v>710000000</v>
      </c>
      <c r="J3557" s="87" t="s">
        <v>1931</v>
      </c>
      <c r="K3557" s="88" t="s">
        <v>6167</v>
      </c>
      <c r="L3557" s="7" t="s">
        <v>8469</v>
      </c>
      <c r="M3557" s="88" t="s">
        <v>3195</v>
      </c>
      <c r="N3557" s="87" t="s">
        <v>1408</v>
      </c>
      <c r="O3557" s="89" t="s">
        <v>8470</v>
      </c>
      <c r="P3557" s="88">
        <v>796</v>
      </c>
      <c r="Q3557" s="90" t="s">
        <v>6401</v>
      </c>
      <c r="R3557" s="10">
        <v>2</v>
      </c>
      <c r="S3557" s="10">
        <v>28125</v>
      </c>
      <c r="T3557" s="10">
        <f t="shared" si="2260"/>
        <v>56250</v>
      </c>
      <c r="U3557" s="10">
        <f t="shared" si="2261"/>
        <v>63000.000000000007</v>
      </c>
      <c r="V3557" s="91"/>
      <c r="W3557" s="91">
        <v>2015</v>
      </c>
      <c r="X3557" s="92"/>
    </row>
    <row r="3558" spans="1:24" s="115" customFormat="1" ht="72" customHeight="1" x14ac:dyDescent="0.2">
      <c r="A3558" s="1" t="s">
        <v>8635</v>
      </c>
      <c r="B3558" s="86" t="s">
        <v>5277</v>
      </c>
      <c r="C3558" s="22" t="s">
        <v>3249</v>
      </c>
      <c r="D3558" s="6" t="s">
        <v>3250</v>
      </c>
      <c r="E3558" s="6" t="s">
        <v>5381</v>
      </c>
      <c r="F3558" s="6" t="s">
        <v>8623</v>
      </c>
      <c r="G3558" s="87" t="s">
        <v>1888</v>
      </c>
      <c r="H3558" s="22">
        <v>0</v>
      </c>
      <c r="I3558" s="18">
        <v>710000000</v>
      </c>
      <c r="J3558" s="87" t="s">
        <v>1931</v>
      </c>
      <c r="K3558" s="88" t="s">
        <v>6167</v>
      </c>
      <c r="L3558" s="7" t="s">
        <v>8469</v>
      </c>
      <c r="M3558" s="88" t="s">
        <v>3195</v>
      </c>
      <c r="N3558" s="87" t="s">
        <v>1408</v>
      </c>
      <c r="O3558" s="89" t="s">
        <v>8470</v>
      </c>
      <c r="P3558" s="88">
        <v>796</v>
      </c>
      <c r="Q3558" s="90" t="s">
        <v>6401</v>
      </c>
      <c r="R3558" s="10">
        <v>1</v>
      </c>
      <c r="S3558" s="10">
        <v>66964</v>
      </c>
      <c r="T3558" s="10">
        <f t="shared" si="2260"/>
        <v>66964</v>
      </c>
      <c r="U3558" s="10">
        <f t="shared" si="2261"/>
        <v>74999.680000000008</v>
      </c>
      <c r="V3558" s="91"/>
      <c r="W3558" s="91">
        <v>2015</v>
      </c>
      <c r="X3558" s="92"/>
    </row>
    <row r="3559" spans="1:24" s="115" customFormat="1" ht="72" customHeight="1" x14ac:dyDescent="0.2">
      <c r="A3559" s="1" t="s">
        <v>8636</v>
      </c>
      <c r="B3559" s="86" t="s">
        <v>5277</v>
      </c>
      <c r="C3559" s="22" t="s">
        <v>3252</v>
      </c>
      <c r="D3559" s="6" t="s">
        <v>8491</v>
      </c>
      <c r="E3559" s="6" t="s">
        <v>5383</v>
      </c>
      <c r="F3559" s="6" t="s">
        <v>8623</v>
      </c>
      <c r="G3559" s="87" t="s">
        <v>1888</v>
      </c>
      <c r="H3559" s="22">
        <v>0</v>
      </c>
      <c r="I3559" s="18">
        <v>710000000</v>
      </c>
      <c r="J3559" s="87" t="s">
        <v>1931</v>
      </c>
      <c r="K3559" s="88" t="s">
        <v>6167</v>
      </c>
      <c r="L3559" s="7" t="s">
        <v>8469</v>
      </c>
      <c r="M3559" s="88" t="s">
        <v>3195</v>
      </c>
      <c r="N3559" s="87" t="s">
        <v>1408</v>
      </c>
      <c r="O3559" s="89" t="s">
        <v>8470</v>
      </c>
      <c r="P3559" s="88">
        <v>796</v>
      </c>
      <c r="Q3559" s="90" t="s">
        <v>6401</v>
      </c>
      <c r="R3559" s="10">
        <v>1</v>
      </c>
      <c r="S3559" s="10">
        <v>71429</v>
      </c>
      <c r="T3559" s="10">
        <f t="shared" si="2260"/>
        <v>71429</v>
      </c>
      <c r="U3559" s="10">
        <f t="shared" si="2261"/>
        <v>80000.48000000001</v>
      </c>
      <c r="V3559" s="91"/>
      <c r="W3559" s="91">
        <v>2015</v>
      </c>
      <c r="X3559" s="92"/>
    </row>
    <row r="3560" spans="1:24" s="115" customFormat="1" ht="72" customHeight="1" x14ac:dyDescent="0.2">
      <c r="A3560" s="1" t="s">
        <v>8637</v>
      </c>
      <c r="B3560" s="86" t="s">
        <v>5277</v>
      </c>
      <c r="C3560" s="22" t="s">
        <v>8618</v>
      </c>
      <c r="D3560" s="6" t="s">
        <v>8619</v>
      </c>
      <c r="E3560" s="6" t="s">
        <v>5394</v>
      </c>
      <c r="F3560" s="6" t="s">
        <v>8623</v>
      </c>
      <c r="G3560" s="87" t="s">
        <v>1888</v>
      </c>
      <c r="H3560" s="22">
        <v>0</v>
      </c>
      <c r="I3560" s="18">
        <v>710000000</v>
      </c>
      <c r="J3560" s="87" t="s">
        <v>1931</v>
      </c>
      <c r="K3560" s="88" t="s">
        <v>6167</v>
      </c>
      <c r="L3560" s="7" t="s">
        <v>8469</v>
      </c>
      <c r="M3560" s="88" t="s">
        <v>3195</v>
      </c>
      <c r="N3560" s="87" t="s">
        <v>1408</v>
      </c>
      <c r="O3560" s="89" t="s">
        <v>8470</v>
      </c>
      <c r="P3560" s="88">
        <v>796</v>
      </c>
      <c r="Q3560" s="90" t="s">
        <v>6401</v>
      </c>
      <c r="R3560" s="10">
        <v>3</v>
      </c>
      <c r="S3560" s="10">
        <v>21429</v>
      </c>
      <c r="T3560" s="10">
        <f t="shared" si="2260"/>
        <v>64287</v>
      </c>
      <c r="U3560" s="10">
        <f t="shared" si="2261"/>
        <v>72001.440000000002</v>
      </c>
      <c r="V3560" s="91"/>
      <c r="W3560" s="91">
        <v>2015</v>
      </c>
      <c r="X3560" s="92"/>
    </row>
    <row r="3561" spans="1:24" s="115" customFormat="1" ht="72" customHeight="1" x14ac:dyDescent="0.2">
      <c r="A3561" s="1" t="s">
        <v>8638</v>
      </c>
      <c r="B3561" s="86" t="s">
        <v>5277</v>
      </c>
      <c r="C3561" s="22" t="s">
        <v>8525</v>
      </c>
      <c r="D3561" s="6" t="s">
        <v>5389</v>
      </c>
      <c r="E3561" s="6" t="s">
        <v>5364</v>
      </c>
      <c r="F3561" s="6" t="s">
        <v>8623</v>
      </c>
      <c r="G3561" s="87" t="s">
        <v>1888</v>
      </c>
      <c r="H3561" s="22">
        <v>0</v>
      </c>
      <c r="I3561" s="18">
        <v>710000000</v>
      </c>
      <c r="J3561" s="87" t="s">
        <v>1931</v>
      </c>
      <c r="K3561" s="88" t="s">
        <v>6167</v>
      </c>
      <c r="L3561" s="7" t="s">
        <v>8469</v>
      </c>
      <c r="M3561" s="88" t="s">
        <v>3195</v>
      </c>
      <c r="N3561" s="87" t="s">
        <v>1408</v>
      </c>
      <c r="O3561" s="89" t="s">
        <v>8470</v>
      </c>
      <c r="P3561" s="88">
        <v>796</v>
      </c>
      <c r="Q3561" s="90" t="s">
        <v>6401</v>
      </c>
      <c r="R3561" s="10">
        <v>2</v>
      </c>
      <c r="S3561" s="10">
        <v>16071</v>
      </c>
      <c r="T3561" s="10">
        <f t="shared" si="2260"/>
        <v>32142</v>
      </c>
      <c r="U3561" s="10">
        <f t="shared" si="2261"/>
        <v>35999.040000000001</v>
      </c>
      <c r="V3561" s="91"/>
      <c r="W3561" s="91">
        <v>2015</v>
      </c>
      <c r="X3561" s="92"/>
    </row>
    <row r="3562" spans="1:24" s="115" customFormat="1" ht="72" customHeight="1" x14ac:dyDescent="0.2">
      <c r="A3562" s="1" t="s">
        <v>8639</v>
      </c>
      <c r="B3562" s="86" t="s">
        <v>5277</v>
      </c>
      <c r="C3562" s="22" t="s">
        <v>3308</v>
      </c>
      <c r="D3562" s="6" t="s">
        <v>5392</v>
      </c>
      <c r="E3562" s="6" t="s">
        <v>5364</v>
      </c>
      <c r="F3562" s="6" t="s">
        <v>8623</v>
      </c>
      <c r="G3562" s="87" t="s">
        <v>1888</v>
      </c>
      <c r="H3562" s="22">
        <v>0</v>
      </c>
      <c r="I3562" s="18">
        <v>710000000</v>
      </c>
      <c r="J3562" s="87" t="s">
        <v>1931</v>
      </c>
      <c r="K3562" s="88" t="s">
        <v>6167</v>
      </c>
      <c r="L3562" s="7" t="s">
        <v>8469</v>
      </c>
      <c r="M3562" s="88" t="s">
        <v>3195</v>
      </c>
      <c r="N3562" s="87" t="s">
        <v>1408</v>
      </c>
      <c r="O3562" s="89" t="s">
        <v>8470</v>
      </c>
      <c r="P3562" s="88">
        <v>796</v>
      </c>
      <c r="Q3562" s="90" t="s">
        <v>6401</v>
      </c>
      <c r="R3562" s="10">
        <v>2</v>
      </c>
      <c r="S3562" s="10">
        <v>36438</v>
      </c>
      <c r="T3562" s="10">
        <f t="shared" si="2260"/>
        <v>72876</v>
      </c>
      <c r="U3562" s="10">
        <f t="shared" si="2261"/>
        <v>81621.12000000001</v>
      </c>
      <c r="V3562" s="91"/>
      <c r="W3562" s="91">
        <v>2015</v>
      </c>
      <c r="X3562" s="92"/>
    </row>
    <row r="3563" spans="1:24" s="115" customFormat="1" ht="72" customHeight="1" x14ac:dyDescent="0.2">
      <c r="A3563" s="1" t="s">
        <v>8640</v>
      </c>
      <c r="B3563" s="86" t="s">
        <v>5277</v>
      </c>
      <c r="C3563" s="22" t="s">
        <v>2779</v>
      </c>
      <c r="D3563" s="6" t="s">
        <v>5380</v>
      </c>
      <c r="E3563" s="6" t="s">
        <v>5365</v>
      </c>
      <c r="F3563" s="6" t="s">
        <v>3066</v>
      </c>
      <c r="G3563" s="87" t="s">
        <v>1888</v>
      </c>
      <c r="H3563" s="22">
        <v>0</v>
      </c>
      <c r="I3563" s="18">
        <v>710000000</v>
      </c>
      <c r="J3563" s="87" t="s">
        <v>1931</v>
      </c>
      <c r="K3563" s="88" t="s">
        <v>6167</v>
      </c>
      <c r="L3563" s="7" t="s">
        <v>8469</v>
      </c>
      <c r="M3563" s="88" t="s">
        <v>3195</v>
      </c>
      <c r="N3563" s="87" t="s">
        <v>1408</v>
      </c>
      <c r="O3563" s="89" t="s">
        <v>8470</v>
      </c>
      <c r="P3563" s="88">
        <v>796</v>
      </c>
      <c r="Q3563" s="90" t="s">
        <v>6401</v>
      </c>
      <c r="R3563" s="10">
        <v>1</v>
      </c>
      <c r="S3563" s="10">
        <v>41071</v>
      </c>
      <c r="T3563" s="10">
        <f t="shared" si="2260"/>
        <v>41071</v>
      </c>
      <c r="U3563" s="10">
        <f t="shared" si="2261"/>
        <v>45999.520000000004</v>
      </c>
      <c r="V3563" s="91"/>
      <c r="W3563" s="91">
        <v>2015</v>
      </c>
      <c r="X3563" s="92"/>
    </row>
    <row r="3564" spans="1:24" s="115" customFormat="1" ht="72" customHeight="1" x14ac:dyDescent="0.2">
      <c r="A3564" s="1" t="s">
        <v>8644</v>
      </c>
      <c r="B3564" s="86" t="s">
        <v>5277</v>
      </c>
      <c r="C3564" s="22" t="s">
        <v>8641</v>
      </c>
      <c r="D3564" s="6" t="s">
        <v>8642</v>
      </c>
      <c r="E3564" s="6" t="s">
        <v>8643</v>
      </c>
      <c r="F3564" s="6" t="s">
        <v>3066</v>
      </c>
      <c r="G3564" s="87" t="s">
        <v>1888</v>
      </c>
      <c r="H3564" s="22">
        <v>0</v>
      </c>
      <c r="I3564" s="18">
        <v>710000000</v>
      </c>
      <c r="J3564" s="87" t="s">
        <v>1931</v>
      </c>
      <c r="K3564" s="88" t="s">
        <v>6167</v>
      </c>
      <c r="L3564" s="7" t="s">
        <v>8469</v>
      </c>
      <c r="M3564" s="88" t="s">
        <v>3195</v>
      </c>
      <c r="N3564" s="87" t="s">
        <v>1408</v>
      </c>
      <c r="O3564" s="89" t="s">
        <v>8470</v>
      </c>
      <c r="P3564" s="88">
        <v>796</v>
      </c>
      <c r="Q3564" s="90" t="s">
        <v>6401</v>
      </c>
      <c r="R3564" s="10">
        <v>1</v>
      </c>
      <c r="S3564" s="10">
        <v>261161</v>
      </c>
      <c r="T3564" s="10">
        <f t="shared" si="2260"/>
        <v>261161</v>
      </c>
      <c r="U3564" s="10">
        <f t="shared" si="2261"/>
        <v>292500.32</v>
      </c>
      <c r="V3564" s="91"/>
      <c r="W3564" s="91">
        <v>2015</v>
      </c>
      <c r="X3564" s="92"/>
    </row>
    <row r="3565" spans="1:24" s="115" customFormat="1" ht="72" customHeight="1" x14ac:dyDescent="0.2">
      <c r="A3565" s="1" t="s">
        <v>8647</v>
      </c>
      <c r="B3565" s="86" t="s">
        <v>5277</v>
      </c>
      <c r="C3565" s="22" t="s">
        <v>8645</v>
      </c>
      <c r="D3565" s="6" t="s">
        <v>8646</v>
      </c>
      <c r="E3565" s="6" t="s">
        <v>5365</v>
      </c>
      <c r="F3565" s="6" t="s">
        <v>3066</v>
      </c>
      <c r="G3565" s="87" t="s">
        <v>1888</v>
      </c>
      <c r="H3565" s="22">
        <v>0</v>
      </c>
      <c r="I3565" s="18">
        <v>710000000</v>
      </c>
      <c r="J3565" s="87" t="s">
        <v>1931</v>
      </c>
      <c r="K3565" s="88" t="s">
        <v>6167</v>
      </c>
      <c r="L3565" s="7" t="s">
        <v>8469</v>
      </c>
      <c r="M3565" s="88" t="s">
        <v>3195</v>
      </c>
      <c r="N3565" s="87" t="s">
        <v>1408</v>
      </c>
      <c r="O3565" s="89" t="s">
        <v>8470</v>
      </c>
      <c r="P3565" s="88">
        <v>796</v>
      </c>
      <c r="Q3565" s="90" t="s">
        <v>6401</v>
      </c>
      <c r="R3565" s="10">
        <v>1</v>
      </c>
      <c r="S3565" s="10">
        <v>203571</v>
      </c>
      <c r="T3565" s="10">
        <f t="shared" si="2260"/>
        <v>203571</v>
      </c>
      <c r="U3565" s="10">
        <f t="shared" si="2261"/>
        <v>227999.52000000002</v>
      </c>
      <c r="V3565" s="91"/>
      <c r="W3565" s="91">
        <v>2015</v>
      </c>
      <c r="X3565" s="92"/>
    </row>
    <row r="3566" spans="1:24" s="115" customFormat="1" ht="72" customHeight="1" x14ac:dyDescent="0.2">
      <c r="A3566" s="1" t="s">
        <v>8648</v>
      </c>
      <c r="B3566" s="86" t="s">
        <v>5277</v>
      </c>
      <c r="C3566" s="22" t="s">
        <v>1239</v>
      </c>
      <c r="D3566" s="6" t="s">
        <v>1238</v>
      </c>
      <c r="E3566" s="6" t="s">
        <v>1237</v>
      </c>
      <c r="F3566" s="6" t="s">
        <v>3066</v>
      </c>
      <c r="G3566" s="87" t="s">
        <v>1888</v>
      </c>
      <c r="H3566" s="22">
        <v>0</v>
      </c>
      <c r="I3566" s="18">
        <v>710000000</v>
      </c>
      <c r="J3566" s="87" t="s">
        <v>1931</v>
      </c>
      <c r="K3566" s="88" t="s">
        <v>6167</v>
      </c>
      <c r="L3566" s="7" t="s">
        <v>8469</v>
      </c>
      <c r="M3566" s="88" t="s">
        <v>3195</v>
      </c>
      <c r="N3566" s="87" t="s">
        <v>1408</v>
      </c>
      <c r="O3566" s="89" t="s">
        <v>8470</v>
      </c>
      <c r="P3566" s="88">
        <v>796</v>
      </c>
      <c r="Q3566" s="90" t="s">
        <v>6401</v>
      </c>
      <c r="R3566" s="10">
        <v>120</v>
      </c>
      <c r="S3566" s="10">
        <v>354</v>
      </c>
      <c r="T3566" s="10">
        <f t="shared" si="2260"/>
        <v>42480</v>
      </c>
      <c r="U3566" s="10">
        <f t="shared" si="2261"/>
        <v>47577.600000000006</v>
      </c>
      <c r="V3566" s="91"/>
      <c r="W3566" s="91">
        <v>2015</v>
      </c>
      <c r="X3566" s="92"/>
    </row>
    <row r="3567" spans="1:24" s="115" customFormat="1" ht="72" customHeight="1" x14ac:dyDescent="0.2">
      <c r="A3567" s="1" t="s">
        <v>8652</v>
      </c>
      <c r="B3567" s="86" t="s">
        <v>5277</v>
      </c>
      <c r="C3567" s="22" t="s">
        <v>8649</v>
      </c>
      <c r="D3567" s="6" t="s">
        <v>8650</v>
      </c>
      <c r="E3567" s="6" t="s">
        <v>8651</v>
      </c>
      <c r="F3567" s="6" t="s">
        <v>3066</v>
      </c>
      <c r="G3567" s="87" t="s">
        <v>1888</v>
      </c>
      <c r="H3567" s="22">
        <v>0</v>
      </c>
      <c r="I3567" s="18">
        <v>710000000</v>
      </c>
      <c r="J3567" s="87" t="s">
        <v>1931</v>
      </c>
      <c r="K3567" s="88" t="s">
        <v>6167</v>
      </c>
      <c r="L3567" s="7" t="s">
        <v>8469</v>
      </c>
      <c r="M3567" s="88" t="s">
        <v>3195</v>
      </c>
      <c r="N3567" s="87" t="s">
        <v>1408</v>
      </c>
      <c r="O3567" s="89" t="s">
        <v>8470</v>
      </c>
      <c r="P3567" s="88">
        <v>796</v>
      </c>
      <c r="Q3567" s="90" t="s">
        <v>6401</v>
      </c>
      <c r="R3567" s="10">
        <v>1</v>
      </c>
      <c r="S3567" s="10">
        <v>126585</v>
      </c>
      <c r="T3567" s="10">
        <f t="shared" si="2260"/>
        <v>126585</v>
      </c>
      <c r="U3567" s="10">
        <f t="shared" si="2261"/>
        <v>141775.20000000001</v>
      </c>
      <c r="V3567" s="91"/>
      <c r="W3567" s="91">
        <v>2015</v>
      </c>
      <c r="X3567" s="92"/>
    </row>
    <row r="3568" spans="1:24" s="115" customFormat="1" ht="72" customHeight="1" x14ac:dyDescent="0.2">
      <c r="A3568" s="1" t="s">
        <v>8653</v>
      </c>
      <c r="B3568" s="86" t="s">
        <v>5277</v>
      </c>
      <c r="C3568" s="22" t="s">
        <v>2779</v>
      </c>
      <c r="D3568" s="6" t="s">
        <v>5380</v>
      </c>
      <c r="E3568" s="6" t="s">
        <v>5365</v>
      </c>
      <c r="F3568" s="6" t="s">
        <v>2772</v>
      </c>
      <c r="G3568" s="87" t="s">
        <v>1888</v>
      </c>
      <c r="H3568" s="22">
        <v>0</v>
      </c>
      <c r="I3568" s="18">
        <v>710000000</v>
      </c>
      <c r="J3568" s="87" t="s">
        <v>1931</v>
      </c>
      <c r="K3568" s="88" t="s">
        <v>6167</v>
      </c>
      <c r="L3568" s="7" t="s">
        <v>8469</v>
      </c>
      <c r="M3568" s="88" t="s">
        <v>3195</v>
      </c>
      <c r="N3568" s="87" t="s">
        <v>1408</v>
      </c>
      <c r="O3568" s="89" t="s">
        <v>8470</v>
      </c>
      <c r="P3568" s="88">
        <v>796</v>
      </c>
      <c r="Q3568" s="90" t="s">
        <v>6401</v>
      </c>
      <c r="R3568" s="10">
        <v>1</v>
      </c>
      <c r="S3568" s="10">
        <v>40179</v>
      </c>
      <c r="T3568" s="10">
        <f t="shared" si="2260"/>
        <v>40179</v>
      </c>
      <c r="U3568" s="10">
        <f t="shared" si="2261"/>
        <v>45000.480000000003</v>
      </c>
      <c r="V3568" s="91"/>
      <c r="W3568" s="91">
        <v>2015</v>
      </c>
      <c r="X3568" s="92"/>
    </row>
    <row r="3569" spans="1:26" s="115" customFormat="1" ht="72" customHeight="1" x14ac:dyDescent="0.2">
      <c r="A3569" s="1" t="s">
        <v>8654</v>
      </c>
      <c r="B3569" s="86" t="s">
        <v>5277</v>
      </c>
      <c r="C3569" s="22" t="s">
        <v>8641</v>
      </c>
      <c r="D3569" s="6" t="s">
        <v>8642</v>
      </c>
      <c r="E3569" s="6" t="s">
        <v>8643</v>
      </c>
      <c r="F3569" s="6" t="s">
        <v>2772</v>
      </c>
      <c r="G3569" s="87" t="s">
        <v>1888</v>
      </c>
      <c r="H3569" s="22">
        <v>0</v>
      </c>
      <c r="I3569" s="18">
        <v>710000000</v>
      </c>
      <c r="J3569" s="87" t="s">
        <v>1931</v>
      </c>
      <c r="K3569" s="88" t="s">
        <v>6167</v>
      </c>
      <c r="L3569" s="7" t="s">
        <v>8469</v>
      </c>
      <c r="M3569" s="88" t="s">
        <v>3195</v>
      </c>
      <c r="N3569" s="87" t="s">
        <v>1408</v>
      </c>
      <c r="O3569" s="89" t="s">
        <v>8470</v>
      </c>
      <c r="P3569" s="88">
        <v>796</v>
      </c>
      <c r="Q3569" s="90" t="s">
        <v>6401</v>
      </c>
      <c r="R3569" s="10">
        <v>1</v>
      </c>
      <c r="S3569" s="10">
        <v>10982</v>
      </c>
      <c r="T3569" s="10">
        <f t="shared" si="2260"/>
        <v>10982</v>
      </c>
      <c r="U3569" s="10">
        <f t="shared" si="2261"/>
        <v>12299.840000000002</v>
      </c>
      <c r="V3569" s="91"/>
      <c r="W3569" s="91">
        <v>2015</v>
      </c>
      <c r="X3569" s="92"/>
    </row>
    <row r="3570" spans="1:26" s="115" customFormat="1" ht="72" customHeight="1" x14ac:dyDescent="0.2">
      <c r="A3570" s="1" t="s">
        <v>8655</v>
      </c>
      <c r="B3570" s="86" t="s">
        <v>5277</v>
      </c>
      <c r="C3570" s="22" t="s">
        <v>1239</v>
      </c>
      <c r="D3570" s="6" t="s">
        <v>1238</v>
      </c>
      <c r="E3570" s="6" t="s">
        <v>1237</v>
      </c>
      <c r="F3570" s="6" t="s">
        <v>2772</v>
      </c>
      <c r="G3570" s="87" t="s">
        <v>1888</v>
      </c>
      <c r="H3570" s="22">
        <v>0</v>
      </c>
      <c r="I3570" s="18">
        <v>710000000</v>
      </c>
      <c r="J3570" s="87" t="s">
        <v>1931</v>
      </c>
      <c r="K3570" s="88" t="s">
        <v>6167</v>
      </c>
      <c r="L3570" s="7" t="s">
        <v>8469</v>
      </c>
      <c r="M3570" s="88" t="s">
        <v>3195</v>
      </c>
      <c r="N3570" s="87" t="s">
        <v>1408</v>
      </c>
      <c r="O3570" s="89" t="s">
        <v>8470</v>
      </c>
      <c r="P3570" s="88">
        <v>796</v>
      </c>
      <c r="Q3570" s="90" t="s">
        <v>6401</v>
      </c>
      <c r="R3570" s="10">
        <v>40</v>
      </c>
      <c r="S3570" s="10">
        <v>354</v>
      </c>
      <c r="T3570" s="10">
        <f t="shared" si="2260"/>
        <v>14160</v>
      </c>
      <c r="U3570" s="10">
        <f t="shared" si="2261"/>
        <v>15859.2</v>
      </c>
      <c r="V3570" s="91"/>
      <c r="W3570" s="91">
        <v>2015</v>
      </c>
      <c r="X3570" s="92"/>
    </row>
    <row r="3571" spans="1:26" s="115" customFormat="1" ht="72" customHeight="1" x14ac:dyDescent="0.2">
      <c r="A3571" s="1" t="s">
        <v>8656</v>
      </c>
      <c r="B3571" s="86" t="s">
        <v>5277</v>
      </c>
      <c r="C3571" s="22" t="s">
        <v>8645</v>
      </c>
      <c r="D3571" s="6" t="s">
        <v>8646</v>
      </c>
      <c r="E3571" s="6" t="s">
        <v>5365</v>
      </c>
      <c r="F3571" s="6" t="s">
        <v>1956</v>
      </c>
      <c r="G3571" s="87" t="s">
        <v>1888</v>
      </c>
      <c r="H3571" s="22">
        <v>0</v>
      </c>
      <c r="I3571" s="18">
        <v>710000000</v>
      </c>
      <c r="J3571" s="87" t="s">
        <v>1931</v>
      </c>
      <c r="K3571" s="88" t="s">
        <v>6167</v>
      </c>
      <c r="L3571" s="7" t="s">
        <v>8469</v>
      </c>
      <c r="M3571" s="88" t="s">
        <v>3195</v>
      </c>
      <c r="N3571" s="87" t="s">
        <v>1408</v>
      </c>
      <c r="O3571" s="89" t="s">
        <v>8470</v>
      </c>
      <c r="P3571" s="88">
        <v>796</v>
      </c>
      <c r="Q3571" s="90" t="s">
        <v>6401</v>
      </c>
      <c r="R3571" s="10">
        <v>1</v>
      </c>
      <c r="S3571" s="10">
        <v>10982</v>
      </c>
      <c r="T3571" s="10">
        <f t="shared" si="2260"/>
        <v>10982</v>
      </c>
      <c r="U3571" s="10">
        <f t="shared" si="2261"/>
        <v>12299.840000000002</v>
      </c>
      <c r="V3571" s="91"/>
      <c r="W3571" s="91">
        <v>2015</v>
      </c>
      <c r="X3571" s="92"/>
    </row>
    <row r="3572" spans="1:26" s="115" customFormat="1" ht="72" customHeight="1" x14ac:dyDescent="0.2">
      <c r="A3572" s="1" t="s">
        <v>8659</v>
      </c>
      <c r="B3572" s="86" t="s">
        <v>5277</v>
      </c>
      <c r="C3572" s="22" t="s">
        <v>8657</v>
      </c>
      <c r="D3572" s="6" t="s">
        <v>8658</v>
      </c>
      <c r="E3572" s="6" t="s">
        <v>5394</v>
      </c>
      <c r="F3572" s="6" t="s">
        <v>1956</v>
      </c>
      <c r="G3572" s="87" t="s">
        <v>1888</v>
      </c>
      <c r="H3572" s="22">
        <v>0</v>
      </c>
      <c r="I3572" s="18">
        <v>710000000</v>
      </c>
      <c r="J3572" s="87" t="s">
        <v>1931</v>
      </c>
      <c r="K3572" s="88" t="s">
        <v>6167</v>
      </c>
      <c r="L3572" s="7" t="s">
        <v>8469</v>
      </c>
      <c r="M3572" s="88" t="s">
        <v>3195</v>
      </c>
      <c r="N3572" s="87" t="s">
        <v>1408</v>
      </c>
      <c r="O3572" s="89" t="s">
        <v>8470</v>
      </c>
      <c r="P3572" s="88">
        <v>796</v>
      </c>
      <c r="Q3572" s="90" t="s">
        <v>6401</v>
      </c>
      <c r="R3572" s="10">
        <v>1</v>
      </c>
      <c r="S3572" s="10">
        <v>28571</v>
      </c>
      <c r="T3572" s="10">
        <f t="shared" si="2260"/>
        <v>28571</v>
      </c>
      <c r="U3572" s="10">
        <f t="shared" si="2261"/>
        <v>31999.520000000004</v>
      </c>
      <c r="V3572" s="91"/>
      <c r="W3572" s="91">
        <v>2015</v>
      </c>
      <c r="X3572" s="92"/>
    </row>
    <row r="3573" spans="1:26" s="115" customFormat="1" ht="72" customHeight="1" x14ac:dyDescent="0.2">
      <c r="A3573" s="1" t="s">
        <v>8660</v>
      </c>
      <c r="B3573" s="86" t="s">
        <v>5277</v>
      </c>
      <c r="C3573" s="22" t="s">
        <v>1239</v>
      </c>
      <c r="D3573" s="6" t="s">
        <v>1238</v>
      </c>
      <c r="E3573" s="6" t="s">
        <v>1237</v>
      </c>
      <c r="F3573" s="6" t="s">
        <v>1956</v>
      </c>
      <c r="G3573" s="87" t="s">
        <v>1888</v>
      </c>
      <c r="H3573" s="22">
        <v>0</v>
      </c>
      <c r="I3573" s="18">
        <v>710000000</v>
      </c>
      <c r="J3573" s="87" t="s">
        <v>1931</v>
      </c>
      <c r="K3573" s="88" t="s">
        <v>6167</v>
      </c>
      <c r="L3573" s="7" t="s">
        <v>8469</v>
      </c>
      <c r="M3573" s="88" t="s">
        <v>3195</v>
      </c>
      <c r="N3573" s="87" t="s">
        <v>1408</v>
      </c>
      <c r="O3573" s="89" t="s">
        <v>8470</v>
      </c>
      <c r="P3573" s="88">
        <v>796</v>
      </c>
      <c r="Q3573" s="90" t="s">
        <v>6401</v>
      </c>
      <c r="R3573" s="10">
        <v>40</v>
      </c>
      <c r="S3573" s="10">
        <v>354</v>
      </c>
      <c r="T3573" s="10">
        <f t="shared" si="2260"/>
        <v>14160</v>
      </c>
      <c r="U3573" s="10">
        <f t="shared" si="2261"/>
        <v>15859.2</v>
      </c>
      <c r="V3573" s="91"/>
      <c r="W3573" s="91">
        <v>2015</v>
      </c>
      <c r="X3573" s="92"/>
    </row>
    <row r="3574" spans="1:26" s="61" customFormat="1" ht="175.9" customHeight="1" x14ac:dyDescent="0.2">
      <c r="A3574" s="1" t="s">
        <v>8664</v>
      </c>
      <c r="B3574" s="15" t="s">
        <v>5277</v>
      </c>
      <c r="C3574" s="22" t="s">
        <v>8661</v>
      </c>
      <c r="D3574" s="6" t="s">
        <v>8662</v>
      </c>
      <c r="E3574" s="6" t="s">
        <v>8837</v>
      </c>
      <c r="F3574" s="6" t="s">
        <v>8663</v>
      </c>
      <c r="G3574" s="4" t="s">
        <v>3190</v>
      </c>
      <c r="H3574" s="17">
        <v>0</v>
      </c>
      <c r="I3574" s="18">
        <v>710000000</v>
      </c>
      <c r="J3574" s="4" t="s">
        <v>1931</v>
      </c>
      <c r="K3574" s="88" t="s">
        <v>6167</v>
      </c>
      <c r="L3574" s="7" t="s">
        <v>8469</v>
      </c>
      <c r="M3574" s="88" t="s">
        <v>3195</v>
      </c>
      <c r="N3574" s="4" t="s">
        <v>1408</v>
      </c>
      <c r="O3574" s="89" t="s">
        <v>8470</v>
      </c>
      <c r="P3574" s="88">
        <v>796</v>
      </c>
      <c r="Q3574" s="90" t="s">
        <v>6401</v>
      </c>
      <c r="R3574" s="26">
        <v>2</v>
      </c>
      <c r="S3574" s="26">
        <v>60000</v>
      </c>
      <c r="T3574" s="26">
        <f>S3574*R3574</f>
        <v>120000</v>
      </c>
      <c r="U3574" s="26">
        <f>T3574*1.12</f>
        <v>134400</v>
      </c>
      <c r="V3574" s="11"/>
      <c r="W3574" s="11">
        <v>2015</v>
      </c>
      <c r="X3574" s="27"/>
      <c r="Z3574" s="23"/>
    </row>
    <row r="3575" spans="1:26" s="61" customFormat="1" ht="139.5" customHeight="1" x14ac:dyDescent="0.2">
      <c r="A3575" s="1" t="s">
        <v>8668</v>
      </c>
      <c r="B3575" s="15" t="s">
        <v>5277</v>
      </c>
      <c r="C3575" s="22" t="s">
        <v>8665</v>
      </c>
      <c r="D3575" s="6" t="s">
        <v>1643</v>
      </c>
      <c r="E3575" s="6" t="s">
        <v>8666</v>
      </c>
      <c r="F3575" s="6" t="s">
        <v>8667</v>
      </c>
      <c r="G3575" s="4" t="s">
        <v>3190</v>
      </c>
      <c r="H3575" s="17">
        <v>0</v>
      </c>
      <c r="I3575" s="18">
        <v>710000000</v>
      </c>
      <c r="J3575" s="4" t="s">
        <v>1931</v>
      </c>
      <c r="K3575" s="88" t="s">
        <v>6167</v>
      </c>
      <c r="L3575" s="7" t="s">
        <v>8469</v>
      </c>
      <c r="M3575" s="88" t="s">
        <v>3195</v>
      </c>
      <c r="N3575" s="4" t="s">
        <v>1408</v>
      </c>
      <c r="O3575" s="89" t="s">
        <v>8470</v>
      </c>
      <c r="P3575" s="88">
        <v>796</v>
      </c>
      <c r="Q3575" s="90" t="s">
        <v>6401</v>
      </c>
      <c r="R3575" s="26">
        <v>4</v>
      </c>
      <c r="S3575" s="26">
        <v>3400</v>
      </c>
      <c r="T3575" s="26">
        <f>S3575*R3575</f>
        <v>13600</v>
      </c>
      <c r="U3575" s="26">
        <f>T3575*1.12</f>
        <v>15232.000000000002</v>
      </c>
      <c r="V3575" s="11"/>
      <c r="W3575" s="11">
        <v>2015</v>
      </c>
      <c r="X3575" s="27"/>
      <c r="Z3575" s="23"/>
    </row>
    <row r="3576" spans="1:26" s="84" customFormat="1" ht="72" customHeight="1" x14ac:dyDescent="0.2">
      <c r="A3576" s="1" t="s">
        <v>8674</v>
      </c>
      <c r="B3576" s="15" t="s">
        <v>5277</v>
      </c>
      <c r="C3576" s="22" t="s">
        <v>8669</v>
      </c>
      <c r="D3576" s="6" t="s">
        <v>491</v>
      </c>
      <c r="E3576" s="6" t="s">
        <v>8670</v>
      </c>
      <c r="F3576" s="6"/>
      <c r="G3576" s="4" t="s">
        <v>3190</v>
      </c>
      <c r="H3576" s="17">
        <v>0</v>
      </c>
      <c r="I3576" s="18">
        <v>710000000</v>
      </c>
      <c r="J3576" s="4" t="s">
        <v>1931</v>
      </c>
      <c r="K3576" s="88" t="s">
        <v>6167</v>
      </c>
      <c r="L3576" s="7" t="s">
        <v>7579</v>
      </c>
      <c r="M3576" s="88" t="s">
        <v>3195</v>
      </c>
      <c r="N3576" s="4" t="s">
        <v>1408</v>
      </c>
      <c r="O3576" s="89" t="s">
        <v>8470</v>
      </c>
      <c r="P3576" s="88">
        <v>796</v>
      </c>
      <c r="Q3576" s="90" t="s">
        <v>6401</v>
      </c>
      <c r="R3576" s="26">
        <v>1</v>
      </c>
      <c r="S3576" s="26">
        <v>600000</v>
      </c>
      <c r="T3576" s="26">
        <f>S3576*R3576</f>
        <v>600000</v>
      </c>
      <c r="U3576" s="26">
        <f>T3576*1.12</f>
        <v>672000.00000000012</v>
      </c>
      <c r="V3576" s="11"/>
      <c r="W3576" s="11">
        <v>2015</v>
      </c>
      <c r="X3576" s="27"/>
    </row>
    <row r="3577" spans="1:26" s="84" customFormat="1" ht="72" customHeight="1" x14ac:dyDescent="0.2">
      <c r="A3577" s="1" t="s">
        <v>8704</v>
      </c>
      <c r="B3577" s="15" t="s">
        <v>5277</v>
      </c>
      <c r="C3577" s="22" t="s">
        <v>8671</v>
      </c>
      <c r="D3577" s="6" t="s">
        <v>328</v>
      </c>
      <c r="E3577" s="6" t="s">
        <v>8672</v>
      </c>
      <c r="F3577" s="6" t="s">
        <v>8673</v>
      </c>
      <c r="G3577" s="4" t="s">
        <v>3190</v>
      </c>
      <c r="H3577" s="17">
        <v>0</v>
      </c>
      <c r="I3577" s="18">
        <v>710000000</v>
      </c>
      <c r="J3577" s="4" t="s">
        <v>1931</v>
      </c>
      <c r="K3577" s="88" t="s">
        <v>6167</v>
      </c>
      <c r="L3577" s="7" t="s">
        <v>1708</v>
      </c>
      <c r="M3577" s="88" t="s">
        <v>3195</v>
      </c>
      <c r="N3577" s="4" t="s">
        <v>1408</v>
      </c>
      <c r="O3577" s="89" t="s">
        <v>8470</v>
      </c>
      <c r="P3577" s="88">
        <v>796</v>
      </c>
      <c r="Q3577" s="90" t="s">
        <v>6401</v>
      </c>
      <c r="R3577" s="26">
        <v>1</v>
      </c>
      <c r="S3577" s="26">
        <v>140000</v>
      </c>
      <c r="T3577" s="26">
        <f>S3577*R3577</f>
        <v>140000</v>
      </c>
      <c r="U3577" s="26">
        <f>T3577*1.12</f>
        <v>156800.00000000003</v>
      </c>
      <c r="V3577" s="11"/>
      <c r="W3577" s="11">
        <v>2015</v>
      </c>
      <c r="X3577" s="27"/>
    </row>
    <row r="3578" spans="1:26" s="61" customFormat="1" ht="108" customHeight="1" outlineLevel="1" x14ac:dyDescent="0.2">
      <c r="A3578" s="1" t="s">
        <v>8705</v>
      </c>
      <c r="B3578" s="24" t="s">
        <v>5277</v>
      </c>
      <c r="C3578" s="22" t="s">
        <v>1691</v>
      </c>
      <c r="D3578" s="6" t="s">
        <v>1692</v>
      </c>
      <c r="E3578" s="6" t="s">
        <v>1693</v>
      </c>
      <c r="F3578" s="6"/>
      <c r="G3578" s="4" t="s">
        <v>3190</v>
      </c>
      <c r="H3578" s="17">
        <v>0</v>
      </c>
      <c r="I3578" s="18">
        <v>710000000</v>
      </c>
      <c r="J3578" s="4" t="s">
        <v>1931</v>
      </c>
      <c r="K3578" s="88" t="s">
        <v>6167</v>
      </c>
      <c r="L3578" s="18" t="s">
        <v>2985</v>
      </c>
      <c r="M3578" s="8" t="s">
        <v>3195</v>
      </c>
      <c r="N3578" s="8" t="s">
        <v>7523</v>
      </c>
      <c r="O3578" s="8" t="s">
        <v>1935</v>
      </c>
      <c r="P3578" s="1">
        <v>839</v>
      </c>
      <c r="Q3578" s="4" t="s">
        <v>5413</v>
      </c>
      <c r="R3578" s="10">
        <v>120</v>
      </c>
      <c r="S3578" s="10">
        <v>12000</v>
      </c>
      <c r="T3578" s="10">
        <v>0</v>
      </c>
      <c r="U3578" s="10">
        <f t="shared" ref="U3578:U3580" si="2262">T3578*1.12</f>
        <v>0</v>
      </c>
      <c r="V3578" s="8"/>
      <c r="W3578" s="11">
        <v>2015</v>
      </c>
      <c r="X3578" s="8" t="s">
        <v>7518</v>
      </c>
      <c r="Y3578" s="21"/>
    </row>
    <row r="3579" spans="1:26" s="61" customFormat="1" ht="108" customHeight="1" outlineLevel="1" x14ac:dyDescent="0.2">
      <c r="A3579" s="1" t="s">
        <v>9005</v>
      </c>
      <c r="B3579" s="24" t="s">
        <v>5277</v>
      </c>
      <c r="C3579" s="22" t="s">
        <v>1691</v>
      </c>
      <c r="D3579" s="6" t="s">
        <v>1692</v>
      </c>
      <c r="E3579" s="6" t="s">
        <v>1693</v>
      </c>
      <c r="F3579" s="6"/>
      <c r="G3579" s="4" t="s">
        <v>3190</v>
      </c>
      <c r="H3579" s="17">
        <v>0</v>
      </c>
      <c r="I3579" s="18">
        <v>710000000</v>
      </c>
      <c r="J3579" s="4" t="s">
        <v>1931</v>
      </c>
      <c r="K3579" s="88" t="s">
        <v>8982</v>
      </c>
      <c r="L3579" s="18" t="s">
        <v>2985</v>
      </c>
      <c r="M3579" s="8" t="s">
        <v>3195</v>
      </c>
      <c r="N3579" s="8" t="s">
        <v>7523</v>
      </c>
      <c r="O3579" s="8" t="s">
        <v>1935</v>
      </c>
      <c r="P3579" s="1">
        <v>839</v>
      </c>
      <c r="Q3579" s="4" t="s">
        <v>5413</v>
      </c>
      <c r="R3579" s="10">
        <f>120+60</f>
        <v>180</v>
      </c>
      <c r="S3579" s="10">
        <v>12000</v>
      </c>
      <c r="T3579" s="10">
        <f t="shared" ref="T3579" si="2263">R3579*S3579</f>
        <v>2160000</v>
      </c>
      <c r="U3579" s="10">
        <f t="shared" ref="U3579" si="2264">T3579*1.12</f>
        <v>2419200</v>
      </c>
      <c r="V3579" s="8"/>
      <c r="W3579" s="11">
        <v>2015</v>
      </c>
      <c r="X3579" s="8"/>
      <c r="Y3579" s="21"/>
    </row>
    <row r="3580" spans="1:26" s="61" customFormat="1" ht="76.5" customHeight="1" outlineLevel="1" x14ac:dyDescent="0.2">
      <c r="A3580" s="1" t="s">
        <v>8706</v>
      </c>
      <c r="B3580" s="24" t="s">
        <v>5277</v>
      </c>
      <c r="C3580" s="22" t="s">
        <v>203</v>
      </c>
      <c r="D3580" s="6" t="s">
        <v>5192</v>
      </c>
      <c r="E3580" s="6" t="s">
        <v>202</v>
      </c>
      <c r="F3580" s="6"/>
      <c r="G3580" s="4" t="s">
        <v>3190</v>
      </c>
      <c r="H3580" s="17">
        <v>0</v>
      </c>
      <c r="I3580" s="18">
        <v>710000000</v>
      </c>
      <c r="J3580" s="4" t="s">
        <v>8683</v>
      </c>
      <c r="K3580" s="88" t="s">
        <v>6167</v>
      </c>
      <c r="L3580" s="4" t="s">
        <v>1889</v>
      </c>
      <c r="M3580" s="8" t="s">
        <v>3195</v>
      </c>
      <c r="N3580" s="8" t="s">
        <v>7523</v>
      </c>
      <c r="O3580" s="8" t="s">
        <v>1935</v>
      </c>
      <c r="P3580" s="1">
        <v>625</v>
      </c>
      <c r="Q3580" s="90" t="s">
        <v>6401</v>
      </c>
      <c r="R3580" s="10">
        <v>17</v>
      </c>
      <c r="S3580" s="10">
        <v>3303.5713999999998</v>
      </c>
      <c r="T3580" s="10">
        <v>0</v>
      </c>
      <c r="U3580" s="10">
        <f t="shared" si="2262"/>
        <v>0</v>
      </c>
      <c r="V3580" s="94"/>
      <c r="W3580" s="11">
        <v>2015</v>
      </c>
      <c r="X3580" s="8" t="s">
        <v>7518</v>
      </c>
      <c r="Y3580" s="21"/>
    </row>
    <row r="3581" spans="1:26" s="61" customFormat="1" ht="76.5" customHeight="1" outlineLevel="1" x14ac:dyDescent="0.2">
      <c r="A3581" s="1" t="s">
        <v>8983</v>
      </c>
      <c r="B3581" s="24" t="s">
        <v>5277</v>
      </c>
      <c r="C3581" s="22" t="s">
        <v>203</v>
      </c>
      <c r="D3581" s="6" t="s">
        <v>5192</v>
      </c>
      <c r="E3581" s="6" t="s">
        <v>202</v>
      </c>
      <c r="F3581" s="6"/>
      <c r="G3581" s="4" t="s">
        <v>3190</v>
      </c>
      <c r="H3581" s="17">
        <v>0</v>
      </c>
      <c r="I3581" s="18">
        <v>710000000</v>
      </c>
      <c r="J3581" s="4" t="s">
        <v>8683</v>
      </c>
      <c r="K3581" s="87" t="s">
        <v>8982</v>
      </c>
      <c r="L3581" s="4" t="s">
        <v>1889</v>
      </c>
      <c r="M3581" s="8" t="s">
        <v>3195</v>
      </c>
      <c r="N3581" s="8" t="s">
        <v>7523</v>
      </c>
      <c r="O3581" s="8" t="s">
        <v>1935</v>
      </c>
      <c r="P3581" s="1">
        <v>625</v>
      </c>
      <c r="Q3581" s="90" t="s">
        <v>6401</v>
      </c>
      <c r="R3581" s="10">
        <f>17+12</f>
        <v>29</v>
      </c>
      <c r="S3581" s="10">
        <v>3303.5713999999998</v>
      </c>
      <c r="T3581" s="10">
        <v>0</v>
      </c>
      <c r="U3581" s="10">
        <f t="shared" ref="U3581" si="2265">T3581*1.12</f>
        <v>0</v>
      </c>
      <c r="V3581" s="94"/>
      <c r="W3581" s="11">
        <v>2015</v>
      </c>
      <c r="X3581" s="8" t="s">
        <v>7518</v>
      </c>
      <c r="Y3581" s="21"/>
    </row>
    <row r="3582" spans="1:26" s="61" customFormat="1" ht="76.5" customHeight="1" outlineLevel="1" x14ac:dyDescent="0.2">
      <c r="A3582" s="1" t="s">
        <v>9419</v>
      </c>
      <c r="B3582" s="24" t="s">
        <v>5277</v>
      </c>
      <c r="C3582" s="22" t="s">
        <v>203</v>
      </c>
      <c r="D3582" s="6" t="s">
        <v>5192</v>
      </c>
      <c r="E3582" s="6" t="s">
        <v>202</v>
      </c>
      <c r="F3582" s="6"/>
      <c r="G3582" s="4" t="s">
        <v>3190</v>
      </c>
      <c r="H3582" s="17">
        <v>0</v>
      </c>
      <c r="I3582" s="18">
        <v>710000000</v>
      </c>
      <c r="J3582" s="4" t="s">
        <v>8683</v>
      </c>
      <c r="K3582" s="87" t="s">
        <v>9416</v>
      </c>
      <c r="L3582" s="4" t="s">
        <v>1889</v>
      </c>
      <c r="M3582" s="8" t="s">
        <v>3195</v>
      </c>
      <c r="N3582" s="8" t="s">
        <v>7523</v>
      </c>
      <c r="O3582" s="8" t="s">
        <v>1935</v>
      </c>
      <c r="P3582" s="1">
        <v>625</v>
      </c>
      <c r="Q3582" s="90" t="s">
        <v>6401</v>
      </c>
      <c r="R3582" s="10">
        <f>17+12+30</f>
        <v>59</v>
      </c>
      <c r="S3582" s="10">
        <v>3303.5713999999998</v>
      </c>
      <c r="T3582" s="10">
        <f t="shared" ref="T3582" si="2266">R3582*S3582</f>
        <v>194910.7126</v>
      </c>
      <c r="U3582" s="10">
        <f t="shared" ref="U3582" si="2267">T3582*1.12</f>
        <v>218299.99811200003</v>
      </c>
      <c r="V3582" s="94"/>
      <c r="W3582" s="11">
        <v>2015</v>
      </c>
      <c r="X3582" s="8"/>
      <c r="Y3582" s="21"/>
    </row>
    <row r="3583" spans="1:26" s="13" customFormat="1" ht="76.5" customHeight="1" outlineLevel="1" x14ac:dyDescent="0.2">
      <c r="A3583" s="1" t="s">
        <v>8707</v>
      </c>
      <c r="B3583" s="2" t="s">
        <v>5277</v>
      </c>
      <c r="C3583" s="22" t="s">
        <v>340</v>
      </c>
      <c r="D3583" s="6" t="s">
        <v>339</v>
      </c>
      <c r="E3583" s="6" t="s">
        <v>338</v>
      </c>
      <c r="F3583" s="6" t="s">
        <v>337</v>
      </c>
      <c r="G3583" s="3" t="s">
        <v>3190</v>
      </c>
      <c r="H3583" s="5">
        <v>0</v>
      </c>
      <c r="I3583" s="6">
        <v>710000000</v>
      </c>
      <c r="J3583" s="4" t="s">
        <v>1931</v>
      </c>
      <c r="K3583" s="88" t="s">
        <v>6167</v>
      </c>
      <c r="L3583" s="4" t="s">
        <v>1889</v>
      </c>
      <c r="M3583" s="8" t="s">
        <v>3195</v>
      </c>
      <c r="N3583" s="3" t="s">
        <v>1890</v>
      </c>
      <c r="O3583" s="8" t="s">
        <v>1935</v>
      </c>
      <c r="P3583" s="62">
        <v>778</v>
      </c>
      <c r="Q3583" s="3" t="s">
        <v>3327</v>
      </c>
      <c r="R3583" s="69">
        <v>2</v>
      </c>
      <c r="S3583" s="69">
        <v>1785.7139999999999</v>
      </c>
      <c r="T3583" s="10">
        <f>R3583*S3583</f>
        <v>3571.4279999999999</v>
      </c>
      <c r="U3583" s="10">
        <f t="shared" ref="U3583:U3584" si="2268">T3583*1.12</f>
        <v>3999.9993600000003</v>
      </c>
      <c r="V3583" s="7"/>
      <c r="W3583" s="11">
        <v>2015</v>
      </c>
      <c r="X3583" s="62"/>
    </row>
    <row r="3584" spans="1:26" s="61" customFormat="1" ht="76.5" customHeight="1" outlineLevel="1" x14ac:dyDescent="0.2">
      <c r="A3584" s="1" t="s">
        <v>8708</v>
      </c>
      <c r="B3584" s="24" t="s">
        <v>5277</v>
      </c>
      <c r="C3584" s="22" t="s">
        <v>8718</v>
      </c>
      <c r="D3584" s="6" t="s">
        <v>3446</v>
      </c>
      <c r="E3584" s="18" t="s">
        <v>8719</v>
      </c>
      <c r="F3584" s="6" t="s">
        <v>8720</v>
      </c>
      <c r="G3584" s="1" t="s">
        <v>3190</v>
      </c>
      <c r="H3584" s="17">
        <v>0</v>
      </c>
      <c r="I3584" s="18">
        <v>710000000</v>
      </c>
      <c r="J3584" s="4" t="s">
        <v>1931</v>
      </c>
      <c r="K3584" s="88" t="s">
        <v>6167</v>
      </c>
      <c r="L3584" s="4" t="s">
        <v>1889</v>
      </c>
      <c r="M3584" s="8" t="s">
        <v>3195</v>
      </c>
      <c r="N3584" s="8" t="s">
        <v>7523</v>
      </c>
      <c r="O3584" s="8" t="s">
        <v>1935</v>
      </c>
      <c r="P3584" s="1">
        <v>796</v>
      </c>
      <c r="Q3584" s="4" t="s">
        <v>3196</v>
      </c>
      <c r="R3584" s="10">
        <v>1000</v>
      </c>
      <c r="S3584" s="10">
        <v>13.392857100000001</v>
      </c>
      <c r="T3584" s="10">
        <v>0</v>
      </c>
      <c r="U3584" s="10">
        <f t="shared" si="2268"/>
        <v>0</v>
      </c>
      <c r="V3584" s="8"/>
      <c r="W3584" s="11">
        <v>2015</v>
      </c>
      <c r="X3584" s="1" t="s">
        <v>7518</v>
      </c>
      <c r="Y3584" s="21"/>
    </row>
    <row r="3585" spans="1:25" s="61" customFormat="1" ht="76.5" customHeight="1" outlineLevel="1" x14ac:dyDescent="0.2">
      <c r="A3585" s="1" t="s">
        <v>9420</v>
      </c>
      <c r="B3585" s="24" t="s">
        <v>5277</v>
      </c>
      <c r="C3585" s="22" t="s">
        <v>8718</v>
      </c>
      <c r="D3585" s="6" t="s">
        <v>3446</v>
      </c>
      <c r="E3585" s="18" t="s">
        <v>8719</v>
      </c>
      <c r="F3585" s="6" t="s">
        <v>8720</v>
      </c>
      <c r="G3585" s="1" t="s">
        <v>3190</v>
      </c>
      <c r="H3585" s="17">
        <v>0</v>
      </c>
      <c r="I3585" s="18">
        <v>710000000</v>
      </c>
      <c r="J3585" s="4" t="s">
        <v>1931</v>
      </c>
      <c r="K3585" s="88" t="s">
        <v>9300</v>
      </c>
      <c r="L3585" s="4" t="s">
        <v>1889</v>
      </c>
      <c r="M3585" s="8" t="s">
        <v>3195</v>
      </c>
      <c r="N3585" s="8" t="s">
        <v>7523</v>
      </c>
      <c r="O3585" s="8" t="s">
        <v>1935</v>
      </c>
      <c r="P3585" s="1">
        <v>796</v>
      </c>
      <c r="Q3585" s="4" t="s">
        <v>3196</v>
      </c>
      <c r="R3585" s="10">
        <f>1000+1000</f>
        <v>2000</v>
      </c>
      <c r="S3585" s="10">
        <v>13.392857100000001</v>
      </c>
      <c r="T3585" s="10">
        <f t="shared" ref="T3585" si="2269">R3585*S3585</f>
        <v>26785.714200000002</v>
      </c>
      <c r="U3585" s="10">
        <f t="shared" ref="U3585" si="2270">T3585*1.12</f>
        <v>29999.999904000004</v>
      </c>
      <c r="V3585" s="8"/>
      <c r="W3585" s="11">
        <v>2015</v>
      </c>
      <c r="X3585" s="131"/>
      <c r="Y3585" s="21"/>
    </row>
    <row r="3586" spans="1:25" s="61" customFormat="1" ht="76.5" customHeight="1" outlineLevel="1" x14ac:dyDescent="0.2">
      <c r="A3586" s="1" t="s">
        <v>8709</v>
      </c>
      <c r="B3586" s="24" t="s">
        <v>5277</v>
      </c>
      <c r="C3586" s="22" t="s">
        <v>4220</v>
      </c>
      <c r="D3586" s="6" t="s">
        <v>5522</v>
      </c>
      <c r="E3586" s="18" t="s">
        <v>5523</v>
      </c>
      <c r="F3586" s="6" t="s">
        <v>5524</v>
      </c>
      <c r="G3586" s="1" t="s">
        <v>3190</v>
      </c>
      <c r="H3586" s="17">
        <v>0</v>
      </c>
      <c r="I3586" s="18">
        <v>710000000</v>
      </c>
      <c r="J3586" s="4" t="s">
        <v>1931</v>
      </c>
      <c r="K3586" s="88" t="s">
        <v>6167</v>
      </c>
      <c r="L3586" s="4" t="s">
        <v>1889</v>
      </c>
      <c r="M3586" s="8" t="s">
        <v>3195</v>
      </c>
      <c r="N3586" s="8" t="s">
        <v>7523</v>
      </c>
      <c r="O3586" s="8" t="s">
        <v>1935</v>
      </c>
      <c r="P3586" s="1">
        <v>168</v>
      </c>
      <c r="Q3586" s="4" t="s">
        <v>3444</v>
      </c>
      <c r="R3586" s="10">
        <v>7</v>
      </c>
      <c r="S3586" s="69">
        <v>1785.7139999999999</v>
      </c>
      <c r="T3586" s="10">
        <v>0</v>
      </c>
      <c r="U3586" s="10">
        <f t="shared" ref="U3586:U3590" si="2271">T3586*1.12</f>
        <v>0</v>
      </c>
      <c r="V3586" s="8"/>
      <c r="W3586" s="11">
        <v>2015</v>
      </c>
      <c r="X3586" s="1" t="s">
        <v>7518</v>
      </c>
      <c r="Y3586" s="21"/>
    </row>
    <row r="3587" spans="1:25" s="61" customFormat="1" ht="76.5" customHeight="1" outlineLevel="1" x14ac:dyDescent="0.2">
      <c r="A3587" s="1" t="s">
        <v>9417</v>
      </c>
      <c r="B3587" s="24" t="s">
        <v>5277</v>
      </c>
      <c r="C3587" s="22" t="s">
        <v>4220</v>
      </c>
      <c r="D3587" s="6" t="s">
        <v>5522</v>
      </c>
      <c r="E3587" s="18" t="s">
        <v>5523</v>
      </c>
      <c r="F3587" s="6" t="s">
        <v>5524</v>
      </c>
      <c r="G3587" s="1" t="s">
        <v>3190</v>
      </c>
      <c r="H3587" s="17">
        <v>0</v>
      </c>
      <c r="I3587" s="18">
        <v>710000000</v>
      </c>
      <c r="J3587" s="4" t="s">
        <v>1931</v>
      </c>
      <c r="K3587" s="87" t="s">
        <v>9300</v>
      </c>
      <c r="L3587" s="4" t="s">
        <v>1889</v>
      </c>
      <c r="M3587" s="8" t="s">
        <v>3195</v>
      </c>
      <c r="N3587" s="8" t="s">
        <v>7523</v>
      </c>
      <c r="O3587" s="8" t="s">
        <v>1935</v>
      </c>
      <c r="P3587" s="1">
        <v>168</v>
      </c>
      <c r="Q3587" s="4" t="s">
        <v>3444</v>
      </c>
      <c r="R3587" s="10">
        <f>7+8</f>
        <v>15</v>
      </c>
      <c r="S3587" s="69">
        <v>1785.7139999999999</v>
      </c>
      <c r="T3587" s="10">
        <f t="shared" ref="T3587" si="2272">R3587*S3587</f>
        <v>26785.71</v>
      </c>
      <c r="U3587" s="10">
        <f t="shared" ref="U3587" si="2273">T3587*1.12</f>
        <v>29999.995200000001</v>
      </c>
      <c r="V3587" s="8"/>
      <c r="W3587" s="11">
        <v>2015</v>
      </c>
      <c r="X3587" s="1"/>
      <c r="Y3587" s="21"/>
    </row>
    <row r="3588" spans="1:25" s="13" customFormat="1" ht="76.5" customHeight="1" outlineLevel="1" x14ac:dyDescent="0.2">
      <c r="A3588" s="1" t="s">
        <v>8710</v>
      </c>
      <c r="B3588" s="2" t="s">
        <v>5277</v>
      </c>
      <c r="C3588" s="22" t="s">
        <v>283</v>
      </c>
      <c r="D3588" s="6" t="s">
        <v>5136</v>
      </c>
      <c r="E3588" s="2" t="s">
        <v>282</v>
      </c>
      <c r="F3588" s="6" t="s">
        <v>8721</v>
      </c>
      <c r="G3588" s="4" t="s">
        <v>3190</v>
      </c>
      <c r="H3588" s="5">
        <v>0</v>
      </c>
      <c r="I3588" s="6">
        <v>710000000</v>
      </c>
      <c r="J3588" s="4" t="s">
        <v>1931</v>
      </c>
      <c r="K3588" s="88" t="s">
        <v>6167</v>
      </c>
      <c r="L3588" s="4" t="s">
        <v>1889</v>
      </c>
      <c r="M3588" s="8" t="s">
        <v>3195</v>
      </c>
      <c r="N3588" s="3" t="s">
        <v>1890</v>
      </c>
      <c r="O3588" s="8" t="s">
        <v>1935</v>
      </c>
      <c r="P3588" s="62">
        <v>166</v>
      </c>
      <c r="Q3588" s="3" t="s">
        <v>3324</v>
      </c>
      <c r="R3588" s="69">
        <v>2300</v>
      </c>
      <c r="S3588" s="69">
        <v>23.214285</v>
      </c>
      <c r="T3588" s="10">
        <v>0</v>
      </c>
      <c r="U3588" s="10">
        <f t="shared" si="2271"/>
        <v>0</v>
      </c>
      <c r="V3588" s="7"/>
      <c r="W3588" s="1">
        <v>2015</v>
      </c>
      <c r="X3588" s="62" t="s">
        <v>7518</v>
      </c>
    </row>
    <row r="3589" spans="1:25" s="13" customFormat="1" ht="76.5" customHeight="1" outlineLevel="1" x14ac:dyDescent="0.2">
      <c r="A3589" s="1" t="s">
        <v>9405</v>
      </c>
      <c r="B3589" s="2" t="s">
        <v>5277</v>
      </c>
      <c r="C3589" s="22" t="s">
        <v>283</v>
      </c>
      <c r="D3589" s="6" t="s">
        <v>5136</v>
      </c>
      <c r="E3589" s="2" t="s">
        <v>282</v>
      </c>
      <c r="F3589" s="6" t="s">
        <v>8721</v>
      </c>
      <c r="G3589" s="4" t="s">
        <v>3190</v>
      </c>
      <c r="H3589" s="5">
        <v>0</v>
      </c>
      <c r="I3589" s="6">
        <v>710000000</v>
      </c>
      <c r="J3589" s="4" t="s">
        <v>1931</v>
      </c>
      <c r="K3589" s="87" t="s">
        <v>9300</v>
      </c>
      <c r="L3589" s="4" t="s">
        <v>1889</v>
      </c>
      <c r="M3589" s="8" t="s">
        <v>3195</v>
      </c>
      <c r="N3589" s="3" t="s">
        <v>1890</v>
      </c>
      <c r="O3589" s="8" t="s">
        <v>1935</v>
      </c>
      <c r="P3589" s="62">
        <v>166</v>
      </c>
      <c r="Q3589" s="3" t="s">
        <v>3324</v>
      </c>
      <c r="R3589" s="69">
        <f>2300+8160+200</f>
        <v>10660</v>
      </c>
      <c r="S3589" s="69">
        <v>23.214285</v>
      </c>
      <c r="T3589" s="10">
        <f t="shared" ref="T3589" si="2274">S3589*R3589</f>
        <v>247464.2781</v>
      </c>
      <c r="U3589" s="10">
        <f t="shared" ref="U3589" si="2275">T3589*1.12</f>
        <v>277159.99147200002</v>
      </c>
      <c r="V3589" s="7"/>
      <c r="W3589" s="1">
        <v>2015</v>
      </c>
      <c r="X3589" s="62"/>
    </row>
    <row r="3590" spans="1:25" s="13" customFormat="1" ht="76.5" customHeight="1" outlineLevel="1" x14ac:dyDescent="0.2">
      <c r="A3590" s="1" t="s">
        <v>8711</v>
      </c>
      <c r="B3590" s="2" t="s">
        <v>5277</v>
      </c>
      <c r="C3590" s="22" t="s">
        <v>3326</v>
      </c>
      <c r="D3590" s="6" t="s">
        <v>5469</v>
      </c>
      <c r="E3590" s="6" t="s">
        <v>5470</v>
      </c>
      <c r="F3590" s="6" t="s">
        <v>8722</v>
      </c>
      <c r="G3590" s="4" t="s">
        <v>3190</v>
      </c>
      <c r="H3590" s="5">
        <v>0</v>
      </c>
      <c r="I3590" s="6">
        <v>710000000</v>
      </c>
      <c r="J3590" s="4" t="s">
        <v>1931</v>
      </c>
      <c r="K3590" s="88" t="s">
        <v>6167</v>
      </c>
      <c r="L3590" s="4" t="s">
        <v>1889</v>
      </c>
      <c r="M3590" s="8" t="s">
        <v>3195</v>
      </c>
      <c r="N3590" s="3" t="s">
        <v>1890</v>
      </c>
      <c r="O3590" s="8" t="s">
        <v>1935</v>
      </c>
      <c r="P3590" s="60">
        <v>778</v>
      </c>
      <c r="Q3590" s="3" t="s">
        <v>3327</v>
      </c>
      <c r="R3590" s="69">
        <v>12</v>
      </c>
      <c r="S3590" s="69">
        <v>2678.57114</v>
      </c>
      <c r="T3590" s="10">
        <v>0</v>
      </c>
      <c r="U3590" s="10">
        <f t="shared" si="2271"/>
        <v>0</v>
      </c>
      <c r="V3590" s="7"/>
      <c r="W3590" s="1">
        <v>2015</v>
      </c>
      <c r="X3590" s="62" t="s">
        <v>6562</v>
      </c>
    </row>
    <row r="3591" spans="1:25" s="13" customFormat="1" ht="76.5" customHeight="1" outlineLevel="1" x14ac:dyDescent="0.2">
      <c r="A3591" s="1" t="s">
        <v>8913</v>
      </c>
      <c r="B3591" s="2" t="s">
        <v>5277</v>
      </c>
      <c r="C3591" s="22" t="s">
        <v>3326</v>
      </c>
      <c r="D3591" s="6" t="s">
        <v>5469</v>
      </c>
      <c r="E3591" s="6" t="s">
        <v>5470</v>
      </c>
      <c r="F3591" s="6" t="s">
        <v>8722</v>
      </c>
      <c r="G3591" s="4" t="s">
        <v>3190</v>
      </c>
      <c r="H3591" s="5">
        <v>0</v>
      </c>
      <c r="I3591" s="6">
        <v>710000000</v>
      </c>
      <c r="J3591" s="4" t="s">
        <v>1931</v>
      </c>
      <c r="K3591" s="88" t="s">
        <v>6167</v>
      </c>
      <c r="L3591" s="4" t="s">
        <v>1889</v>
      </c>
      <c r="M3591" s="8" t="s">
        <v>3195</v>
      </c>
      <c r="N3591" s="3" t="s">
        <v>1890</v>
      </c>
      <c r="O3591" s="8" t="s">
        <v>1935</v>
      </c>
      <c r="P3591" s="60">
        <v>778</v>
      </c>
      <c r="Q3591" s="3" t="s">
        <v>3327</v>
      </c>
      <c r="R3591" s="69">
        <f>12+30</f>
        <v>42</v>
      </c>
      <c r="S3591" s="69">
        <v>2678.5713999999998</v>
      </c>
      <c r="T3591" s="10">
        <v>0</v>
      </c>
      <c r="U3591" s="10">
        <f t="shared" ref="U3591" si="2276">T3591*1.12</f>
        <v>0</v>
      </c>
      <c r="V3591" s="7"/>
      <c r="W3591" s="1">
        <v>2015</v>
      </c>
      <c r="X3591" s="62" t="s">
        <v>7518</v>
      </c>
    </row>
    <row r="3592" spans="1:25" s="13" customFormat="1" ht="76.5" customHeight="1" outlineLevel="1" x14ac:dyDescent="0.2">
      <c r="A3592" s="1" t="s">
        <v>8981</v>
      </c>
      <c r="B3592" s="2" t="s">
        <v>5277</v>
      </c>
      <c r="C3592" s="22" t="s">
        <v>3326</v>
      </c>
      <c r="D3592" s="6" t="s">
        <v>5469</v>
      </c>
      <c r="E3592" s="6" t="s">
        <v>5470</v>
      </c>
      <c r="F3592" s="6" t="s">
        <v>8722</v>
      </c>
      <c r="G3592" s="4" t="s">
        <v>3190</v>
      </c>
      <c r="H3592" s="5">
        <v>0</v>
      </c>
      <c r="I3592" s="6">
        <v>710000000</v>
      </c>
      <c r="J3592" s="4" t="s">
        <v>1931</v>
      </c>
      <c r="K3592" s="87" t="s">
        <v>8982</v>
      </c>
      <c r="L3592" s="4" t="s">
        <v>1889</v>
      </c>
      <c r="M3592" s="8" t="s">
        <v>3195</v>
      </c>
      <c r="N3592" s="3" t="s">
        <v>1890</v>
      </c>
      <c r="O3592" s="8" t="s">
        <v>1935</v>
      </c>
      <c r="P3592" s="60">
        <v>778</v>
      </c>
      <c r="Q3592" s="3" t="s">
        <v>3327</v>
      </c>
      <c r="R3592" s="69">
        <f>12+30+60</f>
        <v>102</v>
      </c>
      <c r="S3592" s="69">
        <v>2678.5713999999998</v>
      </c>
      <c r="T3592" s="10">
        <v>0</v>
      </c>
      <c r="U3592" s="10">
        <f t="shared" ref="U3592" si="2277">T3592*1.12</f>
        <v>0</v>
      </c>
      <c r="V3592" s="7"/>
      <c r="W3592" s="1">
        <v>2015</v>
      </c>
      <c r="X3592" s="62" t="s">
        <v>7518</v>
      </c>
    </row>
    <row r="3593" spans="1:25" s="13" customFormat="1" ht="76.5" customHeight="1" outlineLevel="1" x14ac:dyDescent="0.2">
      <c r="A3593" s="1" t="s">
        <v>9415</v>
      </c>
      <c r="B3593" s="2" t="s">
        <v>5277</v>
      </c>
      <c r="C3593" s="22" t="s">
        <v>3326</v>
      </c>
      <c r="D3593" s="6" t="s">
        <v>5469</v>
      </c>
      <c r="E3593" s="6" t="s">
        <v>5470</v>
      </c>
      <c r="F3593" s="6" t="s">
        <v>8722</v>
      </c>
      <c r="G3593" s="4" t="s">
        <v>3190</v>
      </c>
      <c r="H3593" s="5">
        <v>0</v>
      </c>
      <c r="I3593" s="6">
        <v>710000000</v>
      </c>
      <c r="J3593" s="4" t="s">
        <v>1931</v>
      </c>
      <c r="K3593" s="87" t="s">
        <v>9416</v>
      </c>
      <c r="L3593" s="4" t="s">
        <v>1889</v>
      </c>
      <c r="M3593" s="8" t="s">
        <v>3195</v>
      </c>
      <c r="N3593" s="3" t="s">
        <v>1890</v>
      </c>
      <c r="O3593" s="8" t="s">
        <v>1935</v>
      </c>
      <c r="P3593" s="60">
        <v>778</v>
      </c>
      <c r="Q3593" s="3" t="s">
        <v>3327</v>
      </c>
      <c r="R3593" s="69">
        <f>12+30+60+6</f>
        <v>108</v>
      </c>
      <c r="S3593" s="69">
        <v>2678.5713999999998</v>
      </c>
      <c r="T3593" s="10">
        <f t="shared" ref="T3593" si="2278">S3593*R3593</f>
        <v>289285.71119999996</v>
      </c>
      <c r="U3593" s="10">
        <f t="shared" ref="U3593" si="2279">T3593*1.12</f>
        <v>323999.99654399999</v>
      </c>
      <c r="V3593" s="7"/>
      <c r="W3593" s="1">
        <v>2015</v>
      </c>
      <c r="X3593" s="62"/>
    </row>
    <row r="3594" spans="1:25" s="61" customFormat="1" ht="76.5" customHeight="1" outlineLevel="1" x14ac:dyDescent="0.2">
      <c r="A3594" s="1" t="s">
        <v>8712</v>
      </c>
      <c r="B3594" s="24" t="s">
        <v>5277</v>
      </c>
      <c r="C3594" s="22" t="s">
        <v>8723</v>
      </c>
      <c r="D3594" s="6" t="s">
        <v>5192</v>
      </c>
      <c r="E3594" s="1" t="s">
        <v>8724</v>
      </c>
      <c r="F3594" s="22" t="s">
        <v>8725</v>
      </c>
      <c r="G3594" s="4" t="s">
        <v>3190</v>
      </c>
      <c r="H3594" s="5">
        <v>0</v>
      </c>
      <c r="I3594" s="6">
        <v>710000000</v>
      </c>
      <c r="J3594" s="4" t="s">
        <v>1931</v>
      </c>
      <c r="K3594" s="87" t="s">
        <v>6167</v>
      </c>
      <c r="L3594" s="7" t="s">
        <v>1708</v>
      </c>
      <c r="M3594" s="8" t="s">
        <v>3195</v>
      </c>
      <c r="N3594" s="3" t="s">
        <v>1890</v>
      </c>
      <c r="O3594" s="8" t="s">
        <v>1935</v>
      </c>
      <c r="P3594" s="95">
        <v>625</v>
      </c>
      <c r="Q3594" s="4" t="s">
        <v>5192</v>
      </c>
      <c r="R3594" s="10">
        <v>10</v>
      </c>
      <c r="S3594" s="10">
        <v>7589.2857000000004</v>
      </c>
      <c r="T3594" s="10">
        <f t="shared" ref="T3594:T3596" si="2280">S3594*R3594</f>
        <v>75892.857000000004</v>
      </c>
      <c r="U3594" s="10">
        <f t="shared" ref="U3594:U3596" si="2281">T3594*1.12</f>
        <v>84999.999840000019</v>
      </c>
      <c r="V3594" s="94"/>
      <c r="W3594" s="11">
        <v>2015</v>
      </c>
      <c r="X3594" s="8"/>
      <c r="Y3594" s="21"/>
    </row>
    <row r="3595" spans="1:25" s="61" customFormat="1" ht="76.5" customHeight="1" outlineLevel="1" x14ac:dyDescent="0.2">
      <c r="A3595" s="1" t="s">
        <v>8713</v>
      </c>
      <c r="B3595" s="24" t="s">
        <v>5277</v>
      </c>
      <c r="C3595" s="22" t="s">
        <v>8723</v>
      </c>
      <c r="D3595" s="6" t="s">
        <v>5192</v>
      </c>
      <c r="E3595" s="1" t="s">
        <v>8724</v>
      </c>
      <c r="F3595" s="22" t="s">
        <v>8726</v>
      </c>
      <c r="G3595" s="4" t="s">
        <v>3190</v>
      </c>
      <c r="H3595" s="5">
        <v>0</v>
      </c>
      <c r="I3595" s="6">
        <v>710000000</v>
      </c>
      <c r="J3595" s="4" t="s">
        <v>1931</v>
      </c>
      <c r="K3595" s="88" t="s">
        <v>6167</v>
      </c>
      <c r="L3595" s="7" t="s">
        <v>1708</v>
      </c>
      <c r="M3595" s="8" t="s">
        <v>3195</v>
      </c>
      <c r="N3595" s="3" t="s">
        <v>1890</v>
      </c>
      <c r="O3595" s="8" t="s">
        <v>1935</v>
      </c>
      <c r="P3595" s="95">
        <v>625</v>
      </c>
      <c r="Q3595" s="4" t="s">
        <v>5192</v>
      </c>
      <c r="R3595" s="10">
        <v>1</v>
      </c>
      <c r="S3595" s="10">
        <v>5357.1427999999996</v>
      </c>
      <c r="T3595" s="10">
        <f t="shared" si="2280"/>
        <v>5357.1427999999996</v>
      </c>
      <c r="U3595" s="10">
        <f t="shared" si="2281"/>
        <v>5999.9999360000002</v>
      </c>
      <c r="V3595" s="94"/>
      <c r="W3595" s="11">
        <v>2015</v>
      </c>
      <c r="X3595" s="8"/>
      <c r="Y3595" s="21"/>
    </row>
    <row r="3596" spans="1:25" s="61" customFormat="1" ht="76.5" customHeight="1" outlineLevel="1" x14ac:dyDescent="0.2">
      <c r="A3596" s="1" t="s">
        <v>8714</v>
      </c>
      <c r="B3596" s="24" t="s">
        <v>5277</v>
      </c>
      <c r="C3596" s="22" t="s">
        <v>8723</v>
      </c>
      <c r="D3596" s="6" t="s">
        <v>5192</v>
      </c>
      <c r="E3596" s="1" t="s">
        <v>8724</v>
      </c>
      <c r="F3596" s="22" t="s">
        <v>8727</v>
      </c>
      <c r="G3596" s="4" t="s">
        <v>3190</v>
      </c>
      <c r="H3596" s="5">
        <v>0</v>
      </c>
      <c r="I3596" s="6">
        <v>710000000</v>
      </c>
      <c r="J3596" s="4" t="s">
        <v>1931</v>
      </c>
      <c r="K3596" s="88" t="s">
        <v>6167</v>
      </c>
      <c r="L3596" s="7" t="s">
        <v>1708</v>
      </c>
      <c r="M3596" s="8" t="s">
        <v>3195</v>
      </c>
      <c r="N3596" s="3" t="s">
        <v>1890</v>
      </c>
      <c r="O3596" s="8" t="s">
        <v>1935</v>
      </c>
      <c r="P3596" s="95">
        <v>625</v>
      </c>
      <c r="Q3596" s="4" t="s">
        <v>5192</v>
      </c>
      <c r="R3596" s="10">
        <v>1</v>
      </c>
      <c r="S3596" s="10">
        <v>3571.4279999999999</v>
      </c>
      <c r="T3596" s="10">
        <f t="shared" si="2280"/>
        <v>3571.4279999999999</v>
      </c>
      <c r="U3596" s="10">
        <f t="shared" si="2281"/>
        <v>3999.9993600000003</v>
      </c>
      <c r="V3596" s="94"/>
      <c r="W3596" s="11">
        <v>2015</v>
      </c>
      <c r="X3596" s="8"/>
      <c r="Y3596" s="21"/>
    </row>
    <row r="3597" spans="1:25" s="13" customFormat="1" ht="76.5" customHeight="1" outlineLevel="1" x14ac:dyDescent="0.2">
      <c r="A3597" s="1" t="s">
        <v>8715</v>
      </c>
      <c r="B3597" s="38" t="s">
        <v>5277</v>
      </c>
      <c r="C3597" s="22" t="s">
        <v>3150</v>
      </c>
      <c r="D3597" s="2" t="s">
        <v>5518</v>
      </c>
      <c r="E3597" s="6" t="s">
        <v>5519</v>
      </c>
      <c r="F3597" s="39"/>
      <c r="G3597" s="4" t="s">
        <v>3190</v>
      </c>
      <c r="H3597" s="5">
        <v>0</v>
      </c>
      <c r="I3597" s="6">
        <v>710000000</v>
      </c>
      <c r="J3597" s="4" t="s">
        <v>1931</v>
      </c>
      <c r="K3597" s="88" t="s">
        <v>6167</v>
      </c>
      <c r="L3597" s="7" t="s">
        <v>1708</v>
      </c>
      <c r="M3597" s="8" t="s">
        <v>3195</v>
      </c>
      <c r="N3597" s="3" t="s">
        <v>1890</v>
      </c>
      <c r="O3597" s="8" t="s">
        <v>1935</v>
      </c>
      <c r="P3597" s="8">
        <v>796</v>
      </c>
      <c r="Q3597" s="8" t="s">
        <v>3196</v>
      </c>
      <c r="R3597" s="9">
        <v>25</v>
      </c>
      <c r="S3597" s="9">
        <v>223.21428</v>
      </c>
      <c r="T3597" s="10">
        <f t="shared" ref="T3597:T3599" si="2282">S3597*R3597</f>
        <v>5580.357</v>
      </c>
      <c r="U3597" s="10">
        <f t="shared" ref="U3597:U3629" si="2283">T3597*1.12</f>
        <v>6249.9998400000004</v>
      </c>
      <c r="V3597" s="7"/>
      <c r="W3597" s="11">
        <v>2015</v>
      </c>
      <c r="X3597" s="12"/>
    </row>
    <row r="3598" spans="1:25" s="61" customFormat="1" ht="76.5" customHeight="1" outlineLevel="1" x14ac:dyDescent="0.2">
      <c r="A3598" s="1" t="s">
        <v>8716</v>
      </c>
      <c r="B3598" s="24" t="s">
        <v>5277</v>
      </c>
      <c r="C3598" s="22" t="s">
        <v>8728</v>
      </c>
      <c r="D3598" s="22" t="s">
        <v>3891</v>
      </c>
      <c r="E3598" s="22" t="s">
        <v>8729</v>
      </c>
      <c r="F3598" s="22"/>
      <c r="G3598" s="4" t="s">
        <v>3190</v>
      </c>
      <c r="H3598" s="5">
        <v>0</v>
      </c>
      <c r="I3598" s="6">
        <v>710000000</v>
      </c>
      <c r="J3598" s="4" t="s">
        <v>1931</v>
      </c>
      <c r="K3598" s="88" t="s">
        <v>6167</v>
      </c>
      <c r="L3598" s="7" t="s">
        <v>1708</v>
      </c>
      <c r="M3598" s="8" t="s">
        <v>3195</v>
      </c>
      <c r="N3598" s="3" t="s">
        <v>1890</v>
      </c>
      <c r="O3598" s="8" t="s">
        <v>1935</v>
      </c>
      <c r="P3598" s="1">
        <v>736</v>
      </c>
      <c r="Q3598" s="4" t="s">
        <v>5475</v>
      </c>
      <c r="R3598" s="10">
        <v>0.3</v>
      </c>
      <c r="S3598" s="10">
        <v>26785.71</v>
      </c>
      <c r="T3598" s="10">
        <f t="shared" si="2282"/>
        <v>8035.7129999999997</v>
      </c>
      <c r="U3598" s="10">
        <f t="shared" si="2283"/>
        <v>8999.99856</v>
      </c>
      <c r="V3598" s="94"/>
      <c r="W3598" s="11">
        <v>2015</v>
      </c>
      <c r="X3598" s="8"/>
      <c r="Y3598" s="21"/>
    </row>
    <row r="3599" spans="1:25" s="61" customFormat="1" ht="76.5" customHeight="1" outlineLevel="1" x14ac:dyDescent="0.2">
      <c r="A3599" s="1" t="s">
        <v>8717</v>
      </c>
      <c r="B3599" s="24" t="s">
        <v>5277</v>
      </c>
      <c r="C3599" s="22" t="s">
        <v>8730</v>
      </c>
      <c r="D3599" s="22" t="s">
        <v>3328</v>
      </c>
      <c r="E3599" s="22" t="s">
        <v>8731</v>
      </c>
      <c r="F3599" s="22" t="s">
        <v>8732</v>
      </c>
      <c r="G3599" s="4" t="s">
        <v>3190</v>
      </c>
      <c r="H3599" s="5">
        <v>0</v>
      </c>
      <c r="I3599" s="6">
        <v>710000000</v>
      </c>
      <c r="J3599" s="4" t="s">
        <v>1931</v>
      </c>
      <c r="K3599" s="88" t="s">
        <v>6167</v>
      </c>
      <c r="L3599" s="7" t="s">
        <v>1708</v>
      </c>
      <c r="M3599" s="8" t="s">
        <v>3195</v>
      </c>
      <c r="N3599" s="3" t="s">
        <v>1890</v>
      </c>
      <c r="O3599" s="8" t="s">
        <v>1935</v>
      </c>
      <c r="P3599" s="1">
        <v>796</v>
      </c>
      <c r="Q3599" s="8" t="s">
        <v>3196</v>
      </c>
      <c r="R3599" s="10">
        <v>400</v>
      </c>
      <c r="S3599" s="10">
        <v>6.25</v>
      </c>
      <c r="T3599" s="10">
        <f t="shared" si="2282"/>
        <v>2500</v>
      </c>
      <c r="U3599" s="10">
        <f t="shared" si="2283"/>
        <v>2800.0000000000005</v>
      </c>
      <c r="V3599" s="94"/>
      <c r="W3599" s="11">
        <v>2015</v>
      </c>
      <c r="X3599" s="8"/>
      <c r="Y3599" s="21"/>
    </row>
    <row r="3600" spans="1:25" s="13" customFormat="1" ht="312.75" customHeight="1" outlineLevel="1" x14ac:dyDescent="0.2">
      <c r="A3600" s="1" t="s">
        <v>8733</v>
      </c>
      <c r="B3600" s="38" t="s">
        <v>5277</v>
      </c>
      <c r="C3600" s="6" t="s">
        <v>8378</v>
      </c>
      <c r="D3600" s="6" t="s">
        <v>8379</v>
      </c>
      <c r="E3600" s="6" t="s">
        <v>8380</v>
      </c>
      <c r="F3600" s="132" t="s">
        <v>8381</v>
      </c>
      <c r="G3600" s="50" t="s">
        <v>3190</v>
      </c>
      <c r="H3600" s="5">
        <v>0</v>
      </c>
      <c r="I3600" s="6">
        <v>710000000</v>
      </c>
      <c r="J3600" s="4" t="s">
        <v>1931</v>
      </c>
      <c r="K3600" s="88" t="s">
        <v>6167</v>
      </c>
      <c r="L3600" s="7" t="s">
        <v>7579</v>
      </c>
      <c r="M3600" s="8" t="s">
        <v>3195</v>
      </c>
      <c r="N3600" s="3" t="s">
        <v>1890</v>
      </c>
      <c r="O3600" s="8" t="s">
        <v>1935</v>
      </c>
      <c r="P3600" s="8">
        <v>796</v>
      </c>
      <c r="Q3600" s="8" t="s">
        <v>3196</v>
      </c>
      <c r="R3600" s="9">
        <v>1</v>
      </c>
      <c r="S3600" s="9">
        <v>49000</v>
      </c>
      <c r="T3600" s="10">
        <v>0</v>
      </c>
      <c r="U3600" s="10">
        <f t="shared" si="2283"/>
        <v>0</v>
      </c>
      <c r="V3600" s="7"/>
      <c r="W3600" s="11">
        <v>2015</v>
      </c>
      <c r="X3600" s="12" t="s">
        <v>7597</v>
      </c>
      <c r="Y3600" s="21"/>
    </row>
    <row r="3601" spans="1:25" s="13" customFormat="1" ht="312.75" customHeight="1" outlineLevel="1" x14ac:dyDescent="0.2">
      <c r="A3601" s="1" t="s">
        <v>9474</v>
      </c>
      <c r="B3601" s="38" t="s">
        <v>5277</v>
      </c>
      <c r="C3601" s="6" t="s">
        <v>8378</v>
      </c>
      <c r="D3601" s="6" t="s">
        <v>8379</v>
      </c>
      <c r="E3601" s="6" t="s">
        <v>8380</v>
      </c>
      <c r="F3601" s="132" t="s">
        <v>8381</v>
      </c>
      <c r="G3601" s="50" t="s">
        <v>3190</v>
      </c>
      <c r="H3601" s="5">
        <v>0</v>
      </c>
      <c r="I3601" s="6">
        <v>710000000</v>
      </c>
      <c r="J3601" s="4" t="s">
        <v>1931</v>
      </c>
      <c r="K3601" s="88" t="s">
        <v>9300</v>
      </c>
      <c r="L3601" s="7" t="s">
        <v>7579</v>
      </c>
      <c r="M3601" s="8" t="s">
        <v>3195</v>
      </c>
      <c r="N3601" s="3" t="s">
        <v>1890</v>
      </c>
      <c r="O3601" s="8" t="s">
        <v>1935</v>
      </c>
      <c r="P3601" s="8">
        <v>796</v>
      </c>
      <c r="Q3601" s="8" t="s">
        <v>3196</v>
      </c>
      <c r="R3601" s="9">
        <v>1</v>
      </c>
      <c r="S3601" s="9">
        <f>49000+9920</f>
        <v>58920</v>
      </c>
      <c r="T3601" s="10">
        <f t="shared" ref="T3601" si="2284">S3601*R3601</f>
        <v>58920</v>
      </c>
      <c r="U3601" s="10">
        <f t="shared" ref="U3601" si="2285">T3601*1.12</f>
        <v>65990.400000000009</v>
      </c>
      <c r="V3601" s="7"/>
      <c r="W3601" s="11">
        <v>2015</v>
      </c>
      <c r="X3601" s="12"/>
      <c r="Y3601" s="21"/>
    </row>
    <row r="3602" spans="1:25" s="223" customFormat="1" ht="76.5" outlineLevel="1" x14ac:dyDescent="0.2">
      <c r="A3602" s="1" t="s">
        <v>8801</v>
      </c>
      <c r="B3602" s="38" t="s">
        <v>5277</v>
      </c>
      <c r="C3602" s="6" t="s">
        <v>1206</v>
      </c>
      <c r="D3602" s="6" t="s">
        <v>1205</v>
      </c>
      <c r="E3602" s="6" t="s">
        <v>1204</v>
      </c>
      <c r="F3602" s="6"/>
      <c r="G3602" s="50" t="s">
        <v>3190</v>
      </c>
      <c r="H3602" s="5">
        <v>0</v>
      </c>
      <c r="I3602" s="6">
        <v>710000000</v>
      </c>
      <c r="J3602" s="4" t="s">
        <v>1931</v>
      </c>
      <c r="K3602" s="88" t="s">
        <v>6167</v>
      </c>
      <c r="L3602" s="7" t="s">
        <v>7579</v>
      </c>
      <c r="M3602" s="8" t="s">
        <v>3195</v>
      </c>
      <c r="N3602" s="3" t="s">
        <v>1890</v>
      </c>
      <c r="O3602" s="8" t="s">
        <v>1935</v>
      </c>
      <c r="P3602" s="8">
        <v>796</v>
      </c>
      <c r="Q3602" s="8" t="s">
        <v>3196</v>
      </c>
      <c r="R3602" s="9">
        <v>2</v>
      </c>
      <c r="S3602" s="9">
        <v>4098.2139999999999</v>
      </c>
      <c r="T3602" s="10">
        <v>0</v>
      </c>
      <c r="U3602" s="10">
        <f t="shared" si="2283"/>
        <v>0</v>
      </c>
      <c r="V3602" s="7"/>
      <c r="W3602" s="11">
        <v>2015</v>
      </c>
      <c r="X3602" s="12">
        <v>11</v>
      </c>
      <c r="Y3602" s="28"/>
    </row>
    <row r="3603" spans="1:25" s="223" customFormat="1" ht="76.5" outlineLevel="1" x14ac:dyDescent="0.2">
      <c r="A3603" s="1" t="s">
        <v>9312</v>
      </c>
      <c r="B3603" s="38" t="s">
        <v>5277</v>
      </c>
      <c r="C3603" s="6" t="s">
        <v>1206</v>
      </c>
      <c r="D3603" s="6" t="s">
        <v>1205</v>
      </c>
      <c r="E3603" s="6" t="s">
        <v>1204</v>
      </c>
      <c r="F3603" s="6"/>
      <c r="G3603" s="50" t="s">
        <v>3190</v>
      </c>
      <c r="H3603" s="5">
        <v>0</v>
      </c>
      <c r="I3603" s="6">
        <v>710000000</v>
      </c>
      <c r="J3603" s="4" t="s">
        <v>1931</v>
      </c>
      <c r="K3603" s="88" t="s">
        <v>9300</v>
      </c>
      <c r="L3603" s="7" t="s">
        <v>7579</v>
      </c>
      <c r="M3603" s="8" t="s">
        <v>3195</v>
      </c>
      <c r="N3603" s="3" t="s">
        <v>1890</v>
      </c>
      <c r="O3603" s="8" t="s">
        <v>1935</v>
      </c>
      <c r="P3603" s="8">
        <v>796</v>
      </c>
      <c r="Q3603" s="8" t="s">
        <v>3196</v>
      </c>
      <c r="R3603" s="9">
        <v>2</v>
      </c>
      <c r="S3603" s="9">
        <v>4098.2139999999999</v>
      </c>
      <c r="T3603" s="10">
        <f>R3603*S3603</f>
        <v>8196.4279999999999</v>
      </c>
      <c r="U3603" s="10">
        <f t="shared" ref="U3603" si="2286">T3603*1.12</f>
        <v>9179.9993600000016</v>
      </c>
      <c r="V3603" s="7"/>
      <c r="W3603" s="11">
        <v>2015</v>
      </c>
      <c r="X3603" s="12"/>
      <c r="Y3603" s="28"/>
    </row>
    <row r="3604" spans="1:25" s="61" customFormat="1" ht="76.5" customHeight="1" outlineLevel="1" x14ac:dyDescent="0.2">
      <c r="A3604" s="1" t="s">
        <v>8802</v>
      </c>
      <c r="B3604" s="16" t="s">
        <v>5277</v>
      </c>
      <c r="C3604" s="22" t="s">
        <v>8187</v>
      </c>
      <c r="D3604" s="22" t="s">
        <v>8741</v>
      </c>
      <c r="E3604" s="22" t="s">
        <v>8189</v>
      </c>
      <c r="F3604" s="22" t="s">
        <v>8742</v>
      </c>
      <c r="G3604" s="1" t="s">
        <v>3187</v>
      </c>
      <c r="H3604" s="17">
        <v>0.3</v>
      </c>
      <c r="I3604" s="18">
        <v>710000000</v>
      </c>
      <c r="J3604" s="4" t="s">
        <v>1931</v>
      </c>
      <c r="K3604" s="88" t="s">
        <v>6167</v>
      </c>
      <c r="L3604" s="7" t="s">
        <v>1708</v>
      </c>
      <c r="M3604" s="8" t="s">
        <v>3195</v>
      </c>
      <c r="N3604" s="8" t="s">
        <v>7635</v>
      </c>
      <c r="O3604" s="8" t="s">
        <v>2146</v>
      </c>
      <c r="P3604" s="1">
        <v>796</v>
      </c>
      <c r="Q3604" s="4" t="s">
        <v>3196</v>
      </c>
      <c r="R3604" s="10">
        <v>2</v>
      </c>
      <c r="S3604" s="10">
        <v>53700</v>
      </c>
      <c r="T3604" s="10">
        <f t="shared" ref="T3604" si="2287">R3604*S3604</f>
        <v>107400</v>
      </c>
      <c r="U3604" s="10">
        <f t="shared" si="2283"/>
        <v>120288.00000000001</v>
      </c>
      <c r="V3604" s="8" t="s">
        <v>3027</v>
      </c>
      <c r="W3604" s="1">
        <v>2015</v>
      </c>
      <c r="X3604" s="8"/>
      <c r="Y3604" s="21"/>
    </row>
    <row r="3605" spans="1:25" s="61" customFormat="1" ht="89.25" customHeight="1" outlineLevel="1" x14ac:dyDescent="0.2">
      <c r="A3605" s="1" t="s">
        <v>8839</v>
      </c>
      <c r="B3605" s="38" t="s">
        <v>5277</v>
      </c>
      <c r="C3605" s="7" t="s">
        <v>3102</v>
      </c>
      <c r="D3605" s="7" t="s">
        <v>5578</v>
      </c>
      <c r="E3605" s="18" t="s">
        <v>5579</v>
      </c>
      <c r="F3605" s="25" t="s">
        <v>8838</v>
      </c>
      <c r="G3605" s="4" t="s">
        <v>3190</v>
      </c>
      <c r="H3605" s="5">
        <v>0.5</v>
      </c>
      <c r="I3605" s="6">
        <v>710000000</v>
      </c>
      <c r="J3605" s="4" t="s">
        <v>1931</v>
      </c>
      <c r="K3605" s="1" t="s">
        <v>6167</v>
      </c>
      <c r="L3605" s="53" t="s">
        <v>1940</v>
      </c>
      <c r="M3605" s="8" t="s">
        <v>3195</v>
      </c>
      <c r="N3605" s="3" t="s">
        <v>1890</v>
      </c>
      <c r="O3605" s="8" t="s">
        <v>2146</v>
      </c>
      <c r="P3605" s="8">
        <v>868</v>
      </c>
      <c r="Q3605" s="8" t="s">
        <v>5521</v>
      </c>
      <c r="R3605" s="9">
        <v>1406</v>
      </c>
      <c r="S3605" s="9">
        <v>292.67</v>
      </c>
      <c r="T3605" s="10">
        <f t="shared" ref="T3605:T3629" si="2288">S3605*R3605</f>
        <v>411494.02</v>
      </c>
      <c r="U3605" s="10">
        <f t="shared" si="2283"/>
        <v>460873.30240000004</v>
      </c>
      <c r="V3605" s="7" t="s">
        <v>3027</v>
      </c>
      <c r="W3605" s="11">
        <v>2015</v>
      </c>
      <c r="X3605" s="12"/>
      <c r="Y3605" s="21"/>
    </row>
    <row r="3606" spans="1:25" s="61" customFormat="1" ht="76.5" customHeight="1" outlineLevel="1" x14ac:dyDescent="0.2">
      <c r="A3606" s="1" t="s">
        <v>8842</v>
      </c>
      <c r="B3606" s="38" t="s">
        <v>5277</v>
      </c>
      <c r="C3606" s="7" t="s">
        <v>8840</v>
      </c>
      <c r="D3606" s="7" t="s">
        <v>5580</v>
      </c>
      <c r="E3606" s="18" t="s">
        <v>5581</v>
      </c>
      <c r="F3606" s="25" t="s">
        <v>8841</v>
      </c>
      <c r="G3606" s="4" t="s">
        <v>3190</v>
      </c>
      <c r="H3606" s="5">
        <v>0.5</v>
      </c>
      <c r="I3606" s="6">
        <v>710000000</v>
      </c>
      <c r="J3606" s="4" t="s">
        <v>1931</v>
      </c>
      <c r="K3606" s="1" t="s">
        <v>6167</v>
      </c>
      <c r="L3606" s="53" t="s">
        <v>1940</v>
      </c>
      <c r="M3606" s="8" t="s">
        <v>3195</v>
      </c>
      <c r="N3606" s="3" t="s">
        <v>1890</v>
      </c>
      <c r="O3606" s="8" t="s">
        <v>2146</v>
      </c>
      <c r="P3606" s="8">
        <v>868</v>
      </c>
      <c r="Q3606" s="8" t="s">
        <v>5521</v>
      </c>
      <c r="R3606" s="9">
        <v>712</v>
      </c>
      <c r="S3606" s="9">
        <v>296.25</v>
      </c>
      <c r="T3606" s="10">
        <f t="shared" si="2288"/>
        <v>210930</v>
      </c>
      <c r="U3606" s="10">
        <f t="shared" si="2283"/>
        <v>236241.60000000003</v>
      </c>
      <c r="V3606" s="7" t="s">
        <v>3027</v>
      </c>
      <c r="W3606" s="11">
        <v>2015</v>
      </c>
      <c r="X3606" s="12"/>
      <c r="Y3606" s="21"/>
    </row>
    <row r="3607" spans="1:25" s="61" customFormat="1" ht="114.75" customHeight="1" outlineLevel="1" x14ac:dyDescent="0.2">
      <c r="A3607" s="1" t="s">
        <v>8844</v>
      </c>
      <c r="B3607" s="38" t="s">
        <v>5277</v>
      </c>
      <c r="C3607" s="7" t="s">
        <v>8840</v>
      </c>
      <c r="D3607" s="7" t="s">
        <v>5580</v>
      </c>
      <c r="E3607" s="18" t="s">
        <v>5581</v>
      </c>
      <c r="F3607" s="25" t="s">
        <v>8843</v>
      </c>
      <c r="G3607" s="4" t="s">
        <v>3190</v>
      </c>
      <c r="H3607" s="5">
        <v>0.5</v>
      </c>
      <c r="I3607" s="6">
        <v>710000000</v>
      </c>
      <c r="J3607" s="4" t="s">
        <v>1931</v>
      </c>
      <c r="K3607" s="1" t="s">
        <v>6167</v>
      </c>
      <c r="L3607" s="53" t="s">
        <v>1940</v>
      </c>
      <c r="M3607" s="8" t="s">
        <v>3195</v>
      </c>
      <c r="N3607" s="3" t="s">
        <v>1890</v>
      </c>
      <c r="O3607" s="8" t="s">
        <v>2146</v>
      </c>
      <c r="P3607" s="8">
        <v>868</v>
      </c>
      <c r="Q3607" s="8" t="s">
        <v>5521</v>
      </c>
      <c r="R3607" s="9">
        <v>1569</v>
      </c>
      <c r="S3607" s="9">
        <v>353.5</v>
      </c>
      <c r="T3607" s="10">
        <f t="shared" si="2288"/>
        <v>554641.5</v>
      </c>
      <c r="U3607" s="10">
        <f t="shared" si="2283"/>
        <v>621198.4800000001</v>
      </c>
      <c r="V3607" s="7" t="s">
        <v>3027</v>
      </c>
      <c r="W3607" s="11">
        <v>2015</v>
      </c>
      <c r="X3607" s="12"/>
      <c r="Y3607" s="21"/>
    </row>
    <row r="3608" spans="1:25" s="61" customFormat="1" ht="153" customHeight="1" outlineLevel="1" x14ac:dyDescent="0.2">
      <c r="A3608" s="1" t="s">
        <v>8846</v>
      </c>
      <c r="B3608" s="38" t="s">
        <v>5277</v>
      </c>
      <c r="C3608" s="7" t="s">
        <v>3112</v>
      </c>
      <c r="D3608" s="7" t="s">
        <v>5585</v>
      </c>
      <c r="E3608" s="18" t="s">
        <v>5586</v>
      </c>
      <c r="F3608" s="25" t="s">
        <v>8845</v>
      </c>
      <c r="G3608" s="4" t="s">
        <v>3190</v>
      </c>
      <c r="H3608" s="5">
        <v>0.5</v>
      </c>
      <c r="I3608" s="6">
        <v>710000000</v>
      </c>
      <c r="J3608" s="4" t="s">
        <v>1931</v>
      </c>
      <c r="K3608" s="1" t="s">
        <v>6167</v>
      </c>
      <c r="L3608" s="53" t="s">
        <v>1940</v>
      </c>
      <c r="M3608" s="8" t="s">
        <v>3195</v>
      </c>
      <c r="N3608" s="3" t="s">
        <v>1890</v>
      </c>
      <c r="O3608" s="8" t="s">
        <v>2146</v>
      </c>
      <c r="P3608" s="8">
        <v>868</v>
      </c>
      <c r="Q3608" s="8" t="s">
        <v>5521</v>
      </c>
      <c r="R3608" s="9">
        <v>1831</v>
      </c>
      <c r="S3608" s="9">
        <v>296.18</v>
      </c>
      <c r="T3608" s="10">
        <f t="shared" si="2288"/>
        <v>542305.57999999996</v>
      </c>
      <c r="U3608" s="10">
        <f t="shared" si="2283"/>
        <v>607382.24959999998</v>
      </c>
      <c r="V3608" s="7" t="s">
        <v>3027</v>
      </c>
      <c r="W3608" s="11">
        <v>2015</v>
      </c>
      <c r="X3608" s="12"/>
      <c r="Y3608" s="21"/>
    </row>
    <row r="3609" spans="1:25" s="61" customFormat="1" ht="76.5" customHeight="1" outlineLevel="1" x14ac:dyDescent="0.2">
      <c r="A3609" s="1" t="s">
        <v>8848</v>
      </c>
      <c r="B3609" s="38" t="s">
        <v>5277</v>
      </c>
      <c r="C3609" s="25" t="s">
        <v>3109</v>
      </c>
      <c r="D3609" s="25" t="s">
        <v>5598</v>
      </c>
      <c r="E3609" s="25" t="s">
        <v>2364</v>
      </c>
      <c r="F3609" s="25" t="s">
        <v>8847</v>
      </c>
      <c r="G3609" s="4" t="s">
        <v>3190</v>
      </c>
      <c r="H3609" s="5">
        <v>0.5</v>
      </c>
      <c r="I3609" s="6">
        <v>710000000</v>
      </c>
      <c r="J3609" s="4" t="s">
        <v>1931</v>
      </c>
      <c r="K3609" s="1" t="s">
        <v>6167</v>
      </c>
      <c r="L3609" s="53" t="s">
        <v>1940</v>
      </c>
      <c r="M3609" s="8" t="s">
        <v>3195</v>
      </c>
      <c r="N3609" s="3" t="s">
        <v>1890</v>
      </c>
      <c r="O3609" s="8" t="s">
        <v>2146</v>
      </c>
      <c r="P3609" s="8">
        <v>796</v>
      </c>
      <c r="Q3609" s="8" t="s">
        <v>3196</v>
      </c>
      <c r="R3609" s="9">
        <v>2369</v>
      </c>
      <c r="S3609" s="9">
        <v>44.42</v>
      </c>
      <c r="T3609" s="10">
        <f t="shared" si="2288"/>
        <v>105230.98000000001</v>
      </c>
      <c r="U3609" s="10">
        <f t="shared" si="2283"/>
        <v>117858.69760000003</v>
      </c>
      <c r="V3609" s="7" t="s">
        <v>3027</v>
      </c>
      <c r="W3609" s="11">
        <v>2015</v>
      </c>
      <c r="X3609" s="12"/>
      <c r="Y3609" s="21"/>
    </row>
    <row r="3610" spans="1:25" s="61" customFormat="1" ht="204" customHeight="1" outlineLevel="1" x14ac:dyDescent="0.2">
      <c r="A3610" s="1" t="s">
        <v>8850</v>
      </c>
      <c r="B3610" s="38" t="s">
        <v>5277</v>
      </c>
      <c r="C3610" s="7" t="s">
        <v>3114</v>
      </c>
      <c r="D3610" s="7" t="s">
        <v>5594</v>
      </c>
      <c r="E3610" s="18" t="s">
        <v>5597</v>
      </c>
      <c r="F3610" s="25" t="s">
        <v>8849</v>
      </c>
      <c r="G3610" s="4" t="s">
        <v>3190</v>
      </c>
      <c r="H3610" s="5">
        <v>0.5</v>
      </c>
      <c r="I3610" s="6">
        <v>710000000</v>
      </c>
      <c r="J3610" s="4" t="s">
        <v>1931</v>
      </c>
      <c r="K3610" s="1" t="s">
        <v>6167</v>
      </c>
      <c r="L3610" s="53" t="s">
        <v>1940</v>
      </c>
      <c r="M3610" s="8" t="s">
        <v>3195</v>
      </c>
      <c r="N3610" s="3" t="s">
        <v>1890</v>
      </c>
      <c r="O3610" s="8" t="s">
        <v>2146</v>
      </c>
      <c r="P3610" s="8">
        <v>796</v>
      </c>
      <c r="Q3610" s="8" t="s">
        <v>3196</v>
      </c>
      <c r="R3610" s="9">
        <v>832</v>
      </c>
      <c r="S3610" s="9">
        <v>253.5</v>
      </c>
      <c r="T3610" s="10">
        <f t="shared" si="2288"/>
        <v>210912</v>
      </c>
      <c r="U3610" s="10">
        <f t="shared" si="2283"/>
        <v>236221.44000000003</v>
      </c>
      <c r="V3610" s="7" t="s">
        <v>3027</v>
      </c>
      <c r="W3610" s="11">
        <v>2015</v>
      </c>
      <c r="X3610" s="12"/>
      <c r="Y3610" s="21"/>
    </row>
    <row r="3611" spans="1:25" s="61" customFormat="1" ht="102" customHeight="1" outlineLevel="1" x14ac:dyDescent="0.2">
      <c r="A3611" s="1" t="s">
        <v>8853</v>
      </c>
      <c r="B3611" s="38" t="s">
        <v>5277</v>
      </c>
      <c r="C3611" s="7" t="s">
        <v>8851</v>
      </c>
      <c r="D3611" s="7" t="s">
        <v>5594</v>
      </c>
      <c r="E3611" s="18" t="s">
        <v>5597</v>
      </c>
      <c r="F3611" s="25" t="s">
        <v>8852</v>
      </c>
      <c r="G3611" s="4" t="s">
        <v>3190</v>
      </c>
      <c r="H3611" s="5">
        <v>0.5</v>
      </c>
      <c r="I3611" s="6">
        <v>710000000</v>
      </c>
      <c r="J3611" s="4" t="s">
        <v>1931</v>
      </c>
      <c r="K3611" s="53" t="s">
        <v>6167</v>
      </c>
      <c r="L3611" s="53" t="s">
        <v>1940</v>
      </c>
      <c r="M3611" s="53" t="s">
        <v>3195</v>
      </c>
      <c r="N3611" s="53" t="s">
        <v>1890</v>
      </c>
      <c r="O3611" s="53" t="s">
        <v>2146</v>
      </c>
      <c r="P3611" s="8">
        <v>112</v>
      </c>
      <c r="Q3611" s="53" t="s">
        <v>3026</v>
      </c>
      <c r="R3611" s="9">
        <v>2299</v>
      </c>
      <c r="S3611" s="9">
        <v>201</v>
      </c>
      <c r="T3611" s="10">
        <f t="shared" si="2288"/>
        <v>462099</v>
      </c>
      <c r="U3611" s="10">
        <f t="shared" si="2283"/>
        <v>517550.88000000006</v>
      </c>
      <c r="V3611" s="7" t="s">
        <v>3027</v>
      </c>
      <c r="W3611" s="11">
        <v>2015</v>
      </c>
      <c r="X3611" s="12"/>
      <c r="Y3611" s="21"/>
    </row>
    <row r="3612" spans="1:25" s="61" customFormat="1" ht="153" customHeight="1" outlineLevel="1" x14ac:dyDescent="0.2">
      <c r="A3612" s="1" t="s">
        <v>8855</v>
      </c>
      <c r="B3612" s="38" t="s">
        <v>5277</v>
      </c>
      <c r="C3612" s="7" t="s">
        <v>3116</v>
      </c>
      <c r="D3612" s="7" t="s">
        <v>5604</v>
      </c>
      <c r="E3612" s="18" t="s">
        <v>5605</v>
      </c>
      <c r="F3612" s="25" t="s">
        <v>8854</v>
      </c>
      <c r="G3612" s="4" t="s">
        <v>3190</v>
      </c>
      <c r="H3612" s="5">
        <v>0.5</v>
      </c>
      <c r="I3612" s="6">
        <v>710000000</v>
      </c>
      <c r="J3612" s="4" t="s">
        <v>1931</v>
      </c>
      <c r="K3612" s="53" t="s">
        <v>6167</v>
      </c>
      <c r="L3612" s="53" t="s">
        <v>1940</v>
      </c>
      <c r="M3612" s="53" t="s">
        <v>3195</v>
      </c>
      <c r="N3612" s="53" t="s">
        <v>1890</v>
      </c>
      <c r="O3612" s="53" t="s">
        <v>2146</v>
      </c>
      <c r="P3612" s="8">
        <v>796</v>
      </c>
      <c r="Q3612" s="8" t="s">
        <v>3196</v>
      </c>
      <c r="R3612" s="9">
        <v>822</v>
      </c>
      <c r="S3612" s="9">
        <v>241.73</v>
      </c>
      <c r="T3612" s="10">
        <f t="shared" si="2288"/>
        <v>198702.06</v>
      </c>
      <c r="U3612" s="10">
        <f t="shared" si="2283"/>
        <v>222546.30720000001</v>
      </c>
      <c r="V3612" s="7" t="s">
        <v>3027</v>
      </c>
      <c r="W3612" s="11">
        <v>2015</v>
      </c>
      <c r="X3612" s="12"/>
      <c r="Y3612" s="21"/>
    </row>
    <row r="3613" spans="1:25" s="61" customFormat="1" ht="76.5" customHeight="1" outlineLevel="1" x14ac:dyDescent="0.2">
      <c r="A3613" s="1" t="s">
        <v>8857</v>
      </c>
      <c r="B3613" s="38" t="s">
        <v>5277</v>
      </c>
      <c r="C3613" s="25" t="s">
        <v>3121</v>
      </c>
      <c r="D3613" s="25" t="s">
        <v>5609</v>
      </c>
      <c r="E3613" s="25" t="s">
        <v>5669</v>
      </c>
      <c r="F3613" s="25" t="s">
        <v>8856</v>
      </c>
      <c r="G3613" s="4" t="s">
        <v>3190</v>
      </c>
      <c r="H3613" s="5">
        <v>0.5</v>
      </c>
      <c r="I3613" s="6">
        <v>710000000</v>
      </c>
      <c r="J3613" s="4" t="s">
        <v>1931</v>
      </c>
      <c r="K3613" s="53" t="s">
        <v>6167</v>
      </c>
      <c r="L3613" s="53" t="s">
        <v>1940</v>
      </c>
      <c r="M3613" s="53" t="s">
        <v>3195</v>
      </c>
      <c r="N3613" s="53" t="s">
        <v>1890</v>
      </c>
      <c r="O3613" s="53" t="s">
        <v>2146</v>
      </c>
      <c r="P3613" s="1">
        <v>736</v>
      </c>
      <c r="Q3613" s="4" t="s">
        <v>5475</v>
      </c>
      <c r="R3613" s="9">
        <v>47604</v>
      </c>
      <c r="S3613" s="9">
        <v>62.5</v>
      </c>
      <c r="T3613" s="10">
        <f t="shared" si="2288"/>
        <v>2975250</v>
      </c>
      <c r="U3613" s="10">
        <f t="shared" si="2283"/>
        <v>3332280.0000000005</v>
      </c>
      <c r="V3613" s="7" t="s">
        <v>3027</v>
      </c>
      <c r="W3613" s="11">
        <v>2015</v>
      </c>
      <c r="X3613" s="12"/>
      <c r="Y3613" s="21"/>
    </row>
    <row r="3614" spans="1:25" s="61" customFormat="1" ht="76.5" customHeight="1" outlineLevel="1" x14ac:dyDescent="0.2">
      <c r="A3614" s="1" t="s">
        <v>8859</v>
      </c>
      <c r="B3614" s="38" t="s">
        <v>5277</v>
      </c>
      <c r="C3614" s="7" t="s">
        <v>2359</v>
      </c>
      <c r="D3614" s="7" t="s">
        <v>5609</v>
      </c>
      <c r="E3614" s="18" t="s">
        <v>2360</v>
      </c>
      <c r="F3614" s="25" t="s">
        <v>8858</v>
      </c>
      <c r="G3614" s="4" t="s">
        <v>3190</v>
      </c>
      <c r="H3614" s="5">
        <v>0.5</v>
      </c>
      <c r="I3614" s="6">
        <v>710000000</v>
      </c>
      <c r="J3614" s="4" t="s">
        <v>1931</v>
      </c>
      <c r="K3614" s="53" t="s">
        <v>6167</v>
      </c>
      <c r="L3614" s="53" t="s">
        <v>1940</v>
      </c>
      <c r="M3614" s="53" t="s">
        <v>3195</v>
      </c>
      <c r="N3614" s="53" t="s">
        <v>1890</v>
      </c>
      <c r="O3614" s="53" t="s">
        <v>2146</v>
      </c>
      <c r="P3614" s="1">
        <v>736</v>
      </c>
      <c r="Q3614" s="4" t="s">
        <v>5475</v>
      </c>
      <c r="R3614" s="9">
        <v>7558</v>
      </c>
      <c r="S3614" s="9">
        <v>500</v>
      </c>
      <c r="T3614" s="10">
        <f t="shared" si="2288"/>
        <v>3779000</v>
      </c>
      <c r="U3614" s="10">
        <f t="shared" si="2283"/>
        <v>4232480</v>
      </c>
      <c r="V3614" s="7" t="s">
        <v>3027</v>
      </c>
      <c r="W3614" s="11">
        <v>2015</v>
      </c>
      <c r="X3614" s="12"/>
      <c r="Y3614" s="21"/>
    </row>
    <row r="3615" spans="1:25" s="61" customFormat="1" ht="76.5" customHeight="1" outlineLevel="1" x14ac:dyDescent="0.2">
      <c r="A3615" s="1" t="s">
        <v>8861</v>
      </c>
      <c r="B3615" s="38" t="s">
        <v>5277</v>
      </c>
      <c r="C3615" s="7" t="s">
        <v>3123</v>
      </c>
      <c r="D3615" s="7" t="s">
        <v>5610</v>
      </c>
      <c r="E3615" s="18" t="s">
        <v>5611</v>
      </c>
      <c r="F3615" s="25" t="s">
        <v>8860</v>
      </c>
      <c r="G3615" s="4" t="s">
        <v>3190</v>
      </c>
      <c r="H3615" s="5">
        <v>0.5</v>
      </c>
      <c r="I3615" s="6">
        <v>710000000</v>
      </c>
      <c r="J3615" s="4" t="s">
        <v>1931</v>
      </c>
      <c r="K3615" s="53" t="s">
        <v>6167</v>
      </c>
      <c r="L3615" s="53" t="s">
        <v>1940</v>
      </c>
      <c r="M3615" s="53" t="s">
        <v>3195</v>
      </c>
      <c r="N3615" s="53" t="s">
        <v>1890</v>
      </c>
      <c r="O3615" s="53" t="s">
        <v>2146</v>
      </c>
      <c r="P3615" s="1">
        <v>736</v>
      </c>
      <c r="Q3615" s="4" t="s">
        <v>5475</v>
      </c>
      <c r="R3615" s="9">
        <v>6254</v>
      </c>
      <c r="S3615" s="9">
        <v>1290</v>
      </c>
      <c r="T3615" s="10">
        <f t="shared" si="2288"/>
        <v>8067660</v>
      </c>
      <c r="U3615" s="10">
        <f t="shared" si="2283"/>
        <v>9035779.2000000011</v>
      </c>
      <c r="V3615" s="7" t="s">
        <v>3027</v>
      </c>
      <c r="W3615" s="11">
        <v>2015</v>
      </c>
      <c r="X3615" s="12"/>
      <c r="Y3615" s="21"/>
    </row>
    <row r="3616" spans="1:25" s="61" customFormat="1" ht="76.5" customHeight="1" outlineLevel="1" x14ac:dyDescent="0.2">
      <c r="A3616" s="1" t="s">
        <v>8863</v>
      </c>
      <c r="B3616" s="38" t="s">
        <v>5277</v>
      </c>
      <c r="C3616" s="7" t="s">
        <v>3130</v>
      </c>
      <c r="D3616" s="7" t="s">
        <v>5612</v>
      </c>
      <c r="E3616" s="18" t="s">
        <v>5613</v>
      </c>
      <c r="F3616" s="25" t="s">
        <v>8862</v>
      </c>
      <c r="G3616" s="4" t="s">
        <v>3190</v>
      </c>
      <c r="H3616" s="5">
        <v>0.5</v>
      </c>
      <c r="I3616" s="6">
        <v>710000000</v>
      </c>
      <c r="J3616" s="4" t="s">
        <v>1931</v>
      </c>
      <c r="K3616" s="53" t="s">
        <v>6167</v>
      </c>
      <c r="L3616" s="53" t="s">
        <v>1940</v>
      </c>
      <c r="M3616" s="53" t="s">
        <v>3195</v>
      </c>
      <c r="N3616" s="53" t="s">
        <v>1890</v>
      </c>
      <c r="O3616" s="53" t="s">
        <v>2146</v>
      </c>
      <c r="P3616" s="18">
        <v>5111</v>
      </c>
      <c r="Q3616" s="18" t="s">
        <v>5298</v>
      </c>
      <c r="R3616" s="9">
        <v>1900</v>
      </c>
      <c r="S3616" s="9">
        <v>349.11</v>
      </c>
      <c r="T3616" s="10">
        <f t="shared" si="2288"/>
        <v>663309</v>
      </c>
      <c r="U3616" s="10">
        <f t="shared" si="2283"/>
        <v>742906.08000000007</v>
      </c>
      <c r="V3616" s="7" t="s">
        <v>3027</v>
      </c>
      <c r="W3616" s="11">
        <v>2015</v>
      </c>
      <c r="X3616" s="12"/>
      <c r="Y3616" s="21"/>
    </row>
    <row r="3617" spans="1:25" s="61" customFormat="1" ht="76.5" customHeight="1" outlineLevel="1" x14ac:dyDescent="0.2">
      <c r="A3617" s="1" t="s">
        <v>8865</v>
      </c>
      <c r="B3617" s="38" t="s">
        <v>5277</v>
      </c>
      <c r="C3617" s="7" t="s">
        <v>3130</v>
      </c>
      <c r="D3617" s="7" t="s">
        <v>5612</v>
      </c>
      <c r="E3617" s="18" t="s">
        <v>5613</v>
      </c>
      <c r="F3617" s="25" t="s">
        <v>8864</v>
      </c>
      <c r="G3617" s="4" t="s">
        <v>3190</v>
      </c>
      <c r="H3617" s="5">
        <v>0.5</v>
      </c>
      <c r="I3617" s="6">
        <v>710000000</v>
      </c>
      <c r="J3617" s="4" t="s">
        <v>1931</v>
      </c>
      <c r="K3617" s="53" t="s">
        <v>6167</v>
      </c>
      <c r="L3617" s="53" t="s">
        <v>1940</v>
      </c>
      <c r="M3617" s="53" t="s">
        <v>3195</v>
      </c>
      <c r="N3617" s="53" t="s">
        <v>1890</v>
      </c>
      <c r="O3617" s="53" t="s">
        <v>2146</v>
      </c>
      <c r="P3617" s="18">
        <v>5111</v>
      </c>
      <c r="Q3617" s="18" t="s">
        <v>5298</v>
      </c>
      <c r="R3617" s="9">
        <v>3720</v>
      </c>
      <c r="S3617" s="10">
        <v>66.959999999999994</v>
      </c>
      <c r="T3617" s="10">
        <f t="shared" si="2288"/>
        <v>249091.19999999998</v>
      </c>
      <c r="U3617" s="10">
        <f t="shared" si="2283"/>
        <v>278982.14400000003</v>
      </c>
      <c r="V3617" s="7" t="s">
        <v>3027</v>
      </c>
      <c r="W3617" s="11">
        <v>2015</v>
      </c>
      <c r="X3617" s="12"/>
      <c r="Y3617" s="21"/>
    </row>
    <row r="3618" spans="1:25" s="61" customFormat="1" ht="76.5" customHeight="1" outlineLevel="1" x14ac:dyDescent="0.2">
      <c r="A3618" s="1" t="s">
        <v>8867</v>
      </c>
      <c r="B3618" s="38" t="s">
        <v>5277</v>
      </c>
      <c r="C3618" s="7" t="s">
        <v>3130</v>
      </c>
      <c r="D3618" s="7" t="s">
        <v>5612</v>
      </c>
      <c r="E3618" s="18" t="s">
        <v>5613</v>
      </c>
      <c r="F3618" s="25" t="s">
        <v>8866</v>
      </c>
      <c r="G3618" s="4" t="s">
        <v>3190</v>
      </c>
      <c r="H3618" s="5">
        <v>0.5</v>
      </c>
      <c r="I3618" s="6">
        <v>710000000</v>
      </c>
      <c r="J3618" s="4" t="s">
        <v>1931</v>
      </c>
      <c r="K3618" s="53" t="s">
        <v>6167</v>
      </c>
      <c r="L3618" s="53" t="s">
        <v>1940</v>
      </c>
      <c r="M3618" s="53" t="s">
        <v>3195</v>
      </c>
      <c r="N3618" s="53" t="s">
        <v>1890</v>
      </c>
      <c r="O3618" s="53" t="s">
        <v>2146</v>
      </c>
      <c r="P3618" s="18">
        <v>5111</v>
      </c>
      <c r="Q3618" s="18" t="s">
        <v>5298</v>
      </c>
      <c r="R3618" s="9">
        <v>2730</v>
      </c>
      <c r="S3618" s="10">
        <v>258</v>
      </c>
      <c r="T3618" s="10">
        <f t="shared" si="2288"/>
        <v>704340</v>
      </c>
      <c r="U3618" s="10">
        <f t="shared" si="2283"/>
        <v>788860.8</v>
      </c>
      <c r="V3618" s="7" t="s">
        <v>3027</v>
      </c>
      <c r="W3618" s="11">
        <v>2015</v>
      </c>
      <c r="X3618" s="12"/>
      <c r="Y3618" s="21"/>
    </row>
    <row r="3619" spans="1:25" s="61" customFormat="1" ht="76.5" customHeight="1" outlineLevel="1" x14ac:dyDescent="0.2">
      <c r="A3619" s="1" t="s">
        <v>8869</v>
      </c>
      <c r="B3619" s="38" t="s">
        <v>5277</v>
      </c>
      <c r="C3619" s="7" t="s">
        <v>3130</v>
      </c>
      <c r="D3619" s="7" t="s">
        <v>5612</v>
      </c>
      <c r="E3619" s="18" t="s">
        <v>5613</v>
      </c>
      <c r="F3619" s="25" t="s">
        <v>8868</v>
      </c>
      <c r="G3619" s="4" t="s">
        <v>3190</v>
      </c>
      <c r="H3619" s="5">
        <v>0.5</v>
      </c>
      <c r="I3619" s="6">
        <v>710000000</v>
      </c>
      <c r="J3619" s="4" t="s">
        <v>1931</v>
      </c>
      <c r="K3619" s="53" t="s">
        <v>6167</v>
      </c>
      <c r="L3619" s="53" t="s">
        <v>1940</v>
      </c>
      <c r="M3619" s="53" t="s">
        <v>3195</v>
      </c>
      <c r="N3619" s="53" t="s">
        <v>1890</v>
      </c>
      <c r="O3619" s="53" t="s">
        <v>2146</v>
      </c>
      <c r="P3619" s="18">
        <v>5111</v>
      </c>
      <c r="Q3619" s="18" t="s">
        <v>5298</v>
      </c>
      <c r="R3619" s="9">
        <v>2668</v>
      </c>
      <c r="S3619" s="10">
        <v>325</v>
      </c>
      <c r="T3619" s="10">
        <f t="shared" si="2288"/>
        <v>867100</v>
      </c>
      <c r="U3619" s="10">
        <f t="shared" si="2283"/>
        <v>971152.00000000012</v>
      </c>
      <c r="V3619" s="7" t="s">
        <v>3027</v>
      </c>
      <c r="W3619" s="11">
        <v>2015</v>
      </c>
      <c r="X3619" s="12"/>
      <c r="Y3619" s="21"/>
    </row>
    <row r="3620" spans="1:25" s="61" customFormat="1" ht="76.5" customHeight="1" outlineLevel="1" x14ac:dyDescent="0.2">
      <c r="A3620" s="1" t="s">
        <v>8871</v>
      </c>
      <c r="B3620" s="38" t="s">
        <v>5277</v>
      </c>
      <c r="C3620" s="7" t="s">
        <v>3123</v>
      </c>
      <c r="D3620" s="7" t="s">
        <v>5610</v>
      </c>
      <c r="E3620" s="18" t="s">
        <v>5611</v>
      </c>
      <c r="F3620" s="25" t="s">
        <v>8870</v>
      </c>
      <c r="G3620" s="4" t="s">
        <v>3190</v>
      </c>
      <c r="H3620" s="5">
        <v>0.5</v>
      </c>
      <c r="I3620" s="6">
        <v>710000000</v>
      </c>
      <c r="J3620" s="4" t="s">
        <v>1931</v>
      </c>
      <c r="K3620" s="53" t="s">
        <v>6167</v>
      </c>
      <c r="L3620" s="53" t="s">
        <v>1940</v>
      </c>
      <c r="M3620" s="53" t="s">
        <v>3195</v>
      </c>
      <c r="N3620" s="53" t="s">
        <v>1890</v>
      </c>
      <c r="O3620" s="53" t="s">
        <v>2146</v>
      </c>
      <c r="P3620" s="1">
        <v>778</v>
      </c>
      <c r="Q3620" s="53" t="s">
        <v>3327</v>
      </c>
      <c r="R3620" s="9">
        <v>3082</v>
      </c>
      <c r="S3620" s="10">
        <v>225</v>
      </c>
      <c r="T3620" s="10">
        <f t="shared" si="2288"/>
        <v>693450</v>
      </c>
      <c r="U3620" s="10">
        <f t="shared" si="2283"/>
        <v>776664.00000000012</v>
      </c>
      <c r="V3620" s="7" t="s">
        <v>3027</v>
      </c>
      <c r="W3620" s="11">
        <v>2015</v>
      </c>
      <c r="X3620" s="12"/>
      <c r="Y3620" s="21"/>
    </row>
    <row r="3621" spans="1:25" s="61" customFormat="1" ht="76.5" customHeight="1" outlineLevel="1" x14ac:dyDescent="0.2">
      <c r="A3621" s="1" t="s">
        <v>8873</v>
      </c>
      <c r="B3621" s="38" t="s">
        <v>5277</v>
      </c>
      <c r="C3621" s="7" t="s">
        <v>3125</v>
      </c>
      <c r="D3621" s="7" t="s">
        <v>5614</v>
      </c>
      <c r="E3621" s="18" t="s">
        <v>5615</v>
      </c>
      <c r="F3621" s="25" t="s">
        <v>8872</v>
      </c>
      <c r="G3621" s="4" t="s">
        <v>3190</v>
      </c>
      <c r="H3621" s="5">
        <v>0.5</v>
      </c>
      <c r="I3621" s="6">
        <v>710000000</v>
      </c>
      <c r="J3621" s="4" t="s">
        <v>1931</v>
      </c>
      <c r="K3621" s="53" t="s">
        <v>6167</v>
      </c>
      <c r="L3621" s="53" t="s">
        <v>1940</v>
      </c>
      <c r="M3621" s="53" t="s">
        <v>3195</v>
      </c>
      <c r="N3621" s="53" t="s">
        <v>1890</v>
      </c>
      <c r="O3621" s="53" t="s">
        <v>2146</v>
      </c>
      <c r="P3621" s="1">
        <v>736</v>
      </c>
      <c r="Q3621" s="4" t="s">
        <v>5475</v>
      </c>
      <c r="R3621" s="9">
        <v>12341</v>
      </c>
      <c r="S3621" s="9">
        <v>200.89</v>
      </c>
      <c r="T3621" s="10">
        <f t="shared" si="2288"/>
        <v>2479183.4899999998</v>
      </c>
      <c r="U3621" s="10">
        <f t="shared" si="2283"/>
        <v>2776685.5088</v>
      </c>
      <c r="V3621" s="7" t="s">
        <v>3027</v>
      </c>
      <c r="W3621" s="11">
        <v>2015</v>
      </c>
      <c r="X3621" s="12"/>
      <c r="Y3621" s="21"/>
    </row>
    <row r="3622" spans="1:25" s="61" customFormat="1" ht="76.5" customHeight="1" outlineLevel="1" x14ac:dyDescent="0.2">
      <c r="A3622" s="1" t="s">
        <v>8875</v>
      </c>
      <c r="B3622" s="38" t="s">
        <v>5277</v>
      </c>
      <c r="C3622" s="7" t="s">
        <v>3125</v>
      </c>
      <c r="D3622" s="7" t="s">
        <v>5614</v>
      </c>
      <c r="E3622" s="18" t="s">
        <v>5615</v>
      </c>
      <c r="F3622" s="25" t="s">
        <v>8874</v>
      </c>
      <c r="G3622" s="4" t="s">
        <v>3190</v>
      </c>
      <c r="H3622" s="5">
        <v>0.5</v>
      </c>
      <c r="I3622" s="6">
        <v>710000000</v>
      </c>
      <c r="J3622" s="4" t="s">
        <v>1931</v>
      </c>
      <c r="K3622" s="53" t="s">
        <v>6167</v>
      </c>
      <c r="L3622" s="53" t="s">
        <v>1940</v>
      </c>
      <c r="M3622" s="53" t="s">
        <v>3195</v>
      </c>
      <c r="N3622" s="53" t="s">
        <v>1890</v>
      </c>
      <c r="O3622" s="53" t="s">
        <v>2146</v>
      </c>
      <c r="P3622" s="1">
        <v>736</v>
      </c>
      <c r="Q3622" s="4" t="s">
        <v>5475</v>
      </c>
      <c r="R3622" s="9">
        <v>1985</v>
      </c>
      <c r="S3622" s="9">
        <v>286.61</v>
      </c>
      <c r="T3622" s="10">
        <f t="shared" si="2288"/>
        <v>568920.85</v>
      </c>
      <c r="U3622" s="10">
        <f t="shared" si="2283"/>
        <v>637191.35200000007</v>
      </c>
      <c r="V3622" s="7" t="s">
        <v>3027</v>
      </c>
      <c r="W3622" s="11">
        <v>2015</v>
      </c>
      <c r="X3622" s="12"/>
      <c r="Y3622" s="21"/>
    </row>
    <row r="3623" spans="1:25" s="61" customFormat="1" ht="76.5" customHeight="1" outlineLevel="1" x14ac:dyDescent="0.2">
      <c r="A3623" s="1" t="s">
        <v>8876</v>
      </c>
      <c r="B3623" s="38" t="s">
        <v>5277</v>
      </c>
      <c r="C3623" s="7" t="s">
        <v>3102</v>
      </c>
      <c r="D3623" s="7" t="s">
        <v>5578</v>
      </c>
      <c r="E3623" s="18" t="s">
        <v>5579</v>
      </c>
      <c r="F3623" s="25" t="s">
        <v>8841</v>
      </c>
      <c r="G3623" s="4" t="s">
        <v>3190</v>
      </c>
      <c r="H3623" s="5">
        <v>0.5</v>
      </c>
      <c r="I3623" s="6">
        <v>710000000</v>
      </c>
      <c r="J3623" s="4" t="s">
        <v>1931</v>
      </c>
      <c r="K3623" s="1" t="s">
        <v>6167</v>
      </c>
      <c r="L3623" s="4" t="s">
        <v>1889</v>
      </c>
      <c r="M3623" s="8" t="s">
        <v>3195</v>
      </c>
      <c r="N3623" s="3" t="s">
        <v>1890</v>
      </c>
      <c r="O3623" s="8" t="s">
        <v>2146</v>
      </c>
      <c r="P3623" s="8">
        <v>868</v>
      </c>
      <c r="Q3623" s="8" t="s">
        <v>5521</v>
      </c>
      <c r="R3623" s="9">
        <v>171</v>
      </c>
      <c r="S3623" s="9">
        <v>287.69</v>
      </c>
      <c r="T3623" s="10">
        <f t="shared" si="2288"/>
        <v>49194.99</v>
      </c>
      <c r="U3623" s="10">
        <f t="shared" si="2283"/>
        <v>55098.388800000001</v>
      </c>
      <c r="V3623" s="7" t="s">
        <v>3027</v>
      </c>
      <c r="W3623" s="11">
        <v>2015</v>
      </c>
      <c r="X3623" s="12"/>
      <c r="Y3623" s="21"/>
    </row>
    <row r="3624" spans="1:25" s="61" customFormat="1" ht="76.5" customHeight="1" outlineLevel="1" x14ac:dyDescent="0.2">
      <c r="A3624" s="1" t="s">
        <v>8877</v>
      </c>
      <c r="B3624" s="38" t="s">
        <v>5277</v>
      </c>
      <c r="C3624" s="7" t="s">
        <v>8840</v>
      </c>
      <c r="D3624" s="7" t="s">
        <v>5580</v>
      </c>
      <c r="E3624" s="18" t="s">
        <v>5581</v>
      </c>
      <c r="F3624" s="25" t="s">
        <v>8841</v>
      </c>
      <c r="G3624" s="4" t="s">
        <v>3190</v>
      </c>
      <c r="H3624" s="5">
        <v>0.5</v>
      </c>
      <c r="I3624" s="6">
        <v>710000000</v>
      </c>
      <c r="J3624" s="4" t="s">
        <v>1931</v>
      </c>
      <c r="K3624" s="1" t="s">
        <v>6167</v>
      </c>
      <c r="L3624" s="4" t="s">
        <v>1889</v>
      </c>
      <c r="M3624" s="8" t="s">
        <v>3195</v>
      </c>
      <c r="N3624" s="3" t="s">
        <v>1890</v>
      </c>
      <c r="O3624" s="8" t="s">
        <v>2146</v>
      </c>
      <c r="P3624" s="8">
        <v>868</v>
      </c>
      <c r="Q3624" s="8" t="s">
        <v>5521</v>
      </c>
      <c r="R3624" s="9">
        <v>330</v>
      </c>
      <c r="S3624" s="10">
        <v>298</v>
      </c>
      <c r="T3624" s="10">
        <f t="shared" si="2288"/>
        <v>98340</v>
      </c>
      <c r="U3624" s="10">
        <f t="shared" si="2283"/>
        <v>110140.80000000002</v>
      </c>
      <c r="V3624" s="7" t="s">
        <v>3027</v>
      </c>
      <c r="W3624" s="11">
        <v>2015</v>
      </c>
      <c r="X3624" s="12"/>
      <c r="Y3624" s="21"/>
    </row>
    <row r="3625" spans="1:25" s="61" customFormat="1" ht="76.5" customHeight="1" outlineLevel="1" x14ac:dyDescent="0.2">
      <c r="A3625" s="1" t="s">
        <v>8878</v>
      </c>
      <c r="B3625" s="38" t="s">
        <v>5277</v>
      </c>
      <c r="C3625" s="7" t="s">
        <v>3116</v>
      </c>
      <c r="D3625" s="7" t="s">
        <v>5604</v>
      </c>
      <c r="E3625" s="18" t="s">
        <v>5605</v>
      </c>
      <c r="F3625" s="25" t="s">
        <v>8841</v>
      </c>
      <c r="G3625" s="4" t="s">
        <v>3190</v>
      </c>
      <c r="H3625" s="5">
        <v>0.5</v>
      </c>
      <c r="I3625" s="6">
        <v>710000000</v>
      </c>
      <c r="J3625" s="4" t="s">
        <v>1931</v>
      </c>
      <c r="K3625" s="1" t="s">
        <v>6167</v>
      </c>
      <c r="L3625" s="4" t="s">
        <v>1889</v>
      </c>
      <c r="M3625" s="8" t="s">
        <v>3195</v>
      </c>
      <c r="N3625" s="3" t="s">
        <v>1890</v>
      </c>
      <c r="O3625" s="8" t="s">
        <v>2146</v>
      </c>
      <c r="P3625" s="8">
        <v>868</v>
      </c>
      <c r="Q3625" s="8" t="s">
        <v>5521</v>
      </c>
      <c r="R3625" s="9">
        <v>172</v>
      </c>
      <c r="S3625" s="10">
        <v>324</v>
      </c>
      <c r="T3625" s="10">
        <f t="shared" si="2288"/>
        <v>55728</v>
      </c>
      <c r="U3625" s="10">
        <f t="shared" si="2283"/>
        <v>62415.360000000008</v>
      </c>
      <c r="V3625" s="7" t="s">
        <v>3027</v>
      </c>
      <c r="W3625" s="11">
        <v>2015</v>
      </c>
      <c r="X3625" s="12"/>
      <c r="Y3625" s="21"/>
    </row>
    <row r="3626" spans="1:25" s="61" customFormat="1" ht="76.5" customHeight="1" outlineLevel="1" x14ac:dyDescent="0.2">
      <c r="A3626" s="1" t="s">
        <v>8881</v>
      </c>
      <c r="B3626" s="38" t="s">
        <v>5277</v>
      </c>
      <c r="C3626" s="7" t="s">
        <v>8879</v>
      </c>
      <c r="D3626" s="7" t="s">
        <v>5609</v>
      </c>
      <c r="E3626" s="18" t="s">
        <v>8880</v>
      </c>
      <c r="F3626" s="25"/>
      <c r="G3626" s="4" t="s">
        <v>3190</v>
      </c>
      <c r="H3626" s="5">
        <v>0.5</v>
      </c>
      <c r="I3626" s="6">
        <v>710000000</v>
      </c>
      <c r="J3626" s="4" t="s">
        <v>1931</v>
      </c>
      <c r="K3626" s="53" t="s">
        <v>6167</v>
      </c>
      <c r="L3626" s="4" t="s">
        <v>1889</v>
      </c>
      <c r="M3626" s="53" t="s">
        <v>3195</v>
      </c>
      <c r="N3626" s="53" t="s">
        <v>1890</v>
      </c>
      <c r="O3626" s="53" t="s">
        <v>2146</v>
      </c>
      <c r="P3626" s="1">
        <v>736</v>
      </c>
      <c r="Q3626" s="4" t="s">
        <v>5475</v>
      </c>
      <c r="R3626" s="9">
        <v>1788</v>
      </c>
      <c r="S3626" s="9">
        <v>40.22</v>
      </c>
      <c r="T3626" s="10">
        <f t="shared" si="2288"/>
        <v>71913.36</v>
      </c>
      <c r="U3626" s="10">
        <f t="shared" si="2283"/>
        <v>80542.963200000013</v>
      </c>
      <c r="V3626" s="7" t="s">
        <v>3027</v>
      </c>
      <c r="W3626" s="11">
        <v>2015</v>
      </c>
      <c r="X3626" s="12"/>
      <c r="Y3626" s="21"/>
    </row>
    <row r="3627" spans="1:25" s="61" customFormat="1" ht="76.5" customHeight="1" outlineLevel="1" x14ac:dyDescent="0.2">
      <c r="A3627" s="1" t="s">
        <v>8883</v>
      </c>
      <c r="B3627" s="38" t="s">
        <v>5277</v>
      </c>
      <c r="C3627" s="7" t="s">
        <v>2359</v>
      </c>
      <c r="D3627" s="7" t="s">
        <v>5609</v>
      </c>
      <c r="E3627" s="18" t="s">
        <v>2360</v>
      </c>
      <c r="F3627" s="25" t="s">
        <v>8882</v>
      </c>
      <c r="G3627" s="4" t="s">
        <v>3190</v>
      </c>
      <c r="H3627" s="5">
        <v>0.5</v>
      </c>
      <c r="I3627" s="6">
        <v>710000000</v>
      </c>
      <c r="J3627" s="4" t="s">
        <v>1931</v>
      </c>
      <c r="K3627" s="53" t="s">
        <v>6167</v>
      </c>
      <c r="L3627" s="4" t="s">
        <v>1889</v>
      </c>
      <c r="M3627" s="53" t="s">
        <v>3195</v>
      </c>
      <c r="N3627" s="53" t="s">
        <v>1890</v>
      </c>
      <c r="O3627" s="53" t="s">
        <v>2146</v>
      </c>
      <c r="P3627" s="1">
        <v>736</v>
      </c>
      <c r="Q3627" s="4" t="s">
        <v>5475</v>
      </c>
      <c r="R3627" s="9">
        <v>848</v>
      </c>
      <c r="S3627" s="9">
        <v>49.56</v>
      </c>
      <c r="T3627" s="10">
        <f t="shared" si="2288"/>
        <v>42026.880000000005</v>
      </c>
      <c r="U3627" s="10">
        <f t="shared" si="2283"/>
        <v>47070.10560000001</v>
      </c>
      <c r="V3627" s="7" t="s">
        <v>3027</v>
      </c>
      <c r="W3627" s="11">
        <v>2015</v>
      </c>
      <c r="X3627" s="12"/>
      <c r="Y3627" s="21"/>
    </row>
    <row r="3628" spans="1:25" s="61" customFormat="1" ht="76.5" customHeight="1" outlineLevel="1" x14ac:dyDescent="0.2">
      <c r="A3628" s="1" t="s">
        <v>8885</v>
      </c>
      <c r="B3628" s="38" t="s">
        <v>5277</v>
      </c>
      <c r="C3628" s="7" t="s">
        <v>3130</v>
      </c>
      <c r="D3628" s="7" t="s">
        <v>5612</v>
      </c>
      <c r="E3628" s="18" t="s">
        <v>5613</v>
      </c>
      <c r="F3628" s="25" t="s">
        <v>8884</v>
      </c>
      <c r="G3628" s="4" t="s">
        <v>3190</v>
      </c>
      <c r="H3628" s="5">
        <v>0.5</v>
      </c>
      <c r="I3628" s="6">
        <v>710000000</v>
      </c>
      <c r="J3628" s="4" t="s">
        <v>1931</v>
      </c>
      <c r="K3628" s="53" t="s">
        <v>6167</v>
      </c>
      <c r="L3628" s="4" t="s">
        <v>1889</v>
      </c>
      <c r="M3628" s="53" t="s">
        <v>3195</v>
      </c>
      <c r="N3628" s="53" t="s">
        <v>1890</v>
      </c>
      <c r="O3628" s="53" t="s">
        <v>2146</v>
      </c>
      <c r="P3628" s="18">
        <v>5111</v>
      </c>
      <c r="Q3628" s="18" t="s">
        <v>5298</v>
      </c>
      <c r="R3628" s="9">
        <v>805</v>
      </c>
      <c r="S3628" s="10">
        <v>68.89</v>
      </c>
      <c r="T3628" s="10">
        <f t="shared" si="2288"/>
        <v>55456.45</v>
      </c>
      <c r="U3628" s="10">
        <f t="shared" si="2283"/>
        <v>62111.224000000002</v>
      </c>
      <c r="V3628" s="7" t="s">
        <v>3027</v>
      </c>
      <c r="W3628" s="11">
        <v>2015</v>
      </c>
      <c r="X3628" s="12"/>
      <c r="Y3628" s="21"/>
    </row>
    <row r="3629" spans="1:25" s="61" customFormat="1" ht="76.5" customHeight="1" outlineLevel="1" x14ac:dyDescent="0.2">
      <c r="A3629" s="1" t="s">
        <v>8886</v>
      </c>
      <c r="B3629" s="38" t="s">
        <v>5277</v>
      </c>
      <c r="C3629" s="7" t="s">
        <v>3125</v>
      </c>
      <c r="D3629" s="7" t="s">
        <v>5614</v>
      </c>
      <c r="E3629" s="18" t="s">
        <v>5615</v>
      </c>
      <c r="F3629" s="25" t="s">
        <v>8874</v>
      </c>
      <c r="G3629" s="4" t="s">
        <v>3190</v>
      </c>
      <c r="H3629" s="5">
        <v>0.5</v>
      </c>
      <c r="I3629" s="6">
        <v>710000000</v>
      </c>
      <c r="J3629" s="4" t="s">
        <v>1931</v>
      </c>
      <c r="K3629" s="53" t="s">
        <v>6167</v>
      </c>
      <c r="L3629" s="4" t="s">
        <v>1889</v>
      </c>
      <c r="M3629" s="53" t="s">
        <v>3195</v>
      </c>
      <c r="N3629" s="53" t="s">
        <v>1890</v>
      </c>
      <c r="O3629" s="53" t="s">
        <v>2146</v>
      </c>
      <c r="P3629" s="18">
        <v>796</v>
      </c>
      <c r="Q3629" s="18" t="s">
        <v>3196</v>
      </c>
      <c r="R3629" s="9">
        <v>241</v>
      </c>
      <c r="S3629" s="10">
        <v>201.63</v>
      </c>
      <c r="T3629" s="10">
        <f t="shared" si="2288"/>
        <v>48592.83</v>
      </c>
      <c r="U3629" s="10">
        <f t="shared" si="2283"/>
        <v>54423.969600000004</v>
      </c>
      <c r="V3629" s="7" t="s">
        <v>3027</v>
      </c>
      <c r="W3629" s="11">
        <v>2015</v>
      </c>
      <c r="X3629" s="12"/>
      <c r="Y3629" s="21"/>
    </row>
    <row r="3630" spans="1:25" s="61" customFormat="1" ht="76.5" customHeight="1" outlineLevel="1" x14ac:dyDescent="0.2">
      <c r="A3630" s="1" t="s">
        <v>8890</v>
      </c>
      <c r="B3630" s="38" t="s">
        <v>5277</v>
      </c>
      <c r="C3630" s="7" t="s">
        <v>3123</v>
      </c>
      <c r="D3630" s="7" t="s">
        <v>5610</v>
      </c>
      <c r="E3630" s="18" t="s">
        <v>5611</v>
      </c>
      <c r="F3630" s="25" t="s">
        <v>8870</v>
      </c>
      <c r="G3630" s="4" t="s">
        <v>3190</v>
      </c>
      <c r="H3630" s="5">
        <v>0.5</v>
      </c>
      <c r="I3630" s="6">
        <v>710000000</v>
      </c>
      <c r="J3630" s="4" t="s">
        <v>1931</v>
      </c>
      <c r="K3630" s="53" t="s">
        <v>6167</v>
      </c>
      <c r="L3630" s="4" t="s">
        <v>1889</v>
      </c>
      <c r="M3630" s="53" t="s">
        <v>3195</v>
      </c>
      <c r="N3630" s="53" t="s">
        <v>1890</v>
      </c>
      <c r="O3630" s="53" t="s">
        <v>2146</v>
      </c>
      <c r="P3630" s="1">
        <v>778</v>
      </c>
      <c r="Q3630" s="53" t="s">
        <v>3327</v>
      </c>
      <c r="R3630" s="9">
        <v>393</v>
      </c>
      <c r="S3630" s="10">
        <v>264</v>
      </c>
      <c r="T3630" s="10">
        <f t="shared" ref="T3630:T3632" si="2289">S3630*R3630</f>
        <v>103752</v>
      </c>
      <c r="U3630" s="10">
        <f t="shared" ref="U3630:U3636" si="2290">T3630*1.12</f>
        <v>116202.24000000001</v>
      </c>
      <c r="V3630" s="7" t="s">
        <v>3027</v>
      </c>
      <c r="W3630" s="11">
        <v>2015</v>
      </c>
      <c r="X3630" s="12"/>
      <c r="Y3630" s="21"/>
    </row>
    <row r="3631" spans="1:25" s="61" customFormat="1" ht="76.5" customHeight="1" outlineLevel="1" x14ac:dyDescent="0.2">
      <c r="A3631" s="1" t="s">
        <v>8892</v>
      </c>
      <c r="B3631" s="38" t="s">
        <v>5277</v>
      </c>
      <c r="C3631" s="7" t="s">
        <v>1231</v>
      </c>
      <c r="D3631" s="7" t="s">
        <v>1230</v>
      </c>
      <c r="E3631" s="18" t="s">
        <v>1229</v>
      </c>
      <c r="F3631" s="25" t="s">
        <v>8893</v>
      </c>
      <c r="G3631" s="4" t="s">
        <v>3190</v>
      </c>
      <c r="H3631" s="5">
        <v>0.5</v>
      </c>
      <c r="I3631" s="6">
        <v>710000000</v>
      </c>
      <c r="J3631" s="4" t="s">
        <v>1931</v>
      </c>
      <c r="K3631" s="53" t="s">
        <v>6167</v>
      </c>
      <c r="L3631" s="53" t="s">
        <v>1940</v>
      </c>
      <c r="M3631" s="53" t="s">
        <v>3195</v>
      </c>
      <c r="N3631" s="53" t="s">
        <v>1890</v>
      </c>
      <c r="O3631" s="8" t="s">
        <v>1935</v>
      </c>
      <c r="P3631" s="1">
        <v>796</v>
      </c>
      <c r="Q3631" s="18" t="s">
        <v>3196</v>
      </c>
      <c r="R3631" s="9">
        <v>2</v>
      </c>
      <c r="S3631" s="10">
        <v>7142.857</v>
      </c>
      <c r="T3631" s="10">
        <f t="shared" si="2289"/>
        <v>14285.714</v>
      </c>
      <c r="U3631" s="10">
        <f t="shared" si="2290"/>
        <v>15999.999680000001</v>
      </c>
      <c r="V3631" s="7"/>
      <c r="W3631" s="11">
        <v>2015</v>
      </c>
      <c r="X3631" s="12"/>
      <c r="Y3631" s="21"/>
    </row>
    <row r="3632" spans="1:25" s="61" customFormat="1" ht="76.5" customHeight="1" outlineLevel="1" x14ac:dyDescent="0.2">
      <c r="A3632" s="1" t="s">
        <v>8899</v>
      </c>
      <c r="B3632" s="38" t="s">
        <v>5277</v>
      </c>
      <c r="C3632" s="7" t="s">
        <v>8902</v>
      </c>
      <c r="D3632" s="7" t="s">
        <v>8903</v>
      </c>
      <c r="E3632" s="18" t="s">
        <v>8904</v>
      </c>
      <c r="F3632" s="25" t="s">
        <v>8905</v>
      </c>
      <c r="G3632" s="4" t="s">
        <v>3190</v>
      </c>
      <c r="H3632" s="5">
        <v>0</v>
      </c>
      <c r="I3632" s="6">
        <v>710000000</v>
      </c>
      <c r="J3632" s="4" t="s">
        <v>1931</v>
      </c>
      <c r="K3632" s="53" t="s">
        <v>6167</v>
      </c>
      <c r="L3632" s="116" t="s">
        <v>1708</v>
      </c>
      <c r="M3632" s="53" t="s">
        <v>3195</v>
      </c>
      <c r="N3632" s="53" t="s">
        <v>1890</v>
      </c>
      <c r="O3632" s="53" t="s">
        <v>1935</v>
      </c>
      <c r="P3632" s="1">
        <v>796</v>
      </c>
      <c r="Q3632" s="53" t="s">
        <v>3196</v>
      </c>
      <c r="R3632" s="9">
        <v>12</v>
      </c>
      <c r="S3632" s="10">
        <v>10379.464</v>
      </c>
      <c r="T3632" s="10">
        <f t="shared" si="2289"/>
        <v>124553.568</v>
      </c>
      <c r="U3632" s="10">
        <f t="shared" si="2290"/>
        <v>139499.99616000001</v>
      </c>
      <c r="V3632" s="7"/>
      <c r="W3632" s="11">
        <v>2015</v>
      </c>
      <c r="X3632" s="12"/>
      <c r="Y3632" s="21"/>
    </row>
    <row r="3633" spans="1:25" s="61" customFormat="1" ht="76.5" outlineLevel="1" x14ac:dyDescent="0.2">
      <c r="A3633" s="1" t="s">
        <v>8900</v>
      </c>
      <c r="B3633" s="38" t="s">
        <v>5277</v>
      </c>
      <c r="C3633" s="7" t="s">
        <v>8906</v>
      </c>
      <c r="D3633" s="7" t="s">
        <v>8907</v>
      </c>
      <c r="E3633" s="18" t="s">
        <v>490</v>
      </c>
      <c r="F3633" s="25" t="s">
        <v>8908</v>
      </c>
      <c r="G3633" s="4" t="s">
        <v>3190</v>
      </c>
      <c r="H3633" s="5">
        <v>0</v>
      </c>
      <c r="I3633" s="6">
        <v>710000000</v>
      </c>
      <c r="J3633" s="4" t="s">
        <v>1931</v>
      </c>
      <c r="K3633" s="53" t="s">
        <v>6167</v>
      </c>
      <c r="L3633" s="116" t="s">
        <v>1708</v>
      </c>
      <c r="M3633" s="53" t="s">
        <v>3195</v>
      </c>
      <c r="N3633" s="53" t="s">
        <v>1890</v>
      </c>
      <c r="O3633" s="53" t="s">
        <v>1935</v>
      </c>
      <c r="P3633" s="1">
        <v>796</v>
      </c>
      <c r="Q3633" s="53" t="s">
        <v>3196</v>
      </c>
      <c r="R3633" s="9">
        <v>8</v>
      </c>
      <c r="S3633" s="10">
        <v>10714.286</v>
      </c>
      <c r="T3633" s="10">
        <v>0</v>
      </c>
      <c r="U3633" s="10">
        <f t="shared" si="2290"/>
        <v>0</v>
      </c>
      <c r="V3633" s="7"/>
      <c r="W3633" s="11">
        <v>2015</v>
      </c>
      <c r="X3633" s="12" t="s">
        <v>7518</v>
      </c>
      <c r="Y3633" s="21"/>
    </row>
    <row r="3634" spans="1:25" s="61" customFormat="1" ht="76.5" outlineLevel="1" x14ac:dyDescent="0.2">
      <c r="A3634" s="1" t="s">
        <v>9299</v>
      </c>
      <c r="B3634" s="38" t="s">
        <v>5277</v>
      </c>
      <c r="C3634" s="7" t="s">
        <v>8906</v>
      </c>
      <c r="D3634" s="7" t="s">
        <v>8907</v>
      </c>
      <c r="E3634" s="18" t="s">
        <v>490</v>
      </c>
      <c r="F3634" s="25" t="s">
        <v>8908</v>
      </c>
      <c r="G3634" s="4" t="s">
        <v>3190</v>
      </c>
      <c r="H3634" s="5">
        <v>0</v>
      </c>
      <c r="I3634" s="6">
        <v>710000000</v>
      </c>
      <c r="J3634" s="4" t="s">
        <v>1931</v>
      </c>
      <c r="K3634" s="53" t="s">
        <v>9300</v>
      </c>
      <c r="L3634" s="116" t="s">
        <v>1708</v>
      </c>
      <c r="M3634" s="53" t="s">
        <v>3195</v>
      </c>
      <c r="N3634" s="53" t="s">
        <v>1890</v>
      </c>
      <c r="O3634" s="53" t="s">
        <v>1935</v>
      </c>
      <c r="P3634" s="1">
        <v>796</v>
      </c>
      <c r="Q3634" s="53" t="s">
        <v>3196</v>
      </c>
      <c r="R3634" s="9">
        <f>8+2+1</f>
        <v>11</v>
      </c>
      <c r="S3634" s="10">
        <v>10714.286</v>
      </c>
      <c r="T3634" s="10">
        <f t="shared" ref="T3634" si="2291">S3634*R3634</f>
        <v>117857.14600000001</v>
      </c>
      <c r="U3634" s="10">
        <f t="shared" ref="U3634" si="2292">T3634*1.12</f>
        <v>132000.00352000003</v>
      </c>
      <c r="V3634" s="7"/>
      <c r="W3634" s="11">
        <v>2015</v>
      </c>
      <c r="X3634" s="12"/>
      <c r="Y3634" s="21"/>
    </row>
    <row r="3635" spans="1:25" s="61" customFormat="1" ht="76.5" customHeight="1" outlineLevel="1" x14ac:dyDescent="0.2">
      <c r="A3635" s="1" t="s">
        <v>8901</v>
      </c>
      <c r="B3635" s="38" t="s">
        <v>5277</v>
      </c>
      <c r="C3635" s="7" t="s">
        <v>8909</v>
      </c>
      <c r="D3635" s="7" t="s">
        <v>8910</v>
      </c>
      <c r="E3635" s="18" t="s">
        <v>8911</v>
      </c>
      <c r="F3635" s="25" t="s">
        <v>8912</v>
      </c>
      <c r="G3635" s="4" t="s">
        <v>3190</v>
      </c>
      <c r="H3635" s="5">
        <v>0</v>
      </c>
      <c r="I3635" s="6">
        <v>710000000</v>
      </c>
      <c r="J3635" s="4" t="s">
        <v>1931</v>
      </c>
      <c r="K3635" s="53" t="s">
        <v>6167</v>
      </c>
      <c r="L3635" s="53" t="s">
        <v>1889</v>
      </c>
      <c r="M3635" s="53" t="s">
        <v>3195</v>
      </c>
      <c r="N3635" s="53" t="s">
        <v>1890</v>
      </c>
      <c r="O3635" s="8" t="s">
        <v>1935</v>
      </c>
      <c r="P3635" s="1">
        <v>166</v>
      </c>
      <c r="Q3635" s="18" t="s">
        <v>3324</v>
      </c>
      <c r="R3635" s="9">
        <v>150</v>
      </c>
      <c r="S3635" s="10">
        <v>1035.7143000000001</v>
      </c>
      <c r="T3635" s="10">
        <f t="shared" ref="T3635" si="2293">S3635*R3635</f>
        <v>155357.14500000002</v>
      </c>
      <c r="U3635" s="10">
        <f t="shared" ref="U3635" si="2294">T3635*1.12</f>
        <v>174000.00240000003</v>
      </c>
      <c r="V3635" s="7"/>
      <c r="W3635" s="11">
        <v>2015</v>
      </c>
      <c r="X3635" s="12"/>
      <c r="Y3635" s="21"/>
    </row>
    <row r="3636" spans="1:25" s="61" customFormat="1" ht="76.5" customHeight="1" outlineLevel="1" x14ac:dyDescent="0.2">
      <c r="A3636" s="1" t="s">
        <v>8914</v>
      </c>
      <c r="B3636" s="38" t="s">
        <v>5277</v>
      </c>
      <c r="C3636" s="7" t="s">
        <v>8915</v>
      </c>
      <c r="D3636" s="7" t="s">
        <v>8916</v>
      </c>
      <c r="E3636" s="18" t="s">
        <v>8917</v>
      </c>
      <c r="F3636" s="25"/>
      <c r="G3636" s="4" t="s">
        <v>3190</v>
      </c>
      <c r="H3636" s="5">
        <v>0</v>
      </c>
      <c r="I3636" s="6">
        <v>710000000</v>
      </c>
      <c r="J3636" s="4" t="s">
        <v>1931</v>
      </c>
      <c r="K3636" s="53" t="s">
        <v>6167</v>
      </c>
      <c r="L3636" s="53" t="s">
        <v>1940</v>
      </c>
      <c r="M3636" s="53" t="s">
        <v>3195</v>
      </c>
      <c r="N3636" s="53" t="s">
        <v>1890</v>
      </c>
      <c r="O3636" s="8" t="s">
        <v>1935</v>
      </c>
      <c r="P3636" s="1">
        <v>625</v>
      </c>
      <c r="Q3636" s="18" t="s">
        <v>5192</v>
      </c>
      <c r="R3636" s="9">
        <v>1</v>
      </c>
      <c r="S3636" s="10">
        <v>8748.2139999999999</v>
      </c>
      <c r="T3636" s="10">
        <v>0</v>
      </c>
      <c r="U3636" s="10">
        <f t="shared" si="2290"/>
        <v>0</v>
      </c>
      <c r="V3636" s="7"/>
      <c r="W3636" s="11">
        <v>2015</v>
      </c>
      <c r="X3636" s="12" t="s">
        <v>7518</v>
      </c>
      <c r="Y3636" s="21"/>
    </row>
    <row r="3637" spans="1:25" s="61" customFormat="1" ht="76.5" customHeight="1" outlineLevel="1" x14ac:dyDescent="0.2">
      <c r="A3637" s="1" t="s">
        <v>9534</v>
      </c>
      <c r="B3637" s="38" t="s">
        <v>5277</v>
      </c>
      <c r="C3637" s="7" t="s">
        <v>8915</v>
      </c>
      <c r="D3637" s="7" t="s">
        <v>8916</v>
      </c>
      <c r="E3637" s="18" t="s">
        <v>8917</v>
      </c>
      <c r="F3637" s="25"/>
      <c r="G3637" s="4" t="s">
        <v>3190</v>
      </c>
      <c r="H3637" s="5">
        <v>0</v>
      </c>
      <c r="I3637" s="6">
        <v>710000000</v>
      </c>
      <c r="J3637" s="4" t="s">
        <v>1931</v>
      </c>
      <c r="K3637" s="53" t="s">
        <v>9300</v>
      </c>
      <c r="L3637" s="53" t="s">
        <v>1940</v>
      </c>
      <c r="M3637" s="53" t="s">
        <v>3195</v>
      </c>
      <c r="N3637" s="53" t="s">
        <v>1890</v>
      </c>
      <c r="O3637" s="8" t="s">
        <v>1935</v>
      </c>
      <c r="P3637" s="1">
        <v>625</v>
      </c>
      <c r="Q3637" s="18" t="s">
        <v>5192</v>
      </c>
      <c r="R3637" s="9">
        <f>1+3</f>
        <v>4</v>
      </c>
      <c r="S3637" s="10">
        <v>8748.2139999999999</v>
      </c>
      <c r="T3637" s="10">
        <f t="shared" ref="T3637" si="2295">S3637*R3637</f>
        <v>34992.856</v>
      </c>
      <c r="U3637" s="10">
        <f t="shared" ref="U3637" si="2296">T3637*1.12</f>
        <v>39191.998720000003</v>
      </c>
      <c r="V3637" s="7"/>
      <c r="W3637" s="11">
        <v>2015</v>
      </c>
      <c r="X3637" s="12"/>
      <c r="Y3637" s="21"/>
    </row>
    <row r="3638" spans="1:25" s="61" customFormat="1" ht="76.5" customHeight="1" outlineLevel="1" x14ac:dyDescent="0.2">
      <c r="A3638" s="1" t="s">
        <v>8922</v>
      </c>
      <c r="B3638" s="38" t="s">
        <v>5277</v>
      </c>
      <c r="C3638" s="18" t="s">
        <v>8923</v>
      </c>
      <c r="D3638" s="18" t="s">
        <v>8924</v>
      </c>
      <c r="E3638" s="18" t="s">
        <v>8925</v>
      </c>
      <c r="F3638" s="25" t="s">
        <v>8926</v>
      </c>
      <c r="G3638" s="4" t="s">
        <v>3190</v>
      </c>
      <c r="H3638" s="5">
        <v>0</v>
      </c>
      <c r="I3638" s="6">
        <v>710000000</v>
      </c>
      <c r="J3638" s="4" t="s">
        <v>1931</v>
      </c>
      <c r="K3638" s="53" t="s">
        <v>6167</v>
      </c>
      <c r="L3638" s="53" t="s">
        <v>1940</v>
      </c>
      <c r="M3638" s="53" t="s">
        <v>3195</v>
      </c>
      <c r="N3638" s="53" t="s">
        <v>1890</v>
      </c>
      <c r="O3638" s="8" t="s">
        <v>1935</v>
      </c>
      <c r="P3638" s="1">
        <v>796</v>
      </c>
      <c r="Q3638" s="53" t="s">
        <v>3196</v>
      </c>
      <c r="R3638" s="9">
        <v>3</v>
      </c>
      <c r="S3638" s="10">
        <v>23214.2857</v>
      </c>
      <c r="T3638" s="10">
        <f t="shared" ref="T3638" si="2297">S3638*R3638</f>
        <v>69642.857099999994</v>
      </c>
      <c r="U3638" s="10">
        <f t="shared" ref="U3638" si="2298">T3638*1.12</f>
        <v>77999.999951999998</v>
      </c>
      <c r="V3638" s="7"/>
      <c r="W3638" s="11">
        <v>2015</v>
      </c>
      <c r="X3638" s="12"/>
      <c r="Y3638" s="21"/>
    </row>
    <row r="3639" spans="1:25" s="61" customFormat="1" ht="76.5" customHeight="1" outlineLevel="1" x14ac:dyDescent="0.2">
      <c r="A3639" s="1" t="s">
        <v>8927</v>
      </c>
      <c r="B3639" s="38" t="s">
        <v>5277</v>
      </c>
      <c r="C3639" s="18" t="s">
        <v>8923</v>
      </c>
      <c r="D3639" s="18" t="s">
        <v>8924</v>
      </c>
      <c r="E3639" s="18" t="s">
        <v>8925</v>
      </c>
      <c r="F3639" s="25" t="s">
        <v>8928</v>
      </c>
      <c r="G3639" s="4" t="s">
        <v>3190</v>
      </c>
      <c r="H3639" s="5">
        <v>0</v>
      </c>
      <c r="I3639" s="6">
        <v>710000000</v>
      </c>
      <c r="J3639" s="4" t="s">
        <v>1931</v>
      </c>
      <c r="K3639" s="53" t="s">
        <v>6167</v>
      </c>
      <c r="L3639" s="53" t="s">
        <v>1940</v>
      </c>
      <c r="M3639" s="53" t="s">
        <v>3195</v>
      </c>
      <c r="N3639" s="53" t="s">
        <v>1890</v>
      </c>
      <c r="O3639" s="8" t="s">
        <v>1935</v>
      </c>
      <c r="P3639" s="1">
        <v>796</v>
      </c>
      <c r="Q3639" s="53" t="s">
        <v>3196</v>
      </c>
      <c r="R3639" s="9">
        <v>2</v>
      </c>
      <c r="S3639" s="10">
        <v>23214.2857</v>
      </c>
      <c r="T3639" s="10">
        <f t="shared" ref="T3639" si="2299">S3639*R3639</f>
        <v>46428.571400000001</v>
      </c>
      <c r="U3639" s="10">
        <f t="shared" ref="U3639" si="2300">T3639*1.12</f>
        <v>51999.999968000004</v>
      </c>
      <c r="V3639" s="7"/>
      <c r="W3639" s="11">
        <v>2015</v>
      </c>
      <c r="X3639" s="12"/>
      <c r="Y3639" s="21"/>
    </row>
    <row r="3640" spans="1:25" s="61" customFormat="1" ht="76.5" customHeight="1" outlineLevel="1" x14ac:dyDescent="0.2">
      <c r="A3640" s="1" t="s">
        <v>8929</v>
      </c>
      <c r="B3640" s="38" t="s">
        <v>5277</v>
      </c>
      <c r="C3640" s="18" t="s">
        <v>8930</v>
      </c>
      <c r="D3640" s="18" t="s">
        <v>52</v>
      </c>
      <c r="E3640" s="18" t="s">
        <v>8931</v>
      </c>
      <c r="F3640" s="18" t="s">
        <v>8932</v>
      </c>
      <c r="G3640" s="4" t="s">
        <v>3190</v>
      </c>
      <c r="H3640" s="5">
        <v>0</v>
      </c>
      <c r="I3640" s="6">
        <v>710000000</v>
      </c>
      <c r="J3640" s="4" t="s">
        <v>1931</v>
      </c>
      <c r="K3640" s="53" t="s">
        <v>6167</v>
      </c>
      <c r="L3640" s="18" t="s">
        <v>1708</v>
      </c>
      <c r="M3640" s="53" t="s">
        <v>3195</v>
      </c>
      <c r="N3640" s="53" t="s">
        <v>1890</v>
      </c>
      <c r="O3640" s="8" t="s">
        <v>1935</v>
      </c>
      <c r="P3640" s="1">
        <v>796</v>
      </c>
      <c r="Q3640" s="53" t="s">
        <v>3196</v>
      </c>
      <c r="R3640" s="9">
        <v>1</v>
      </c>
      <c r="S3640" s="10">
        <v>166705</v>
      </c>
      <c r="T3640" s="10">
        <f t="shared" ref="T3640" si="2301">S3640*R3640</f>
        <v>166705</v>
      </c>
      <c r="U3640" s="10">
        <f t="shared" ref="U3640" si="2302">T3640*1.12</f>
        <v>186709.6</v>
      </c>
      <c r="V3640" s="7"/>
      <c r="W3640" s="11">
        <v>2015</v>
      </c>
      <c r="X3640" s="12"/>
      <c r="Y3640" s="21"/>
    </row>
    <row r="3641" spans="1:25" s="61" customFormat="1" ht="76.5" customHeight="1" outlineLevel="1" x14ac:dyDescent="0.2">
      <c r="A3641" s="1" t="s">
        <v>8933</v>
      </c>
      <c r="B3641" s="38" t="s">
        <v>5277</v>
      </c>
      <c r="C3641" s="18" t="s">
        <v>8934</v>
      </c>
      <c r="D3641" s="18" t="s">
        <v>8935</v>
      </c>
      <c r="E3641" s="18" t="s">
        <v>8936</v>
      </c>
      <c r="F3641" s="18" t="s">
        <v>8937</v>
      </c>
      <c r="G3641" s="4" t="s">
        <v>3190</v>
      </c>
      <c r="H3641" s="5">
        <v>0</v>
      </c>
      <c r="I3641" s="6">
        <v>710000000</v>
      </c>
      <c r="J3641" s="4" t="s">
        <v>1931</v>
      </c>
      <c r="K3641" s="53" t="s">
        <v>6167</v>
      </c>
      <c r="L3641" s="18" t="s">
        <v>1708</v>
      </c>
      <c r="M3641" s="53" t="s">
        <v>3195</v>
      </c>
      <c r="N3641" s="53" t="s">
        <v>1890</v>
      </c>
      <c r="O3641" s="8" t="s">
        <v>1935</v>
      </c>
      <c r="P3641" s="1">
        <v>796</v>
      </c>
      <c r="Q3641" s="53" t="s">
        <v>3196</v>
      </c>
      <c r="R3641" s="9">
        <v>2</v>
      </c>
      <c r="S3641" s="10">
        <v>32004</v>
      </c>
      <c r="T3641" s="10">
        <f t="shared" ref="T3641" si="2303">S3641*R3641</f>
        <v>64008</v>
      </c>
      <c r="U3641" s="10">
        <f t="shared" ref="U3641" si="2304">T3641*1.12</f>
        <v>71688.960000000006</v>
      </c>
      <c r="V3641" s="7"/>
      <c r="W3641" s="11">
        <v>2015</v>
      </c>
      <c r="X3641" s="12"/>
      <c r="Y3641" s="21"/>
    </row>
    <row r="3642" spans="1:25" s="61" customFormat="1" ht="76.5" customHeight="1" outlineLevel="1" x14ac:dyDescent="0.2">
      <c r="A3642" s="1" t="s">
        <v>8950</v>
      </c>
      <c r="B3642" s="38" t="s">
        <v>5277</v>
      </c>
      <c r="C3642" s="18" t="s">
        <v>8947</v>
      </c>
      <c r="D3642" s="18" t="s">
        <v>8949</v>
      </c>
      <c r="E3642" s="18" t="s">
        <v>8948</v>
      </c>
      <c r="F3642" s="18" t="s">
        <v>8951</v>
      </c>
      <c r="G3642" s="4" t="s">
        <v>3190</v>
      </c>
      <c r="H3642" s="5">
        <v>0</v>
      </c>
      <c r="I3642" s="6">
        <v>710000000</v>
      </c>
      <c r="J3642" s="4" t="s">
        <v>1931</v>
      </c>
      <c r="K3642" s="53" t="s">
        <v>554</v>
      </c>
      <c r="L3642" s="18" t="s">
        <v>1708</v>
      </c>
      <c r="M3642" s="53" t="s">
        <v>3195</v>
      </c>
      <c r="N3642" s="53" t="s">
        <v>1890</v>
      </c>
      <c r="O3642" s="8" t="s">
        <v>1935</v>
      </c>
      <c r="P3642" s="60" t="s">
        <v>3334</v>
      </c>
      <c r="Q3642" s="3" t="s">
        <v>5477</v>
      </c>
      <c r="R3642" s="9">
        <v>50</v>
      </c>
      <c r="S3642" s="10">
        <v>16800</v>
      </c>
      <c r="T3642" s="10">
        <v>0</v>
      </c>
      <c r="U3642" s="10">
        <f t="shared" ref="U3642" si="2305">T3642*1.12</f>
        <v>0</v>
      </c>
      <c r="V3642" s="7"/>
      <c r="W3642" s="11">
        <v>2015</v>
      </c>
      <c r="X3642" s="12" t="s">
        <v>6562</v>
      </c>
      <c r="Y3642" s="21"/>
    </row>
    <row r="3643" spans="1:25" s="61" customFormat="1" ht="76.5" customHeight="1" outlineLevel="1" x14ac:dyDescent="0.2">
      <c r="A3643" s="1" t="s">
        <v>8956</v>
      </c>
      <c r="B3643" s="38" t="s">
        <v>5277</v>
      </c>
      <c r="C3643" s="18" t="s">
        <v>8947</v>
      </c>
      <c r="D3643" s="18" t="s">
        <v>8949</v>
      </c>
      <c r="E3643" s="18" t="s">
        <v>8948</v>
      </c>
      <c r="F3643" s="18" t="s">
        <v>8951</v>
      </c>
      <c r="G3643" s="4" t="s">
        <v>3190</v>
      </c>
      <c r="H3643" s="5">
        <v>0</v>
      </c>
      <c r="I3643" s="6">
        <v>710000000</v>
      </c>
      <c r="J3643" s="4" t="s">
        <v>1931</v>
      </c>
      <c r="K3643" s="53" t="s">
        <v>554</v>
      </c>
      <c r="L3643" s="18" t="s">
        <v>1708</v>
      </c>
      <c r="M3643" s="53" t="s">
        <v>3195</v>
      </c>
      <c r="N3643" s="53" t="s">
        <v>1890</v>
      </c>
      <c r="O3643" s="8" t="s">
        <v>1935</v>
      </c>
      <c r="P3643" s="60" t="s">
        <v>3334</v>
      </c>
      <c r="Q3643" s="3" t="s">
        <v>5477</v>
      </c>
      <c r="R3643" s="9">
        <v>130</v>
      </c>
      <c r="S3643" s="10">
        <v>16800</v>
      </c>
      <c r="T3643" s="10">
        <v>0</v>
      </c>
      <c r="U3643" s="10">
        <f t="shared" ref="U3643" si="2306">T3643*1.12</f>
        <v>0</v>
      </c>
      <c r="V3643" s="7"/>
      <c r="W3643" s="11">
        <v>2015</v>
      </c>
      <c r="X3643" s="12" t="s">
        <v>6562</v>
      </c>
      <c r="Y3643" s="21"/>
    </row>
    <row r="3644" spans="1:25" s="61" customFormat="1" ht="76.5" customHeight="1" outlineLevel="1" x14ac:dyDescent="0.2">
      <c r="A3644" s="1" t="s">
        <v>8971</v>
      </c>
      <c r="B3644" s="38" t="s">
        <v>5277</v>
      </c>
      <c r="C3644" s="18" t="s">
        <v>8947</v>
      </c>
      <c r="D3644" s="18" t="s">
        <v>8949</v>
      </c>
      <c r="E3644" s="18" t="s">
        <v>8948</v>
      </c>
      <c r="F3644" s="18" t="s">
        <v>8951</v>
      </c>
      <c r="G3644" s="4" t="s">
        <v>3190</v>
      </c>
      <c r="H3644" s="5">
        <v>0</v>
      </c>
      <c r="I3644" s="6">
        <v>710000000</v>
      </c>
      <c r="J3644" s="4" t="s">
        <v>1931</v>
      </c>
      <c r="K3644" s="53" t="s">
        <v>554</v>
      </c>
      <c r="L3644" s="18" t="s">
        <v>1708</v>
      </c>
      <c r="M3644" s="53" t="s">
        <v>3195</v>
      </c>
      <c r="N3644" s="53" t="s">
        <v>1890</v>
      </c>
      <c r="O3644" s="8" t="s">
        <v>1935</v>
      </c>
      <c r="P3644" s="60" t="s">
        <v>3334</v>
      </c>
      <c r="Q3644" s="3" t="s">
        <v>5477</v>
      </c>
      <c r="R3644" s="9">
        <f>130+140</f>
        <v>270</v>
      </c>
      <c r="S3644" s="10">
        <v>16800</v>
      </c>
      <c r="T3644" s="10">
        <v>0</v>
      </c>
      <c r="U3644" s="10">
        <f t="shared" ref="U3644:U3646" si="2307">T3644*1.12</f>
        <v>0</v>
      </c>
      <c r="V3644" s="7"/>
      <c r="W3644" s="11">
        <v>2015</v>
      </c>
      <c r="X3644" s="12" t="s">
        <v>6562</v>
      </c>
      <c r="Y3644" s="21"/>
    </row>
    <row r="3645" spans="1:25" s="61" customFormat="1" ht="76.5" customHeight="1" outlineLevel="1" x14ac:dyDescent="0.2">
      <c r="A3645" s="1" t="s">
        <v>9045</v>
      </c>
      <c r="B3645" s="38" t="s">
        <v>5277</v>
      </c>
      <c r="C3645" s="18" t="s">
        <v>8947</v>
      </c>
      <c r="D3645" s="18" t="s">
        <v>8949</v>
      </c>
      <c r="E3645" s="18" t="s">
        <v>8948</v>
      </c>
      <c r="F3645" s="18" t="s">
        <v>8951</v>
      </c>
      <c r="G3645" s="4" t="s">
        <v>3190</v>
      </c>
      <c r="H3645" s="5">
        <v>0</v>
      </c>
      <c r="I3645" s="6">
        <v>710000000</v>
      </c>
      <c r="J3645" s="4" t="s">
        <v>1931</v>
      </c>
      <c r="K3645" s="53" t="s">
        <v>554</v>
      </c>
      <c r="L3645" s="18" t="s">
        <v>1708</v>
      </c>
      <c r="M3645" s="53" t="s">
        <v>3195</v>
      </c>
      <c r="N3645" s="53" t="s">
        <v>1890</v>
      </c>
      <c r="O3645" s="8" t="s">
        <v>1935</v>
      </c>
      <c r="P3645" s="60" t="s">
        <v>3334</v>
      </c>
      <c r="Q3645" s="3" t="s">
        <v>5477</v>
      </c>
      <c r="R3645" s="9">
        <f>130+140+58</f>
        <v>328</v>
      </c>
      <c r="S3645" s="10">
        <v>16800</v>
      </c>
      <c r="T3645" s="10">
        <f t="shared" ref="T3645" si="2308">S3645*R3645</f>
        <v>5510400</v>
      </c>
      <c r="U3645" s="10">
        <f t="shared" ref="U3645" si="2309">T3645*1.12</f>
        <v>6171648.0000000009</v>
      </c>
      <c r="V3645" s="7"/>
      <c r="W3645" s="11">
        <v>2015</v>
      </c>
      <c r="X3645" s="12"/>
      <c r="Y3645" s="21"/>
    </row>
    <row r="3646" spans="1:25" s="13" customFormat="1" ht="76.5" customHeight="1" outlineLevel="1" x14ac:dyDescent="0.2">
      <c r="A3646" s="1" t="s">
        <v>8973</v>
      </c>
      <c r="B3646" s="2" t="s">
        <v>5277</v>
      </c>
      <c r="C3646" s="18" t="s">
        <v>8974</v>
      </c>
      <c r="D3646" s="2" t="s">
        <v>5465</v>
      </c>
      <c r="E3646" s="18" t="s">
        <v>8975</v>
      </c>
      <c r="F3646" s="52" t="s">
        <v>8976</v>
      </c>
      <c r="G3646" s="4" t="s">
        <v>3190</v>
      </c>
      <c r="H3646" s="5">
        <v>0</v>
      </c>
      <c r="I3646" s="6">
        <v>710000000</v>
      </c>
      <c r="J3646" s="4" t="s">
        <v>1931</v>
      </c>
      <c r="K3646" s="53" t="s">
        <v>554</v>
      </c>
      <c r="L3646" s="18" t="s">
        <v>1708</v>
      </c>
      <c r="M3646" s="8" t="s">
        <v>3195</v>
      </c>
      <c r="N3646" s="3" t="s">
        <v>1890</v>
      </c>
      <c r="O3646" s="8" t="s">
        <v>1935</v>
      </c>
      <c r="P3646" s="60">
        <v>166</v>
      </c>
      <c r="Q3646" s="3" t="s">
        <v>3324</v>
      </c>
      <c r="R3646" s="69">
        <v>1000</v>
      </c>
      <c r="S3646" s="69">
        <v>42.86</v>
      </c>
      <c r="T3646" s="10">
        <v>0</v>
      </c>
      <c r="U3646" s="10">
        <f t="shared" si="2307"/>
        <v>0</v>
      </c>
      <c r="V3646" s="7"/>
      <c r="W3646" s="1">
        <v>2015</v>
      </c>
      <c r="X3646" s="62" t="s">
        <v>6562</v>
      </c>
    </row>
    <row r="3647" spans="1:25" s="13" customFormat="1" ht="76.5" customHeight="1" outlineLevel="1" x14ac:dyDescent="0.2">
      <c r="A3647" s="1" t="s">
        <v>9046</v>
      </c>
      <c r="B3647" s="2" t="s">
        <v>5277</v>
      </c>
      <c r="C3647" s="18" t="s">
        <v>8974</v>
      </c>
      <c r="D3647" s="2" t="s">
        <v>5465</v>
      </c>
      <c r="E3647" s="18" t="s">
        <v>8975</v>
      </c>
      <c r="F3647" s="52" t="s">
        <v>8976</v>
      </c>
      <c r="G3647" s="4" t="s">
        <v>3190</v>
      </c>
      <c r="H3647" s="5">
        <v>0</v>
      </c>
      <c r="I3647" s="6">
        <v>710000000</v>
      </c>
      <c r="J3647" s="4" t="s">
        <v>1931</v>
      </c>
      <c r="K3647" s="53" t="s">
        <v>554</v>
      </c>
      <c r="L3647" s="18" t="s">
        <v>1708</v>
      </c>
      <c r="M3647" s="8" t="s">
        <v>3195</v>
      </c>
      <c r="N3647" s="3" t="s">
        <v>1890</v>
      </c>
      <c r="O3647" s="8" t="s">
        <v>1935</v>
      </c>
      <c r="P3647" s="60">
        <v>166</v>
      </c>
      <c r="Q3647" s="3" t="s">
        <v>3324</v>
      </c>
      <c r="R3647" s="69">
        <f>1000+750</f>
        <v>1750</v>
      </c>
      <c r="S3647" s="69">
        <v>42.86</v>
      </c>
      <c r="T3647" s="10">
        <f t="shared" ref="T3647" si="2310">S3647*R3647</f>
        <v>75005</v>
      </c>
      <c r="U3647" s="10">
        <f t="shared" ref="U3647" si="2311">T3647*1.12</f>
        <v>84005.6</v>
      </c>
      <c r="V3647" s="7"/>
      <c r="W3647" s="1">
        <v>2015</v>
      </c>
      <c r="X3647" s="62"/>
    </row>
    <row r="3648" spans="1:25" s="13" customFormat="1" ht="76.5" customHeight="1" outlineLevel="1" x14ac:dyDescent="0.2">
      <c r="A3648" s="1" t="s">
        <v>8977</v>
      </c>
      <c r="B3648" s="2" t="s">
        <v>5277</v>
      </c>
      <c r="C3648" s="18" t="s">
        <v>8979</v>
      </c>
      <c r="D3648" s="18" t="s">
        <v>5465</v>
      </c>
      <c r="E3648" s="18" t="s">
        <v>8978</v>
      </c>
      <c r="F3648" s="52" t="s">
        <v>8980</v>
      </c>
      <c r="G3648" s="4" t="s">
        <v>3190</v>
      </c>
      <c r="H3648" s="5">
        <v>0</v>
      </c>
      <c r="I3648" s="6">
        <v>710000000</v>
      </c>
      <c r="J3648" s="4" t="s">
        <v>1931</v>
      </c>
      <c r="K3648" s="53" t="s">
        <v>554</v>
      </c>
      <c r="L3648" s="18" t="s">
        <v>1708</v>
      </c>
      <c r="M3648" s="8" t="s">
        <v>3195</v>
      </c>
      <c r="N3648" s="3" t="s">
        <v>1890</v>
      </c>
      <c r="O3648" s="8" t="s">
        <v>1935</v>
      </c>
      <c r="P3648" s="60">
        <v>166</v>
      </c>
      <c r="Q3648" s="3" t="s">
        <v>3324</v>
      </c>
      <c r="R3648" s="69">
        <v>2100</v>
      </c>
      <c r="S3648" s="69">
        <v>65.48</v>
      </c>
      <c r="T3648" s="10">
        <v>0</v>
      </c>
      <c r="U3648" s="10">
        <f t="shared" ref="U3648:U3651" si="2312">T3648*1.12</f>
        <v>0</v>
      </c>
      <c r="V3648" s="7"/>
      <c r="W3648" s="1">
        <v>2015</v>
      </c>
      <c r="X3648" s="62" t="s">
        <v>6562</v>
      </c>
    </row>
    <row r="3649" spans="1:24" s="13" customFormat="1" ht="76.5" customHeight="1" outlineLevel="1" x14ac:dyDescent="0.2">
      <c r="A3649" s="1" t="s">
        <v>9047</v>
      </c>
      <c r="B3649" s="2" t="s">
        <v>5277</v>
      </c>
      <c r="C3649" s="18" t="s">
        <v>8979</v>
      </c>
      <c r="D3649" s="18" t="s">
        <v>5465</v>
      </c>
      <c r="E3649" s="18" t="s">
        <v>8978</v>
      </c>
      <c r="F3649" s="52" t="s">
        <v>8980</v>
      </c>
      <c r="G3649" s="4" t="s">
        <v>3190</v>
      </c>
      <c r="H3649" s="5">
        <v>0</v>
      </c>
      <c r="I3649" s="6">
        <v>710000000</v>
      </c>
      <c r="J3649" s="4" t="s">
        <v>1931</v>
      </c>
      <c r="K3649" s="53" t="s">
        <v>554</v>
      </c>
      <c r="L3649" s="18" t="s">
        <v>1708</v>
      </c>
      <c r="M3649" s="8" t="s">
        <v>3195</v>
      </c>
      <c r="N3649" s="3" t="s">
        <v>1890</v>
      </c>
      <c r="O3649" s="8" t="s">
        <v>1935</v>
      </c>
      <c r="P3649" s="60">
        <v>166</v>
      </c>
      <c r="Q3649" s="3" t="s">
        <v>3324</v>
      </c>
      <c r="R3649" s="69">
        <f>2100+900</f>
        <v>3000</v>
      </c>
      <c r="S3649" s="69">
        <v>65.48</v>
      </c>
      <c r="T3649" s="10">
        <f t="shared" ref="T3649" si="2313">S3649*R3649</f>
        <v>196440</v>
      </c>
      <c r="U3649" s="10">
        <f t="shared" ref="U3649" si="2314">T3649*1.12</f>
        <v>220012.80000000002</v>
      </c>
      <c r="V3649" s="7"/>
      <c r="W3649" s="1">
        <v>2015</v>
      </c>
      <c r="X3649" s="62"/>
    </row>
    <row r="3650" spans="1:24" ht="76.5" customHeight="1" outlineLevel="1" x14ac:dyDescent="0.2">
      <c r="A3650" s="1" t="s">
        <v>8985</v>
      </c>
      <c r="B3650" s="24" t="s">
        <v>5277</v>
      </c>
      <c r="C3650" s="18" t="s">
        <v>8995</v>
      </c>
      <c r="D3650" s="18" t="s">
        <v>313</v>
      </c>
      <c r="E3650" s="18" t="s">
        <v>8996</v>
      </c>
      <c r="F3650" s="25" t="s">
        <v>8997</v>
      </c>
      <c r="G3650" s="1" t="s">
        <v>3190</v>
      </c>
      <c r="H3650" s="17">
        <v>0</v>
      </c>
      <c r="I3650" s="18">
        <v>710000000</v>
      </c>
      <c r="J3650" s="4" t="s">
        <v>1931</v>
      </c>
      <c r="K3650" s="53" t="s">
        <v>554</v>
      </c>
      <c r="L3650" s="18" t="s">
        <v>1708</v>
      </c>
      <c r="M3650" s="8" t="s">
        <v>3195</v>
      </c>
      <c r="N3650" s="8" t="s">
        <v>1890</v>
      </c>
      <c r="O3650" s="8" t="s">
        <v>1935</v>
      </c>
      <c r="P3650" s="1">
        <v>112</v>
      </c>
      <c r="Q3650" s="4" t="s">
        <v>3026</v>
      </c>
      <c r="R3650" s="10">
        <v>10</v>
      </c>
      <c r="S3650" s="10">
        <v>1489</v>
      </c>
      <c r="T3650" s="10">
        <f t="shared" ref="T3650" si="2315">S3650*R3650</f>
        <v>14890</v>
      </c>
      <c r="U3650" s="10">
        <f t="shared" ref="U3650" si="2316">T3650*1.12</f>
        <v>16676.800000000003</v>
      </c>
      <c r="V3650" s="8"/>
      <c r="W3650" s="11">
        <v>2015</v>
      </c>
      <c r="X3650" s="1"/>
    </row>
    <row r="3651" spans="1:24" ht="236.25" customHeight="1" outlineLevel="1" x14ac:dyDescent="0.2">
      <c r="A3651" s="1" t="s">
        <v>8991</v>
      </c>
      <c r="B3651" s="24" t="s">
        <v>5277</v>
      </c>
      <c r="C3651" s="7" t="s">
        <v>3197</v>
      </c>
      <c r="D3651" s="7" t="s">
        <v>3198</v>
      </c>
      <c r="E3651" s="18" t="s">
        <v>5428</v>
      </c>
      <c r="F3651" s="25" t="s">
        <v>8986</v>
      </c>
      <c r="G3651" s="1" t="s">
        <v>1888</v>
      </c>
      <c r="H3651" s="17">
        <v>0</v>
      </c>
      <c r="I3651" s="18">
        <v>710000000</v>
      </c>
      <c r="J3651" s="4" t="s">
        <v>1931</v>
      </c>
      <c r="K3651" s="53" t="s">
        <v>554</v>
      </c>
      <c r="L3651" s="18" t="s">
        <v>1708</v>
      </c>
      <c r="M3651" s="8" t="s">
        <v>3195</v>
      </c>
      <c r="N3651" s="8" t="s">
        <v>1890</v>
      </c>
      <c r="O3651" s="8" t="s">
        <v>1935</v>
      </c>
      <c r="P3651" s="8">
        <v>796</v>
      </c>
      <c r="Q3651" s="8" t="s">
        <v>3196</v>
      </c>
      <c r="R3651" s="10">
        <v>1</v>
      </c>
      <c r="S3651" s="10">
        <v>441965</v>
      </c>
      <c r="T3651" s="10">
        <v>0</v>
      </c>
      <c r="U3651" s="10">
        <f t="shared" si="2312"/>
        <v>0</v>
      </c>
      <c r="V3651" s="8"/>
      <c r="W3651" s="11">
        <v>2015</v>
      </c>
      <c r="X3651" s="1" t="s">
        <v>9613</v>
      </c>
    </row>
    <row r="3652" spans="1:24" ht="236.25" customHeight="1" outlineLevel="1" x14ac:dyDescent="0.2">
      <c r="A3652" s="1" t="s">
        <v>9611</v>
      </c>
      <c r="B3652" s="24" t="s">
        <v>5277</v>
      </c>
      <c r="C3652" s="7" t="s">
        <v>3197</v>
      </c>
      <c r="D3652" s="7" t="s">
        <v>3198</v>
      </c>
      <c r="E3652" s="18" t="s">
        <v>5428</v>
      </c>
      <c r="F3652" s="25" t="s">
        <v>9612</v>
      </c>
      <c r="G3652" s="1" t="s">
        <v>1888</v>
      </c>
      <c r="H3652" s="17">
        <v>0</v>
      </c>
      <c r="I3652" s="18">
        <v>710000000</v>
      </c>
      <c r="J3652" s="4" t="s">
        <v>1931</v>
      </c>
      <c r="K3652" s="53" t="s">
        <v>5390</v>
      </c>
      <c r="L3652" s="18" t="s">
        <v>1708</v>
      </c>
      <c r="M3652" s="8" t="s">
        <v>3195</v>
      </c>
      <c r="N3652" s="8" t="s">
        <v>1890</v>
      </c>
      <c r="O3652" s="8" t="s">
        <v>1935</v>
      </c>
      <c r="P3652" s="8">
        <v>796</v>
      </c>
      <c r="Q3652" s="8" t="s">
        <v>3196</v>
      </c>
      <c r="R3652" s="10">
        <v>1</v>
      </c>
      <c r="S3652" s="10">
        <v>1198482.1399999999</v>
      </c>
      <c r="T3652" s="10">
        <f>R3652*S3652</f>
        <v>1198482.1399999999</v>
      </c>
      <c r="U3652" s="10">
        <f t="shared" ref="U3652" si="2317">T3652*1.12</f>
        <v>1342299.9968000001</v>
      </c>
      <c r="V3652" s="8"/>
      <c r="W3652" s="11">
        <v>2015</v>
      </c>
      <c r="X3652" s="20"/>
    </row>
    <row r="3653" spans="1:24" ht="129.75" customHeight="1" outlineLevel="1" x14ac:dyDescent="0.2">
      <c r="A3653" s="1" t="s">
        <v>8992</v>
      </c>
      <c r="B3653" s="24" t="s">
        <v>5277</v>
      </c>
      <c r="C3653" s="18" t="s">
        <v>8987</v>
      </c>
      <c r="D3653" s="18" t="s">
        <v>8988</v>
      </c>
      <c r="E3653" s="18" t="s">
        <v>8989</v>
      </c>
      <c r="F3653" s="25" t="s">
        <v>8990</v>
      </c>
      <c r="G3653" s="1" t="s">
        <v>1888</v>
      </c>
      <c r="H3653" s="17">
        <v>0</v>
      </c>
      <c r="I3653" s="18">
        <v>710000000</v>
      </c>
      <c r="J3653" s="4" t="s">
        <v>1931</v>
      </c>
      <c r="K3653" s="53" t="s">
        <v>554</v>
      </c>
      <c r="L3653" s="18" t="s">
        <v>1708</v>
      </c>
      <c r="M3653" s="8" t="s">
        <v>3195</v>
      </c>
      <c r="N3653" s="8" t="s">
        <v>1890</v>
      </c>
      <c r="O3653" s="8" t="s">
        <v>1935</v>
      </c>
      <c r="P3653" s="8">
        <v>796</v>
      </c>
      <c r="Q3653" s="8" t="s">
        <v>3196</v>
      </c>
      <c r="R3653" s="10">
        <v>1</v>
      </c>
      <c r="S3653" s="10">
        <v>133392</v>
      </c>
      <c r="T3653" s="10">
        <v>0</v>
      </c>
      <c r="U3653" s="10">
        <f t="shared" ref="U3653" si="2318">T3653*1.12</f>
        <v>0</v>
      </c>
      <c r="V3653" s="8"/>
      <c r="W3653" s="11">
        <v>2015</v>
      </c>
      <c r="X3653" s="1" t="s">
        <v>9613</v>
      </c>
    </row>
    <row r="3654" spans="1:24" ht="129.75" customHeight="1" outlineLevel="1" x14ac:dyDescent="0.2">
      <c r="A3654" s="1" t="s">
        <v>9614</v>
      </c>
      <c r="B3654" s="24" t="s">
        <v>5277</v>
      </c>
      <c r="C3654" s="18" t="s">
        <v>8987</v>
      </c>
      <c r="D3654" s="18" t="s">
        <v>8988</v>
      </c>
      <c r="E3654" s="18" t="s">
        <v>8989</v>
      </c>
      <c r="F3654" s="25" t="s">
        <v>9615</v>
      </c>
      <c r="G3654" s="1" t="s">
        <v>1888</v>
      </c>
      <c r="H3654" s="17">
        <v>0</v>
      </c>
      <c r="I3654" s="18">
        <v>710000000</v>
      </c>
      <c r="J3654" s="4" t="s">
        <v>1931</v>
      </c>
      <c r="K3654" s="53" t="s">
        <v>5390</v>
      </c>
      <c r="L3654" s="18" t="s">
        <v>1708</v>
      </c>
      <c r="M3654" s="8" t="s">
        <v>3195</v>
      </c>
      <c r="N3654" s="8" t="s">
        <v>1890</v>
      </c>
      <c r="O3654" s="8" t="s">
        <v>1935</v>
      </c>
      <c r="P3654" s="8">
        <v>796</v>
      </c>
      <c r="Q3654" s="8" t="s">
        <v>3196</v>
      </c>
      <c r="R3654" s="10">
        <v>1</v>
      </c>
      <c r="S3654" s="10">
        <v>186696.43</v>
      </c>
      <c r="T3654" s="10">
        <f t="shared" ref="T3654" si="2319">S3654*R3654</f>
        <v>186696.43</v>
      </c>
      <c r="U3654" s="10">
        <f t="shared" ref="U3654" si="2320">T3654*1.12</f>
        <v>209100.00160000002</v>
      </c>
      <c r="V3654" s="8"/>
      <c r="W3654" s="11">
        <v>2015</v>
      </c>
      <c r="X3654" s="20"/>
    </row>
    <row r="3655" spans="1:24" ht="76.5" customHeight="1" outlineLevel="1" x14ac:dyDescent="0.2">
      <c r="A3655" s="1" t="s">
        <v>8994</v>
      </c>
      <c r="B3655" s="24" t="s">
        <v>5277</v>
      </c>
      <c r="C3655" s="7" t="s">
        <v>1811</v>
      </c>
      <c r="D3655" s="7" t="s">
        <v>5463</v>
      </c>
      <c r="E3655" s="18" t="s">
        <v>5463</v>
      </c>
      <c r="F3655" s="25" t="s">
        <v>8993</v>
      </c>
      <c r="G3655" s="1" t="s">
        <v>1888</v>
      </c>
      <c r="H3655" s="17">
        <v>0</v>
      </c>
      <c r="I3655" s="18">
        <v>710000000</v>
      </c>
      <c r="J3655" s="4" t="s">
        <v>1931</v>
      </c>
      <c r="K3655" s="53" t="s">
        <v>554</v>
      </c>
      <c r="L3655" s="18" t="s">
        <v>1708</v>
      </c>
      <c r="M3655" s="8" t="s">
        <v>3195</v>
      </c>
      <c r="N3655" s="8" t="s">
        <v>1890</v>
      </c>
      <c r="O3655" s="8" t="s">
        <v>1935</v>
      </c>
      <c r="P3655" s="8">
        <v>796</v>
      </c>
      <c r="Q3655" s="8" t="s">
        <v>3196</v>
      </c>
      <c r="R3655" s="10">
        <v>1</v>
      </c>
      <c r="S3655" s="10">
        <v>150000</v>
      </c>
      <c r="T3655" s="10">
        <v>0</v>
      </c>
      <c r="U3655" s="10">
        <f t="shared" ref="U3655:U3659" si="2321">T3655*1.12</f>
        <v>0</v>
      </c>
      <c r="V3655" s="8"/>
      <c r="W3655" s="11">
        <v>2015</v>
      </c>
      <c r="X3655" s="1" t="s">
        <v>9613</v>
      </c>
    </row>
    <row r="3656" spans="1:24" ht="76.5" customHeight="1" outlineLevel="1" x14ac:dyDescent="0.2">
      <c r="A3656" s="1" t="s">
        <v>9616</v>
      </c>
      <c r="B3656" s="24" t="s">
        <v>5277</v>
      </c>
      <c r="C3656" s="7" t="s">
        <v>1811</v>
      </c>
      <c r="D3656" s="7" t="s">
        <v>5463</v>
      </c>
      <c r="E3656" s="18" t="s">
        <v>5463</v>
      </c>
      <c r="F3656" s="25" t="s">
        <v>9617</v>
      </c>
      <c r="G3656" s="1" t="s">
        <v>1888</v>
      </c>
      <c r="H3656" s="17">
        <v>0</v>
      </c>
      <c r="I3656" s="18">
        <v>710000000</v>
      </c>
      <c r="J3656" s="4" t="s">
        <v>1931</v>
      </c>
      <c r="K3656" s="53" t="s">
        <v>5390</v>
      </c>
      <c r="L3656" s="18" t="s">
        <v>1708</v>
      </c>
      <c r="M3656" s="8" t="s">
        <v>3195</v>
      </c>
      <c r="N3656" s="8" t="s">
        <v>1890</v>
      </c>
      <c r="O3656" s="8" t="s">
        <v>1935</v>
      </c>
      <c r="P3656" s="8">
        <v>796</v>
      </c>
      <c r="Q3656" s="8" t="s">
        <v>3196</v>
      </c>
      <c r="R3656" s="10">
        <v>1</v>
      </c>
      <c r="S3656" s="10">
        <v>308035.71429999999</v>
      </c>
      <c r="T3656" s="10">
        <f t="shared" ref="T3656" si="2322">S3656*R3656</f>
        <v>308035.71429999999</v>
      </c>
      <c r="U3656" s="10">
        <f t="shared" ref="U3656" si="2323">T3656*1.12</f>
        <v>345000.00001600001</v>
      </c>
      <c r="V3656" s="8"/>
      <c r="W3656" s="11">
        <v>2015</v>
      </c>
      <c r="X3656" s="1"/>
    </row>
    <row r="3657" spans="1:24" ht="76.5" outlineLevel="1" x14ac:dyDescent="0.2">
      <c r="A3657" s="1" t="s">
        <v>9067</v>
      </c>
      <c r="B3657" s="24" t="s">
        <v>5277</v>
      </c>
      <c r="C3657" s="7" t="s">
        <v>2982</v>
      </c>
      <c r="D3657" s="7" t="s">
        <v>2983</v>
      </c>
      <c r="E3657" s="18" t="s">
        <v>5435</v>
      </c>
      <c r="F3657" s="25" t="s">
        <v>9068</v>
      </c>
      <c r="G3657" s="1" t="s">
        <v>3187</v>
      </c>
      <c r="H3657" s="17">
        <v>0.5</v>
      </c>
      <c r="I3657" s="18">
        <v>710000000</v>
      </c>
      <c r="J3657" s="4" t="s">
        <v>1931</v>
      </c>
      <c r="K3657" s="4" t="s">
        <v>554</v>
      </c>
      <c r="L3657" s="7" t="s">
        <v>2140</v>
      </c>
      <c r="M3657" s="8" t="s">
        <v>3195</v>
      </c>
      <c r="N3657" s="8" t="s">
        <v>1890</v>
      </c>
      <c r="O3657" s="16" t="s">
        <v>2146</v>
      </c>
      <c r="P3657" s="8">
        <v>796</v>
      </c>
      <c r="Q3657" s="8" t="s">
        <v>3196</v>
      </c>
      <c r="R3657" s="10">
        <v>100</v>
      </c>
      <c r="S3657" s="10">
        <v>1800</v>
      </c>
      <c r="T3657" s="10">
        <v>0</v>
      </c>
      <c r="U3657" s="10">
        <f t="shared" si="2321"/>
        <v>0</v>
      </c>
      <c r="V3657" s="8" t="s">
        <v>3027</v>
      </c>
      <c r="W3657" s="11">
        <v>2015</v>
      </c>
      <c r="X3657" s="1">
        <v>15.22</v>
      </c>
    </row>
    <row r="3658" spans="1:24" ht="76.5" outlineLevel="1" x14ac:dyDescent="0.2">
      <c r="A3658" s="1" t="s">
        <v>9393</v>
      </c>
      <c r="B3658" s="24" t="s">
        <v>5277</v>
      </c>
      <c r="C3658" s="7" t="s">
        <v>2982</v>
      </c>
      <c r="D3658" s="7" t="s">
        <v>2983</v>
      </c>
      <c r="E3658" s="18" t="s">
        <v>5435</v>
      </c>
      <c r="F3658" s="25" t="s">
        <v>9068</v>
      </c>
      <c r="G3658" s="1" t="s">
        <v>3187</v>
      </c>
      <c r="H3658" s="17">
        <v>0.5</v>
      </c>
      <c r="I3658" s="18">
        <v>710000000</v>
      </c>
      <c r="J3658" s="4" t="s">
        <v>1931</v>
      </c>
      <c r="K3658" s="4" t="s">
        <v>9394</v>
      </c>
      <c r="L3658" s="7" t="s">
        <v>2140</v>
      </c>
      <c r="M3658" s="8" t="s">
        <v>3195</v>
      </c>
      <c r="N3658" s="8" t="s">
        <v>1890</v>
      </c>
      <c r="O3658" s="16" t="s">
        <v>1935</v>
      </c>
      <c r="P3658" s="8">
        <v>796</v>
      </c>
      <c r="Q3658" s="8" t="s">
        <v>3196</v>
      </c>
      <c r="R3658" s="10">
        <v>100</v>
      </c>
      <c r="S3658" s="10">
        <v>1800</v>
      </c>
      <c r="T3658" s="10">
        <f t="shared" ref="T3658" si="2324">S3658*R3658</f>
        <v>180000</v>
      </c>
      <c r="U3658" s="10">
        <f t="shared" ref="U3658" si="2325">T3658*1.12</f>
        <v>201600.00000000003</v>
      </c>
      <c r="V3658" s="8"/>
      <c r="W3658" s="11">
        <v>2015</v>
      </c>
      <c r="X3658" s="1"/>
    </row>
    <row r="3659" spans="1:24" ht="76.5" customHeight="1" outlineLevel="1" x14ac:dyDescent="0.2">
      <c r="A3659" s="1" t="s">
        <v>9090</v>
      </c>
      <c r="B3659" s="24" t="s">
        <v>5277</v>
      </c>
      <c r="C3659" s="18" t="s">
        <v>9091</v>
      </c>
      <c r="D3659" s="18" t="s">
        <v>9092</v>
      </c>
      <c r="E3659" s="22" t="s">
        <v>9496</v>
      </c>
      <c r="F3659" s="22" t="s">
        <v>9093</v>
      </c>
      <c r="G3659" s="1" t="s">
        <v>3190</v>
      </c>
      <c r="H3659" s="17">
        <v>0</v>
      </c>
      <c r="I3659" s="18">
        <v>710000000</v>
      </c>
      <c r="J3659" s="4" t="s">
        <v>1931</v>
      </c>
      <c r="K3659" s="4" t="s">
        <v>7595</v>
      </c>
      <c r="L3659" s="18" t="s">
        <v>1889</v>
      </c>
      <c r="M3659" s="8" t="s">
        <v>3195</v>
      </c>
      <c r="N3659" s="8" t="s">
        <v>1890</v>
      </c>
      <c r="O3659" s="8" t="s">
        <v>1935</v>
      </c>
      <c r="P3659" s="8">
        <v>796</v>
      </c>
      <c r="Q3659" s="8" t="s">
        <v>3196</v>
      </c>
      <c r="R3659" s="10">
        <v>1</v>
      </c>
      <c r="S3659" s="10">
        <v>5000</v>
      </c>
      <c r="T3659" s="10">
        <f t="shared" ref="T3659" si="2326">R3659*S3659</f>
        <v>5000</v>
      </c>
      <c r="U3659" s="10">
        <f t="shared" si="2321"/>
        <v>5600.0000000000009</v>
      </c>
      <c r="V3659" s="8"/>
      <c r="W3659" s="11">
        <v>2015</v>
      </c>
      <c r="X3659" s="8"/>
    </row>
    <row r="3660" spans="1:24" ht="103.5" customHeight="1" outlineLevel="1" x14ac:dyDescent="0.2">
      <c r="A3660" s="1" t="s">
        <v>9094</v>
      </c>
      <c r="B3660" s="24" t="s">
        <v>5277</v>
      </c>
      <c r="C3660" s="18" t="s">
        <v>9095</v>
      </c>
      <c r="D3660" s="18" t="s">
        <v>1163</v>
      </c>
      <c r="E3660" s="18" t="s">
        <v>9096</v>
      </c>
      <c r="F3660" s="22" t="s">
        <v>9097</v>
      </c>
      <c r="G3660" s="1" t="s">
        <v>3190</v>
      </c>
      <c r="H3660" s="17">
        <v>0</v>
      </c>
      <c r="I3660" s="18">
        <v>710000000</v>
      </c>
      <c r="J3660" s="4" t="s">
        <v>1931</v>
      </c>
      <c r="K3660" s="4" t="s">
        <v>7595</v>
      </c>
      <c r="L3660" s="18" t="s">
        <v>1889</v>
      </c>
      <c r="M3660" s="8" t="s">
        <v>3195</v>
      </c>
      <c r="N3660" s="8" t="s">
        <v>1890</v>
      </c>
      <c r="O3660" s="8" t="s">
        <v>1935</v>
      </c>
      <c r="P3660" s="8">
        <v>796</v>
      </c>
      <c r="Q3660" s="8" t="s">
        <v>3196</v>
      </c>
      <c r="R3660" s="10">
        <v>2</v>
      </c>
      <c r="S3660" s="10">
        <v>20982.142899999999</v>
      </c>
      <c r="T3660" s="10">
        <v>0</v>
      </c>
      <c r="U3660" s="10">
        <f t="shared" ref="U3660" si="2327">T3660*1.12</f>
        <v>0</v>
      </c>
      <c r="V3660" s="8"/>
      <c r="W3660" s="11">
        <v>2015</v>
      </c>
      <c r="X3660" s="8" t="s">
        <v>7597</v>
      </c>
    </row>
    <row r="3661" spans="1:24" ht="103.5" customHeight="1" outlineLevel="1" x14ac:dyDescent="0.2">
      <c r="A3661" s="1" t="s">
        <v>9948</v>
      </c>
      <c r="B3661" s="24" t="s">
        <v>5277</v>
      </c>
      <c r="C3661" s="18" t="s">
        <v>9095</v>
      </c>
      <c r="D3661" s="18" t="s">
        <v>1163</v>
      </c>
      <c r="E3661" s="18" t="s">
        <v>9096</v>
      </c>
      <c r="F3661" s="22" t="s">
        <v>9097</v>
      </c>
      <c r="G3661" s="1" t="s">
        <v>3190</v>
      </c>
      <c r="H3661" s="17">
        <v>0</v>
      </c>
      <c r="I3661" s="18">
        <v>710000000</v>
      </c>
      <c r="J3661" s="4" t="s">
        <v>1931</v>
      </c>
      <c r="K3661" s="4" t="s">
        <v>9867</v>
      </c>
      <c r="L3661" s="18" t="s">
        <v>1889</v>
      </c>
      <c r="M3661" s="8" t="s">
        <v>3195</v>
      </c>
      <c r="N3661" s="8" t="s">
        <v>1890</v>
      </c>
      <c r="O3661" s="8" t="s">
        <v>1935</v>
      </c>
      <c r="P3661" s="8">
        <v>796</v>
      </c>
      <c r="Q3661" s="8" t="s">
        <v>3196</v>
      </c>
      <c r="R3661" s="10">
        <v>2</v>
      </c>
      <c r="S3661" s="10">
        <v>24107.14286</v>
      </c>
      <c r="T3661" s="10">
        <f t="shared" ref="T3661" si="2328">R3661*S3661</f>
        <v>48214.28572</v>
      </c>
      <c r="U3661" s="10">
        <f t="shared" ref="U3661" si="2329">T3661*1.12</f>
        <v>54000.000006400005</v>
      </c>
      <c r="V3661" s="8"/>
      <c r="W3661" s="11">
        <v>2015</v>
      </c>
      <c r="X3661" s="8"/>
    </row>
    <row r="3662" spans="1:24" ht="93.75" customHeight="1" outlineLevel="1" x14ac:dyDescent="0.2">
      <c r="A3662" s="1" t="s">
        <v>9098</v>
      </c>
      <c r="B3662" s="24" t="s">
        <v>5277</v>
      </c>
      <c r="C3662" s="18" t="s">
        <v>1211</v>
      </c>
      <c r="D3662" s="18" t="s">
        <v>1210</v>
      </c>
      <c r="E3662" s="18" t="s">
        <v>1209</v>
      </c>
      <c r="F3662" s="22" t="s">
        <v>9099</v>
      </c>
      <c r="G3662" s="1" t="s">
        <v>3190</v>
      </c>
      <c r="H3662" s="17">
        <v>0</v>
      </c>
      <c r="I3662" s="18">
        <v>710000000</v>
      </c>
      <c r="J3662" s="4" t="s">
        <v>1931</v>
      </c>
      <c r="K3662" s="4" t="s">
        <v>7595</v>
      </c>
      <c r="L3662" s="18" t="s">
        <v>1889</v>
      </c>
      <c r="M3662" s="8" t="s">
        <v>3195</v>
      </c>
      <c r="N3662" s="8" t="s">
        <v>1890</v>
      </c>
      <c r="O3662" s="8" t="s">
        <v>1935</v>
      </c>
      <c r="P3662" s="8">
        <v>796</v>
      </c>
      <c r="Q3662" s="8" t="s">
        <v>3196</v>
      </c>
      <c r="R3662" s="10">
        <v>1</v>
      </c>
      <c r="S3662" s="10">
        <v>24098.214199999999</v>
      </c>
      <c r="T3662" s="10">
        <v>0</v>
      </c>
      <c r="U3662" s="10">
        <f t="shared" ref="U3662" si="2330">T3662*1.12</f>
        <v>0</v>
      </c>
      <c r="V3662" s="8"/>
      <c r="W3662" s="11">
        <v>2015</v>
      </c>
      <c r="X3662" s="8" t="s">
        <v>7597</v>
      </c>
    </row>
    <row r="3663" spans="1:24" ht="93.75" customHeight="1" outlineLevel="1" x14ac:dyDescent="0.2">
      <c r="A3663" s="1" t="s">
        <v>9866</v>
      </c>
      <c r="B3663" s="24" t="s">
        <v>5277</v>
      </c>
      <c r="C3663" s="18" t="s">
        <v>1211</v>
      </c>
      <c r="D3663" s="18" t="s">
        <v>1210</v>
      </c>
      <c r="E3663" s="18" t="s">
        <v>1209</v>
      </c>
      <c r="F3663" s="22" t="s">
        <v>9099</v>
      </c>
      <c r="G3663" s="1" t="s">
        <v>3190</v>
      </c>
      <c r="H3663" s="17">
        <v>0</v>
      </c>
      <c r="I3663" s="18">
        <v>710000000</v>
      </c>
      <c r="J3663" s="4" t="s">
        <v>1931</v>
      </c>
      <c r="K3663" s="4" t="s">
        <v>9867</v>
      </c>
      <c r="L3663" s="18" t="s">
        <v>1889</v>
      </c>
      <c r="M3663" s="8" t="s">
        <v>3195</v>
      </c>
      <c r="N3663" s="8" t="s">
        <v>1890</v>
      </c>
      <c r="O3663" s="8" t="s">
        <v>1935</v>
      </c>
      <c r="P3663" s="8">
        <v>796</v>
      </c>
      <c r="Q3663" s="8" t="s">
        <v>3196</v>
      </c>
      <c r="R3663" s="10">
        <v>1</v>
      </c>
      <c r="S3663" s="10">
        <v>25883.92857</v>
      </c>
      <c r="T3663" s="10">
        <f t="shared" ref="T3663" si="2331">R3663*S3663</f>
        <v>25883.92857</v>
      </c>
      <c r="U3663" s="10">
        <f t="shared" ref="U3663" si="2332">T3663*1.12</f>
        <v>28989.999998400002</v>
      </c>
      <c r="V3663" s="8"/>
      <c r="W3663" s="11">
        <v>2015</v>
      </c>
      <c r="X3663" s="8"/>
    </row>
    <row r="3664" spans="1:24" ht="93.75" customHeight="1" outlineLevel="1" x14ac:dyDescent="0.2">
      <c r="A3664" s="1" t="s">
        <v>9100</v>
      </c>
      <c r="B3664" s="24" t="s">
        <v>5277</v>
      </c>
      <c r="C3664" s="22" t="s">
        <v>9101</v>
      </c>
      <c r="D3664" s="22" t="s">
        <v>9102</v>
      </c>
      <c r="E3664" s="22" t="s">
        <v>9102</v>
      </c>
      <c r="F3664" s="22" t="s">
        <v>9103</v>
      </c>
      <c r="G3664" s="1" t="s">
        <v>3190</v>
      </c>
      <c r="H3664" s="17">
        <v>0</v>
      </c>
      <c r="I3664" s="18">
        <v>710000000</v>
      </c>
      <c r="J3664" s="4" t="s">
        <v>1931</v>
      </c>
      <c r="K3664" s="4" t="s">
        <v>7595</v>
      </c>
      <c r="L3664" s="18" t="s">
        <v>1889</v>
      </c>
      <c r="M3664" s="8" t="s">
        <v>3195</v>
      </c>
      <c r="N3664" s="8" t="s">
        <v>1890</v>
      </c>
      <c r="O3664" s="8" t="s">
        <v>1935</v>
      </c>
      <c r="P3664" s="8">
        <v>796</v>
      </c>
      <c r="Q3664" s="8" t="s">
        <v>3196</v>
      </c>
      <c r="R3664" s="10">
        <v>1</v>
      </c>
      <c r="S3664" s="10">
        <v>22312.5</v>
      </c>
      <c r="T3664" s="10">
        <v>0</v>
      </c>
      <c r="U3664" s="10">
        <f t="shared" ref="U3664" si="2333">T3664*1.12</f>
        <v>0</v>
      </c>
      <c r="V3664" s="8"/>
      <c r="W3664" s="11">
        <v>2015</v>
      </c>
      <c r="X3664" s="8" t="s">
        <v>7597</v>
      </c>
    </row>
    <row r="3665" spans="1:24" ht="93.75" customHeight="1" outlineLevel="1" x14ac:dyDescent="0.2">
      <c r="A3665" s="1" t="s">
        <v>9868</v>
      </c>
      <c r="B3665" s="24" t="s">
        <v>5277</v>
      </c>
      <c r="C3665" s="22" t="s">
        <v>9101</v>
      </c>
      <c r="D3665" s="22" t="s">
        <v>9102</v>
      </c>
      <c r="E3665" s="22" t="s">
        <v>9102</v>
      </c>
      <c r="F3665" s="22" t="s">
        <v>9103</v>
      </c>
      <c r="G3665" s="1" t="s">
        <v>3190</v>
      </c>
      <c r="H3665" s="17">
        <v>0</v>
      </c>
      <c r="I3665" s="18">
        <v>710000000</v>
      </c>
      <c r="J3665" s="4" t="s">
        <v>1931</v>
      </c>
      <c r="K3665" s="4" t="s">
        <v>9867</v>
      </c>
      <c r="L3665" s="18" t="s">
        <v>1889</v>
      </c>
      <c r="M3665" s="8" t="s">
        <v>3195</v>
      </c>
      <c r="N3665" s="8" t="s">
        <v>1890</v>
      </c>
      <c r="O3665" s="8" t="s">
        <v>1935</v>
      </c>
      <c r="P3665" s="8">
        <v>796</v>
      </c>
      <c r="Q3665" s="8" t="s">
        <v>3196</v>
      </c>
      <c r="R3665" s="10">
        <v>1</v>
      </c>
      <c r="S3665" s="10">
        <v>31241.07143</v>
      </c>
      <c r="T3665" s="10">
        <f t="shared" ref="T3665" si="2334">R3665*S3665</f>
        <v>31241.07143</v>
      </c>
      <c r="U3665" s="10">
        <f t="shared" ref="U3665" si="2335">T3665*1.12</f>
        <v>34990.000001600005</v>
      </c>
      <c r="V3665" s="8"/>
      <c r="W3665" s="11">
        <v>2015</v>
      </c>
      <c r="X3665" s="8"/>
    </row>
    <row r="3666" spans="1:24" ht="93.75" customHeight="1" outlineLevel="1" x14ac:dyDescent="0.2">
      <c r="A3666" s="1" t="s">
        <v>9104</v>
      </c>
      <c r="B3666" s="24" t="s">
        <v>5277</v>
      </c>
      <c r="C3666" s="22" t="s">
        <v>9105</v>
      </c>
      <c r="D3666" s="22" t="s">
        <v>6054</v>
      </c>
      <c r="E3666" s="22" t="s">
        <v>9106</v>
      </c>
      <c r="F3666" s="22" t="s">
        <v>9107</v>
      </c>
      <c r="G3666" s="1" t="s">
        <v>3190</v>
      </c>
      <c r="H3666" s="17">
        <v>0</v>
      </c>
      <c r="I3666" s="18">
        <v>710000000</v>
      </c>
      <c r="J3666" s="4" t="s">
        <v>1931</v>
      </c>
      <c r="K3666" s="4" t="s">
        <v>7595</v>
      </c>
      <c r="L3666" s="18" t="s">
        <v>1889</v>
      </c>
      <c r="M3666" s="8" t="s">
        <v>3195</v>
      </c>
      <c r="N3666" s="8" t="s">
        <v>1890</v>
      </c>
      <c r="O3666" s="8" t="s">
        <v>1935</v>
      </c>
      <c r="P3666" s="8">
        <v>796</v>
      </c>
      <c r="Q3666" s="8" t="s">
        <v>3196</v>
      </c>
      <c r="R3666" s="10">
        <v>2</v>
      </c>
      <c r="S3666" s="10">
        <v>10705.357099999999</v>
      </c>
      <c r="T3666" s="10">
        <v>0</v>
      </c>
      <c r="U3666" s="10">
        <f t="shared" ref="U3666" si="2336">T3666*1.12</f>
        <v>0</v>
      </c>
      <c r="V3666" s="8"/>
      <c r="W3666" s="11">
        <v>2015</v>
      </c>
      <c r="X3666" s="8">
        <v>11</v>
      </c>
    </row>
    <row r="3667" spans="1:24" ht="93.75" customHeight="1" outlineLevel="1" x14ac:dyDescent="0.2">
      <c r="A3667" s="1" t="s">
        <v>9869</v>
      </c>
      <c r="B3667" s="24" t="s">
        <v>5277</v>
      </c>
      <c r="C3667" s="22" t="s">
        <v>9105</v>
      </c>
      <c r="D3667" s="22" t="s">
        <v>6054</v>
      </c>
      <c r="E3667" s="22" t="s">
        <v>9106</v>
      </c>
      <c r="F3667" s="22" t="s">
        <v>9107</v>
      </c>
      <c r="G3667" s="1" t="s">
        <v>3190</v>
      </c>
      <c r="H3667" s="17">
        <v>0</v>
      </c>
      <c r="I3667" s="18">
        <v>710000000</v>
      </c>
      <c r="J3667" s="4" t="s">
        <v>1931</v>
      </c>
      <c r="K3667" s="4" t="s">
        <v>9867</v>
      </c>
      <c r="L3667" s="18" t="s">
        <v>1889</v>
      </c>
      <c r="M3667" s="8" t="s">
        <v>3195</v>
      </c>
      <c r="N3667" s="8" t="s">
        <v>1890</v>
      </c>
      <c r="O3667" s="8" t="s">
        <v>1935</v>
      </c>
      <c r="P3667" s="8">
        <v>796</v>
      </c>
      <c r="Q3667" s="8" t="s">
        <v>3196</v>
      </c>
      <c r="R3667" s="10">
        <v>2</v>
      </c>
      <c r="S3667" s="10">
        <v>10705.357099999999</v>
      </c>
      <c r="T3667" s="10">
        <f t="shared" ref="T3667" si="2337">R3667*S3667</f>
        <v>21410.714199999999</v>
      </c>
      <c r="U3667" s="10">
        <f t="shared" ref="U3667" si="2338">T3667*1.12</f>
        <v>23979.999904</v>
      </c>
      <c r="V3667" s="8"/>
      <c r="W3667" s="11">
        <v>2015</v>
      </c>
      <c r="X3667" s="8"/>
    </row>
    <row r="3668" spans="1:24" ht="93.75" customHeight="1" outlineLevel="1" x14ac:dyDescent="0.2">
      <c r="A3668" s="1" t="s">
        <v>9108</v>
      </c>
      <c r="B3668" s="24" t="s">
        <v>5277</v>
      </c>
      <c r="C3668" s="22" t="s">
        <v>1201</v>
      </c>
      <c r="D3668" s="22" t="s">
        <v>1200</v>
      </c>
      <c r="E3668" s="22" t="s">
        <v>1199</v>
      </c>
      <c r="F3668" s="22" t="s">
        <v>9109</v>
      </c>
      <c r="G3668" s="1" t="s">
        <v>3190</v>
      </c>
      <c r="H3668" s="17">
        <v>0</v>
      </c>
      <c r="I3668" s="18">
        <v>710000000</v>
      </c>
      <c r="J3668" s="4" t="s">
        <v>1931</v>
      </c>
      <c r="K3668" s="4" t="s">
        <v>7595</v>
      </c>
      <c r="L3668" s="18" t="s">
        <v>1889</v>
      </c>
      <c r="M3668" s="8" t="s">
        <v>3195</v>
      </c>
      <c r="N3668" s="8" t="s">
        <v>1890</v>
      </c>
      <c r="O3668" s="8" t="s">
        <v>1935</v>
      </c>
      <c r="P3668" s="8">
        <v>796</v>
      </c>
      <c r="Q3668" s="8" t="s">
        <v>3196</v>
      </c>
      <c r="R3668" s="10">
        <v>1</v>
      </c>
      <c r="S3668" s="10">
        <v>31241.071400000001</v>
      </c>
      <c r="T3668" s="10">
        <v>0</v>
      </c>
      <c r="U3668" s="10">
        <f t="shared" ref="U3668" si="2339">T3668*1.12</f>
        <v>0</v>
      </c>
      <c r="V3668" s="8"/>
      <c r="W3668" s="11">
        <v>2015</v>
      </c>
      <c r="X3668" s="8" t="s">
        <v>7597</v>
      </c>
    </row>
    <row r="3669" spans="1:24" ht="93.75" customHeight="1" outlineLevel="1" x14ac:dyDescent="0.2">
      <c r="A3669" s="1" t="s">
        <v>9870</v>
      </c>
      <c r="B3669" s="24" t="s">
        <v>5277</v>
      </c>
      <c r="C3669" s="22" t="s">
        <v>1201</v>
      </c>
      <c r="D3669" s="22" t="s">
        <v>1200</v>
      </c>
      <c r="E3669" s="22" t="s">
        <v>1199</v>
      </c>
      <c r="F3669" s="22" t="s">
        <v>9109</v>
      </c>
      <c r="G3669" s="1" t="s">
        <v>3190</v>
      </c>
      <c r="H3669" s="17">
        <v>0</v>
      </c>
      <c r="I3669" s="18">
        <v>710000000</v>
      </c>
      <c r="J3669" s="4" t="s">
        <v>1931</v>
      </c>
      <c r="K3669" s="4" t="s">
        <v>9867</v>
      </c>
      <c r="L3669" s="18" t="s">
        <v>1889</v>
      </c>
      <c r="M3669" s="8" t="s">
        <v>3195</v>
      </c>
      <c r="N3669" s="8" t="s">
        <v>1890</v>
      </c>
      <c r="O3669" s="8" t="s">
        <v>1935</v>
      </c>
      <c r="P3669" s="8">
        <v>796</v>
      </c>
      <c r="Q3669" s="8" t="s">
        <v>3196</v>
      </c>
      <c r="R3669" s="10">
        <v>1</v>
      </c>
      <c r="S3669" s="10">
        <v>37491.071400000001</v>
      </c>
      <c r="T3669" s="10">
        <f t="shared" ref="T3669" si="2340">R3669*S3669</f>
        <v>37491.071400000001</v>
      </c>
      <c r="U3669" s="10">
        <f t="shared" ref="U3669" si="2341">T3669*1.12</f>
        <v>41989.999968000004</v>
      </c>
      <c r="V3669" s="8"/>
      <c r="W3669" s="11">
        <v>2015</v>
      </c>
      <c r="X3669" s="8"/>
    </row>
    <row r="3670" spans="1:24" ht="93.75" customHeight="1" outlineLevel="1" x14ac:dyDescent="0.2">
      <c r="A3670" s="1" t="s">
        <v>9110</v>
      </c>
      <c r="B3670" s="24" t="s">
        <v>5277</v>
      </c>
      <c r="C3670" s="22" t="s">
        <v>1201</v>
      </c>
      <c r="D3670" s="22" t="s">
        <v>1200</v>
      </c>
      <c r="E3670" s="22" t="s">
        <v>1199</v>
      </c>
      <c r="F3670" s="22" t="s">
        <v>9122</v>
      </c>
      <c r="G3670" s="1" t="s">
        <v>3190</v>
      </c>
      <c r="H3670" s="17">
        <v>0</v>
      </c>
      <c r="I3670" s="18">
        <v>710000000</v>
      </c>
      <c r="J3670" s="4" t="s">
        <v>1931</v>
      </c>
      <c r="K3670" s="4" t="s">
        <v>7595</v>
      </c>
      <c r="L3670" s="18" t="s">
        <v>9112</v>
      </c>
      <c r="M3670" s="8" t="s">
        <v>3195</v>
      </c>
      <c r="N3670" s="8" t="s">
        <v>1890</v>
      </c>
      <c r="O3670" s="8" t="s">
        <v>1935</v>
      </c>
      <c r="P3670" s="8">
        <v>796</v>
      </c>
      <c r="Q3670" s="8" t="s">
        <v>3196</v>
      </c>
      <c r="R3670" s="10">
        <v>1</v>
      </c>
      <c r="S3670" s="10">
        <v>22767.857100000001</v>
      </c>
      <c r="T3670" s="10">
        <v>0</v>
      </c>
      <c r="U3670" s="10">
        <f t="shared" ref="U3670" si="2342">T3670*1.12</f>
        <v>0</v>
      </c>
      <c r="V3670" s="8"/>
      <c r="W3670" s="11">
        <v>2015</v>
      </c>
      <c r="X3670" s="8" t="s">
        <v>6565</v>
      </c>
    </row>
    <row r="3671" spans="1:24" ht="93.75" customHeight="1" outlineLevel="1" x14ac:dyDescent="0.2">
      <c r="A3671" s="1" t="s">
        <v>9111</v>
      </c>
      <c r="B3671" s="24" t="s">
        <v>5277</v>
      </c>
      <c r="C3671" s="22" t="s">
        <v>1201</v>
      </c>
      <c r="D3671" s="22" t="s">
        <v>1200</v>
      </c>
      <c r="E3671" s="22" t="s">
        <v>1199</v>
      </c>
      <c r="F3671" s="22" t="s">
        <v>9123</v>
      </c>
      <c r="G3671" s="1" t="s">
        <v>3190</v>
      </c>
      <c r="H3671" s="17">
        <v>0</v>
      </c>
      <c r="I3671" s="18">
        <v>710000000</v>
      </c>
      <c r="J3671" s="4" t="s">
        <v>1931</v>
      </c>
      <c r="K3671" s="4" t="s">
        <v>7595</v>
      </c>
      <c r="L3671" s="18" t="s">
        <v>9112</v>
      </c>
      <c r="M3671" s="8" t="s">
        <v>3195</v>
      </c>
      <c r="N3671" s="8" t="s">
        <v>1890</v>
      </c>
      <c r="O3671" s="8" t="s">
        <v>1935</v>
      </c>
      <c r="P3671" s="8">
        <v>796</v>
      </c>
      <c r="Q3671" s="8" t="s">
        <v>3196</v>
      </c>
      <c r="R3671" s="10">
        <v>5</v>
      </c>
      <c r="S3671" s="10">
        <v>41517.857100000001</v>
      </c>
      <c r="T3671" s="10">
        <v>0</v>
      </c>
      <c r="U3671" s="10">
        <f t="shared" ref="U3671:U3673" si="2343">T3671*1.12</f>
        <v>0</v>
      </c>
      <c r="V3671" s="8"/>
      <c r="W3671" s="11">
        <v>2015</v>
      </c>
      <c r="X3671" s="8"/>
    </row>
    <row r="3672" spans="1:24" ht="93.75" customHeight="1" outlineLevel="1" x14ac:dyDescent="0.2">
      <c r="A3672" s="1" t="s">
        <v>9511</v>
      </c>
      <c r="B3672" s="24" t="s">
        <v>5277</v>
      </c>
      <c r="C3672" s="22" t="s">
        <v>1201</v>
      </c>
      <c r="D3672" s="22" t="s">
        <v>1200</v>
      </c>
      <c r="E3672" s="22" t="s">
        <v>1199</v>
      </c>
      <c r="F3672" s="22" t="s">
        <v>9123</v>
      </c>
      <c r="G3672" s="1" t="s">
        <v>3190</v>
      </c>
      <c r="H3672" s="17">
        <v>0</v>
      </c>
      <c r="I3672" s="18">
        <v>710000000</v>
      </c>
      <c r="J3672" s="4" t="s">
        <v>1931</v>
      </c>
      <c r="K3672" s="4" t="s">
        <v>7595</v>
      </c>
      <c r="L3672" s="18" t="s">
        <v>9112</v>
      </c>
      <c r="M3672" s="8" t="s">
        <v>3195</v>
      </c>
      <c r="N3672" s="8" t="s">
        <v>1890</v>
      </c>
      <c r="O3672" s="8" t="s">
        <v>1935</v>
      </c>
      <c r="P3672" s="8">
        <v>796</v>
      </c>
      <c r="Q3672" s="8" t="s">
        <v>3196</v>
      </c>
      <c r="R3672" s="10">
        <v>5</v>
      </c>
      <c r="S3672" s="10">
        <v>45982.142999999996</v>
      </c>
      <c r="T3672" s="10">
        <f t="shared" ref="T3672" si="2344">R3672*S3672</f>
        <v>229910.71499999997</v>
      </c>
      <c r="U3672" s="10">
        <f t="shared" ref="U3672" si="2345">T3672*1.12</f>
        <v>257500.00079999998</v>
      </c>
      <c r="V3672" s="8"/>
      <c r="W3672" s="11">
        <v>2015</v>
      </c>
      <c r="X3672" s="8"/>
    </row>
    <row r="3673" spans="1:24" ht="76.5" customHeight="1" outlineLevel="1" x14ac:dyDescent="0.2">
      <c r="A3673" s="1" t="s">
        <v>9155</v>
      </c>
      <c r="B3673" s="24" t="s">
        <v>5277</v>
      </c>
      <c r="C3673" s="22" t="s">
        <v>685</v>
      </c>
      <c r="D3673" s="22" t="s">
        <v>686</v>
      </c>
      <c r="E3673" s="22" t="s">
        <v>687</v>
      </c>
      <c r="F3673" s="22" t="s">
        <v>9160</v>
      </c>
      <c r="G3673" s="1" t="s">
        <v>3190</v>
      </c>
      <c r="H3673" s="17">
        <v>0</v>
      </c>
      <c r="I3673" s="18">
        <v>710000000</v>
      </c>
      <c r="J3673" s="4" t="s">
        <v>1931</v>
      </c>
      <c r="K3673" s="4" t="s">
        <v>9078</v>
      </c>
      <c r="L3673" s="18" t="s">
        <v>1889</v>
      </c>
      <c r="M3673" s="8" t="s">
        <v>3195</v>
      </c>
      <c r="N3673" s="8" t="s">
        <v>1890</v>
      </c>
      <c r="O3673" s="8" t="s">
        <v>1935</v>
      </c>
      <c r="P3673" s="1">
        <v>715</v>
      </c>
      <c r="Q3673" s="4" t="s">
        <v>5247</v>
      </c>
      <c r="R3673" s="10">
        <v>10</v>
      </c>
      <c r="S3673" s="10">
        <v>2401.7856999999999</v>
      </c>
      <c r="T3673" s="10">
        <f t="shared" ref="T3673:T3674" si="2346">R3673*S3673</f>
        <v>24017.857</v>
      </c>
      <c r="U3673" s="10">
        <f t="shared" si="2343"/>
        <v>26899.999840000004</v>
      </c>
      <c r="V3673" s="8"/>
      <c r="W3673" s="11">
        <v>2015</v>
      </c>
      <c r="X3673" s="8"/>
    </row>
    <row r="3674" spans="1:24" ht="86.25" customHeight="1" outlineLevel="1" x14ac:dyDescent="0.2">
      <c r="A3674" s="1" t="s">
        <v>9156</v>
      </c>
      <c r="B3674" s="24" t="s">
        <v>5277</v>
      </c>
      <c r="C3674" s="22" t="s">
        <v>9157</v>
      </c>
      <c r="D3674" s="22" t="s">
        <v>9158</v>
      </c>
      <c r="E3674" s="22" t="s">
        <v>687</v>
      </c>
      <c r="F3674" s="22" t="s">
        <v>9159</v>
      </c>
      <c r="G3674" s="1" t="s">
        <v>3190</v>
      </c>
      <c r="H3674" s="17">
        <v>0</v>
      </c>
      <c r="I3674" s="18">
        <v>710000000</v>
      </c>
      <c r="J3674" s="4" t="s">
        <v>1931</v>
      </c>
      <c r="K3674" s="4" t="s">
        <v>7595</v>
      </c>
      <c r="L3674" s="18" t="s">
        <v>1889</v>
      </c>
      <c r="M3674" s="8" t="s">
        <v>3195</v>
      </c>
      <c r="N3674" s="8" t="s">
        <v>1890</v>
      </c>
      <c r="O3674" s="8" t="s">
        <v>1935</v>
      </c>
      <c r="P3674" s="1">
        <v>715</v>
      </c>
      <c r="Q3674" s="4" t="s">
        <v>5247</v>
      </c>
      <c r="R3674" s="10">
        <v>2</v>
      </c>
      <c r="S3674" s="10">
        <v>2181.25</v>
      </c>
      <c r="T3674" s="10">
        <f t="shared" si="2346"/>
        <v>4362.5</v>
      </c>
      <c r="U3674" s="10">
        <f t="shared" ref="U3674" si="2347">T3674*1.12</f>
        <v>4886.0000000000009</v>
      </c>
      <c r="V3674" s="8"/>
      <c r="W3674" s="11">
        <v>2015</v>
      </c>
      <c r="X3674" s="8"/>
    </row>
    <row r="3675" spans="1:24" ht="86.25" customHeight="1" outlineLevel="1" x14ac:dyDescent="0.2">
      <c r="A3675" s="1" t="s">
        <v>9164</v>
      </c>
      <c r="B3675" s="24" t="s">
        <v>5277</v>
      </c>
      <c r="C3675" s="22" t="s">
        <v>9165</v>
      </c>
      <c r="D3675" s="22" t="s">
        <v>9166</v>
      </c>
      <c r="E3675" s="22" t="s">
        <v>9167</v>
      </c>
      <c r="F3675" s="22" t="s">
        <v>9168</v>
      </c>
      <c r="G3675" s="1" t="s">
        <v>3190</v>
      </c>
      <c r="H3675" s="17">
        <v>0</v>
      </c>
      <c r="I3675" s="18">
        <v>710000000</v>
      </c>
      <c r="J3675" s="4" t="s">
        <v>1931</v>
      </c>
      <c r="K3675" s="4" t="s">
        <v>7595</v>
      </c>
      <c r="L3675" s="18" t="s">
        <v>1889</v>
      </c>
      <c r="M3675" s="8" t="s">
        <v>3195</v>
      </c>
      <c r="N3675" s="8" t="s">
        <v>1890</v>
      </c>
      <c r="O3675" s="8" t="s">
        <v>1935</v>
      </c>
      <c r="P3675" s="8">
        <v>796</v>
      </c>
      <c r="Q3675" s="8" t="s">
        <v>3196</v>
      </c>
      <c r="R3675" s="10">
        <v>1</v>
      </c>
      <c r="S3675" s="10">
        <v>66964.289999999994</v>
      </c>
      <c r="T3675" s="10">
        <f t="shared" ref="T3675" si="2348">R3675*S3675</f>
        <v>66964.289999999994</v>
      </c>
      <c r="U3675" s="10">
        <f t="shared" ref="U3675:U3676" si="2349">T3675*1.12</f>
        <v>75000.004799999995</v>
      </c>
      <c r="V3675" s="8"/>
      <c r="W3675" s="11">
        <v>2015</v>
      </c>
      <c r="X3675" s="8"/>
    </row>
    <row r="3676" spans="1:24" ht="92.25" customHeight="1" outlineLevel="1" x14ac:dyDescent="0.2">
      <c r="A3676" s="1" t="s">
        <v>9169</v>
      </c>
      <c r="B3676" s="24" t="s">
        <v>5277</v>
      </c>
      <c r="C3676" s="25" t="s">
        <v>6923</v>
      </c>
      <c r="D3676" s="25" t="s">
        <v>6924</v>
      </c>
      <c r="E3676" s="25" t="s">
        <v>6925</v>
      </c>
      <c r="F3676" s="25" t="s">
        <v>9170</v>
      </c>
      <c r="G3676" s="1" t="s">
        <v>3190</v>
      </c>
      <c r="H3676" s="17">
        <v>0.5</v>
      </c>
      <c r="I3676" s="18">
        <v>710000000</v>
      </c>
      <c r="J3676" s="4" t="s">
        <v>1931</v>
      </c>
      <c r="K3676" s="4" t="s">
        <v>7595</v>
      </c>
      <c r="L3676" s="7" t="s">
        <v>2140</v>
      </c>
      <c r="M3676" s="8" t="s">
        <v>3195</v>
      </c>
      <c r="N3676" s="8" t="s">
        <v>1890</v>
      </c>
      <c r="O3676" s="16" t="s">
        <v>2146</v>
      </c>
      <c r="P3676" s="8">
        <v>796</v>
      </c>
      <c r="Q3676" s="8" t="s">
        <v>3196</v>
      </c>
      <c r="R3676" s="10">
        <v>2</v>
      </c>
      <c r="S3676" s="10">
        <v>65000</v>
      </c>
      <c r="T3676" s="10">
        <f t="shared" ref="T3676" si="2350">S3676*R3676</f>
        <v>130000</v>
      </c>
      <c r="U3676" s="10">
        <f t="shared" si="2349"/>
        <v>145600</v>
      </c>
      <c r="V3676" s="8"/>
      <c r="W3676" s="11">
        <v>2015</v>
      </c>
      <c r="X3676" s="1"/>
    </row>
    <row r="3677" spans="1:24" ht="86.25" customHeight="1" outlineLevel="1" x14ac:dyDescent="0.2">
      <c r="A3677" s="1" t="s">
        <v>9171</v>
      </c>
      <c r="B3677" s="24" t="s">
        <v>5277</v>
      </c>
      <c r="C3677" s="25" t="s">
        <v>9172</v>
      </c>
      <c r="D3677" s="25" t="s">
        <v>2789</v>
      </c>
      <c r="E3677" s="25" t="s">
        <v>9173</v>
      </c>
      <c r="F3677" s="22" t="s">
        <v>9174</v>
      </c>
      <c r="G3677" s="1" t="s">
        <v>3190</v>
      </c>
      <c r="H3677" s="17">
        <v>0</v>
      </c>
      <c r="I3677" s="18">
        <v>710000000</v>
      </c>
      <c r="J3677" s="4" t="s">
        <v>1931</v>
      </c>
      <c r="K3677" s="4" t="s">
        <v>7595</v>
      </c>
      <c r="L3677" s="18" t="s">
        <v>1889</v>
      </c>
      <c r="M3677" s="8" t="s">
        <v>3195</v>
      </c>
      <c r="N3677" s="8" t="s">
        <v>1890</v>
      </c>
      <c r="O3677" s="8" t="s">
        <v>1935</v>
      </c>
      <c r="P3677" s="8">
        <v>796</v>
      </c>
      <c r="Q3677" s="8" t="s">
        <v>3196</v>
      </c>
      <c r="R3677" s="10">
        <v>16</v>
      </c>
      <c r="S3677" s="10">
        <v>2906.25</v>
      </c>
      <c r="T3677" s="10">
        <f t="shared" ref="T3677" si="2351">R3677*S3677</f>
        <v>46500</v>
      </c>
      <c r="U3677" s="10">
        <f t="shared" ref="U3677" si="2352">T3677*1.12</f>
        <v>52080.000000000007</v>
      </c>
      <c r="V3677" s="8"/>
      <c r="W3677" s="11">
        <v>2015</v>
      </c>
      <c r="X3677" s="8"/>
    </row>
    <row r="3678" spans="1:24" ht="86.25" customHeight="1" outlineLevel="1" x14ac:dyDescent="0.2">
      <c r="A3678" s="1" t="s">
        <v>9175</v>
      </c>
      <c r="B3678" s="24" t="s">
        <v>5277</v>
      </c>
      <c r="C3678" s="25" t="s">
        <v>9172</v>
      </c>
      <c r="D3678" s="25" t="s">
        <v>2789</v>
      </c>
      <c r="E3678" s="25" t="s">
        <v>9173</v>
      </c>
      <c r="F3678" s="22" t="s">
        <v>9178</v>
      </c>
      <c r="G3678" s="1" t="s">
        <v>3190</v>
      </c>
      <c r="H3678" s="17">
        <v>0</v>
      </c>
      <c r="I3678" s="18">
        <v>710000000</v>
      </c>
      <c r="J3678" s="4" t="s">
        <v>1931</v>
      </c>
      <c r="K3678" s="4" t="s">
        <v>7595</v>
      </c>
      <c r="L3678" s="18" t="s">
        <v>1889</v>
      </c>
      <c r="M3678" s="8" t="s">
        <v>3195</v>
      </c>
      <c r="N3678" s="8" t="s">
        <v>1890</v>
      </c>
      <c r="O3678" s="8" t="s">
        <v>1935</v>
      </c>
      <c r="P3678" s="8">
        <v>796</v>
      </c>
      <c r="Q3678" s="8" t="s">
        <v>3196</v>
      </c>
      <c r="R3678" s="10">
        <v>60</v>
      </c>
      <c r="S3678" s="10">
        <v>3392.8571000000002</v>
      </c>
      <c r="T3678" s="10">
        <f t="shared" ref="T3678" si="2353">R3678*S3678</f>
        <v>203571.42600000001</v>
      </c>
      <c r="U3678" s="10">
        <f t="shared" ref="U3678" si="2354">T3678*1.12</f>
        <v>227999.99712000004</v>
      </c>
      <c r="V3678" s="8"/>
      <c r="W3678" s="11">
        <v>2015</v>
      </c>
      <c r="X3678" s="8"/>
    </row>
    <row r="3679" spans="1:24" ht="86.25" customHeight="1" outlineLevel="1" x14ac:dyDescent="0.2">
      <c r="A3679" s="1" t="s">
        <v>9179</v>
      </c>
      <c r="B3679" s="24" t="s">
        <v>5277</v>
      </c>
      <c r="C3679" s="25" t="s">
        <v>9176</v>
      </c>
      <c r="D3679" s="25" t="s">
        <v>2789</v>
      </c>
      <c r="E3679" s="25" t="s">
        <v>9177</v>
      </c>
      <c r="F3679" s="22" t="s">
        <v>9180</v>
      </c>
      <c r="G3679" s="1" t="s">
        <v>3190</v>
      </c>
      <c r="H3679" s="17">
        <v>0</v>
      </c>
      <c r="I3679" s="18">
        <v>710000000</v>
      </c>
      <c r="J3679" s="4" t="s">
        <v>1931</v>
      </c>
      <c r="K3679" s="4" t="s">
        <v>7595</v>
      </c>
      <c r="L3679" s="18" t="s">
        <v>1889</v>
      </c>
      <c r="M3679" s="8" t="s">
        <v>3195</v>
      </c>
      <c r="N3679" s="8" t="s">
        <v>1890</v>
      </c>
      <c r="O3679" s="8" t="s">
        <v>1935</v>
      </c>
      <c r="P3679" s="8">
        <v>796</v>
      </c>
      <c r="Q3679" s="8" t="s">
        <v>3196</v>
      </c>
      <c r="R3679" s="10">
        <v>24</v>
      </c>
      <c r="S3679" s="10">
        <v>8178.5713999999998</v>
      </c>
      <c r="T3679" s="10">
        <f t="shared" ref="T3679" si="2355">R3679*S3679</f>
        <v>196285.71359999999</v>
      </c>
      <c r="U3679" s="10">
        <f t="shared" ref="U3679" si="2356">T3679*1.12</f>
        <v>219839.999232</v>
      </c>
      <c r="V3679" s="8"/>
      <c r="W3679" s="11">
        <v>2015</v>
      </c>
      <c r="X3679" s="8"/>
    </row>
    <row r="3680" spans="1:24" ht="86.25" customHeight="1" outlineLevel="1" x14ac:dyDescent="0.2">
      <c r="A3680" s="1" t="s">
        <v>9193</v>
      </c>
      <c r="B3680" s="24" t="s">
        <v>5277</v>
      </c>
      <c r="C3680" s="25" t="s">
        <v>9176</v>
      </c>
      <c r="D3680" s="25" t="s">
        <v>2789</v>
      </c>
      <c r="E3680" s="25" t="s">
        <v>9177</v>
      </c>
      <c r="F3680" s="22" t="s">
        <v>9181</v>
      </c>
      <c r="G3680" s="1" t="s">
        <v>3190</v>
      </c>
      <c r="H3680" s="17">
        <v>0</v>
      </c>
      <c r="I3680" s="18">
        <v>710000000</v>
      </c>
      <c r="J3680" s="4" t="s">
        <v>1931</v>
      </c>
      <c r="K3680" s="4" t="s">
        <v>7595</v>
      </c>
      <c r="L3680" s="18" t="s">
        <v>1889</v>
      </c>
      <c r="M3680" s="8" t="s">
        <v>3195</v>
      </c>
      <c r="N3680" s="8" t="s">
        <v>1890</v>
      </c>
      <c r="O3680" s="8" t="s">
        <v>1935</v>
      </c>
      <c r="P3680" s="8">
        <v>796</v>
      </c>
      <c r="Q3680" s="8" t="s">
        <v>3196</v>
      </c>
      <c r="R3680" s="10">
        <v>10</v>
      </c>
      <c r="S3680" s="10">
        <v>6106.25</v>
      </c>
      <c r="T3680" s="10">
        <f t="shared" ref="T3680" si="2357">R3680*S3680</f>
        <v>61062.5</v>
      </c>
      <c r="U3680" s="10">
        <f t="shared" ref="U3680:U3681" si="2358">T3680*1.12</f>
        <v>68390</v>
      </c>
      <c r="V3680" s="8"/>
      <c r="W3680" s="11">
        <v>2015</v>
      </c>
      <c r="X3680" s="8"/>
    </row>
    <row r="3681" spans="1:25" s="61" customFormat="1" ht="76.5" customHeight="1" outlineLevel="1" x14ac:dyDescent="0.2">
      <c r="A3681" s="1" t="s">
        <v>9196</v>
      </c>
      <c r="B3681" s="38" t="s">
        <v>5277</v>
      </c>
      <c r="C3681" s="18" t="s">
        <v>9194</v>
      </c>
      <c r="D3681" s="18" t="s">
        <v>1564</v>
      </c>
      <c r="E3681" s="18" t="s">
        <v>9195</v>
      </c>
      <c r="F3681" s="18" t="s">
        <v>9198</v>
      </c>
      <c r="G3681" s="4" t="s">
        <v>3190</v>
      </c>
      <c r="H3681" s="5">
        <v>0</v>
      </c>
      <c r="I3681" s="6">
        <v>710000000</v>
      </c>
      <c r="J3681" s="4" t="s">
        <v>1931</v>
      </c>
      <c r="K3681" s="4" t="s">
        <v>7595</v>
      </c>
      <c r="L3681" s="18" t="s">
        <v>1708</v>
      </c>
      <c r="M3681" s="53" t="s">
        <v>3195</v>
      </c>
      <c r="N3681" s="53" t="s">
        <v>1890</v>
      </c>
      <c r="O3681" s="8" t="s">
        <v>1935</v>
      </c>
      <c r="P3681" s="8">
        <v>796</v>
      </c>
      <c r="Q3681" s="8" t="s">
        <v>3196</v>
      </c>
      <c r="R3681" s="9">
        <v>4</v>
      </c>
      <c r="S3681" s="10">
        <v>1613.3928000000001</v>
      </c>
      <c r="T3681" s="10">
        <v>0</v>
      </c>
      <c r="U3681" s="10">
        <f t="shared" si="2358"/>
        <v>0</v>
      </c>
      <c r="V3681" s="7"/>
      <c r="W3681" s="11">
        <v>2015</v>
      </c>
      <c r="X3681" s="12" t="s">
        <v>8195</v>
      </c>
      <c r="Y3681" s="21"/>
    </row>
    <row r="3682" spans="1:25" s="61" customFormat="1" ht="76.5" customHeight="1" outlineLevel="1" x14ac:dyDescent="0.2">
      <c r="A3682" s="1" t="s">
        <v>9903</v>
      </c>
      <c r="B3682" s="38" t="s">
        <v>5277</v>
      </c>
      <c r="C3682" s="18" t="s">
        <v>9194</v>
      </c>
      <c r="D3682" s="18" t="s">
        <v>1564</v>
      </c>
      <c r="E3682" s="18" t="s">
        <v>9195</v>
      </c>
      <c r="F3682" s="18" t="s">
        <v>9198</v>
      </c>
      <c r="G3682" s="4" t="s">
        <v>3190</v>
      </c>
      <c r="H3682" s="5">
        <v>0</v>
      </c>
      <c r="I3682" s="6">
        <v>710000000</v>
      </c>
      <c r="J3682" s="4" t="s">
        <v>1931</v>
      </c>
      <c r="K3682" s="4" t="s">
        <v>9867</v>
      </c>
      <c r="L3682" s="18" t="s">
        <v>1708</v>
      </c>
      <c r="M3682" s="53" t="s">
        <v>3195</v>
      </c>
      <c r="N3682" s="53" t="s">
        <v>1890</v>
      </c>
      <c r="O3682" s="8" t="s">
        <v>1935</v>
      </c>
      <c r="P3682" s="8">
        <v>796</v>
      </c>
      <c r="Q3682" s="8" t="s">
        <v>3196</v>
      </c>
      <c r="R3682" s="9">
        <v>2</v>
      </c>
      <c r="S3682" s="10">
        <v>3110.7141999999999</v>
      </c>
      <c r="T3682" s="10">
        <f t="shared" ref="T3682" si="2359">S3682*R3682</f>
        <v>6221.4283999999998</v>
      </c>
      <c r="U3682" s="10">
        <f t="shared" ref="U3682" si="2360">T3682*1.12</f>
        <v>6967.9998080000005</v>
      </c>
      <c r="V3682" s="7"/>
      <c r="W3682" s="11">
        <v>2015</v>
      </c>
      <c r="X3682" s="12"/>
      <c r="Y3682" s="21"/>
    </row>
    <row r="3683" spans="1:25" s="61" customFormat="1" ht="76.5" customHeight="1" outlineLevel="1" x14ac:dyDescent="0.2">
      <c r="A3683" s="1" t="s">
        <v>9207</v>
      </c>
      <c r="B3683" s="38" t="s">
        <v>5277</v>
      </c>
      <c r="C3683" s="18" t="s">
        <v>9194</v>
      </c>
      <c r="D3683" s="18" t="s">
        <v>1564</v>
      </c>
      <c r="E3683" s="18" t="s">
        <v>9195</v>
      </c>
      <c r="F3683" s="18" t="s">
        <v>9197</v>
      </c>
      <c r="G3683" s="4" t="s">
        <v>3190</v>
      </c>
      <c r="H3683" s="5">
        <v>0</v>
      </c>
      <c r="I3683" s="6">
        <v>710000000</v>
      </c>
      <c r="J3683" s="4" t="s">
        <v>1931</v>
      </c>
      <c r="K3683" s="4" t="s">
        <v>7595</v>
      </c>
      <c r="L3683" s="18" t="s">
        <v>1708</v>
      </c>
      <c r="M3683" s="53" t="s">
        <v>3195</v>
      </c>
      <c r="N3683" s="53" t="s">
        <v>1890</v>
      </c>
      <c r="O3683" s="8" t="s">
        <v>1935</v>
      </c>
      <c r="P3683" s="8">
        <v>796</v>
      </c>
      <c r="Q3683" s="8" t="s">
        <v>3196</v>
      </c>
      <c r="R3683" s="9">
        <v>4</v>
      </c>
      <c r="S3683" s="10">
        <v>12504.4642</v>
      </c>
      <c r="T3683" s="10">
        <v>0</v>
      </c>
      <c r="U3683" s="10">
        <f t="shared" ref="U3683:U3687" si="2361">T3683*1.12</f>
        <v>0</v>
      </c>
      <c r="V3683" s="7"/>
      <c r="W3683" s="11">
        <v>2015</v>
      </c>
      <c r="X3683" s="12" t="s">
        <v>8195</v>
      </c>
      <c r="Y3683" s="21"/>
    </row>
    <row r="3684" spans="1:25" s="61" customFormat="1" ht="76.5" customHeight="1" outlineLevel="1" x14ac:dyDescent="0.2">
      <c r="A3684" s="1" t="s">
        <v>9904</v>
      </c>
      <c r="B3684" s="38" t="s">
        <v>5277</v>
      </c>
      <c r="C3684" s="18" t="s">
        <v>9194</v>
      </c>
      <c r="D3684" s="18" t="s">
        <v>1564</v>
      </c>
      <c r="E3684" s="18" t="s">
        <v>9195</v>
      </c>
      <c r="F3684" s="18" t="s">
        <v>9197</v>
      </c>
      <c r="G3684" s="4" t="s">
        <v>3190</v>
      </c>
      <c r="H3684" s="5">
        <v>0</v>
      </c>
      <c r="I3684" s="6">
        <v>710000000</v>
      </c>
      <c r="J3684" s="4" t="s">
        <v>1931</v>
      </c>
      <c r="K3684" s="4" t="s">
        <v>9867</v>
      </c>
      <c r="L3684" s="18" t="s">
        <v>1708</v>
      </c>
      <c r="M3684" s="53" t="s">
        <v>3195</v>
      </c>
      <c r="N3684" s="53" t="s">
        <v>1890</v>
      </c>
      <c r="O3684" s="8" t="s">
        <v>1935</v>
      </c>
      <c r="P3684" s="8">
        <v>796</v>
      </c>
      <c r="Q3684" s="8" t="s">
        <v>3196</v>
      </c>
      <c r="R3684" s="9">
        <v>2</v>
      </c>
      <c r="S3684" s="10">
        <v>20945.5357</v>
      </c>
      <c r="T3684" s="10">
        <f t="shared" ref="T3684" si="2362">S3684*R3684</f>
        <v>41891.071400000001</v>
      </c>
      <c r="U3684" s="10">
        <f t="shared" ref="U3684" si="2363">T3684*1.12</f>
        <v>46917.999968000004</v>
      </c>
      <c r="V3684" s="7"/>
      <c r="W3684" s="11">
        <v>2015</v>
      </c>
      <c r="X3684" s="12"/>
      <c r="Y3684" s="21"/>
    </row>
    <row r="3685" spans="1:25" ht="92.25" customHeight="1" outlineLevel="1" x14ac:dyDescent="0.2">
      <c r="A3685" s="1" t="s">
        <v>9218</v>
      </c>
      <c r="B3685" s="24" t="s">
        <v>5277</v>
      </c>
      <c r="C3685" s="25" t="s">
        <v>9208</v>
      </c>
      <c r="D3685" s="25" t="s">
        <v>9209</v>
      </c>
      <c r="E3685" s="25" t="s">
        <v>9210</v>
      </c>
      <c r="F3685" s="25" t="s">
        <v>9211</v>
      </c>
      <c r="G3685" s="1" t="s">
        <v>3190</v>
      </c>
      <c r="H3685" s="17">
        <v>0.5</v>
      </c>
      <c r="I3685" s="18">
        <v>710000000</v>
      </c>
      <c r="J3685" s="4" t="s">
        <v>1931</v>
      </c>
      <c r="K3685" s="4" t="s">
        <v>7595</v>
      </c>
      <c r="L3685" s="7" t="s">
        <v>2140</v>
      </c>
      <c r="M3685" s="8" t="s">
        <v>3195</v>
      </c>
      <c r="N3685" s="8" t="s">
        <v>1890</v>
      </c>
      <c r="O3685" s="16" t="s">
        <v>2146</v>
      </c>
      <c r="P3685" s="1" t="s">
        <v>3010</v>
      </c>
      <c r="Q3685" s="4" t="s">
        <v>3009</v>
      </c>
      <c r="R3685" s="10">
        <v>50</v>
      </c>
      <c r="S3685" s="10">
        <v>300</v>
      </c>
      <c r="T3685" s="10">
        <f t="shared" ref="T3685:T3701" si="2364">S3685*R3685</f>
        <v>15000</v>
      </c>
      <c r="U3685" s="10">
        <f t="shared" si="2361"/>
        <v>16800</v>
      </c>
      <c r="V3685" s="8"/>
      <c r="W3685" s="11">
        <v>2015</v>
      </c>
      <c r="X3685" s="1"/>
    </row>
    <row r="3686" spans="1:25" s="13" customFormat="1" ht="76.5" customHeight="1" outlineLevel="1" x14ac:dyDescent="0.2">
      <c r="A3686" s="1" t="s">
        <v>9224</v>
      </c>
      <c r="B3686" s="2" t="s">
        <v>5277</v>
      </c>
      <c r="C3686" s="2" t="s">
        <v>371</v>
      </c>
      <c r="D3686" s="2" t="s">
        <v>370</v>
      </c>
      <c r="E3686" s="2" t="s">
        <v>369</v>
      </c>
      <c r="F3686" s="2" t="s">
        <v>9219</v>
      </c>
      <c r="G3686" s="3" t="s">
        <v>3190</v>
      </c>
      <c r="H3686" s="5">
        <v>0</v>
      </c>
      <c r="I3686" s="6">
        <v>710000000</v>
      </c>
      <c r="J3686" s="4" t="s">
        <v>1931</v>
      </c>
      <c r="K3686" s="4" t="s">
        <v>7595</v>
      </c>
      <c r="L3686" s="3" t="s">
        <v>1889</v>
      </c>
      <c r="M3686" s="8" t="s">
        <v>3195</v>
      </c>
      <c r="N3686" s="3" t="s">
        <v>1890</v>
      </c>
      <c r="O3686" s="8" t="s">
        <v>1935</v>
      </c>
      <c r="P3686" s="8">
        <v>796</v>
      </c>
      <c r="Q3686" s="8" t="s">
        <v>3196</v>
      </c>
      <c r="R3686" s="69">
        <v>10</v>
      </c>
      <c r="S3686" s="69">
        <v>1200</v>
      </c>
      <c r="T3686" s="10">
        <f t="shared" si="2364"/>
        <v>12000</v>
      </c>
      <c r="U3686" s="10">
        <f t="shared" si="2361"/>
        <v>13440.000000000002</v>
      </c>
      <c r="V3686" s="7"/>
      <c r="W3686" s="1">
        <v>2015</v>
      </c>
      <c r="X3686" s="62"/>
    </row>
    <row r="3687" spans="1:25" ht="76.5" customHeight="1" outlineLevel="1" x14ac:dyDescent="0.2">
      <c r="A3687" s="1" t="s">
        <v>9225</v>
      </c>
      <c r="B3687" s="24" t="s">
        <v>5277</v>
      </c>
      <c r="C3687" s="2" t="s">
        <v>2298</v>
      </c>
      <c r="D3687" s="2" t="s">
        <v>5814</v>
      </c>
      <c r="E3687" s="2" t="s">
        <v>2299</v>
      </c>
      <c r="F3687" s="25"/>
      <c r="G3687" s="3" t="s">
        <v>3190</v>
      </c>
      <c r="H3687" s="17">
        <v>0</v>
      </c>
      <c r="I3687" s="18">
        <v>710000000</v>
      </c>
      <c r="J3687" s="4" t="s">
        <v>1931</v>
      </c>
      <c r="K3687" s="4" t="s">
        <v>7595</v>
      </c>
      <c r="L3687" s="7" t="s">
        <v>1932</v>
      </c>
      <c r="M3687" s="8" t="s">
        <v>3195</v>
      </c>
      <c r="N3687" s="4" t="s">
        <v>1890</v>
      </c>
      <c r="O3687" s="8" t="s">
        <v>1935</v>
      </c>
      <c r="P3687" s="1">
        <v>876</v>
      </c>
      <c r="Q3687" s="4" t="s">
        <v>3139</v>
      </c>
      <c r="R3687" s="10">
        <v>48</v>
      </c>
      <c r="S3687" s="10">
        <v>720</v>
      </c>
      <c r="T3687" s="10">
        <f t="shared" si="2364"/>
        <v>34560</v>
      </c>
      <c r="U3687" s="10">
        <f t="shared" si="2361"/>
        <v>38707.200000000004</v>
      </c>
      <c r="V3687" s="8"/>
      <c r="W3687" s="11">
        <v>2015</v>
      </c>
      <c r="X3687" s="4"/>
    </row>
    <row r="3688" spans="1:25" ht="76.5" customHeight="1" outlineLevel="1" x14ac:dyDescent="0.2">
      <c r="A3688" s="1" t="s">
        <v>9226</v>
      </c>
      <c r="B3688" s="24" t="s">
        <v>5277</v>
      </c>
      <c r="C3688" s="2" t="s">
        <v>6541</v>
      </c>
      <c r="D3688" s="2" t="s">
        <v>601</v>
      </c>
      <c r="E3688" s="2" t="s">
        <v>602</v>
      </c>
      <c r="F3688" s="25"/>
      <c r="G3688" s="3" t="s">
        <v>3190</v>
      </c>
      <c r="H3688" s="17">
        <v>0</v>
      </c>
      <c r="I3688" s="18">
        <v>710000000</v>
      </c>
      <c r="J3688" s="4" t="s">
        <v>1931</v>
      </c>
      <c r="K3688" s="4" t="s">
        <v>7595</v>
      </c>
      <c r="L3688" s="7" t="s">
        <v>1932</v>
      </c>
      <c r="M3688" s="8" t="s">
        <v>3195</v>
      </c>
      <c r="N3688" s="4" t="s">
        <v>1890</v>
      </c>
      <c r="O3688" s="8" t="s">
        <v>1935</v>
      </c>
      <c r="P3688" s="8">
        <v>796</v>
      </c>
      <c r="Q3688" s="8" t="s">
        <v>3196</v>
      </c>
      <c r="R3688" s="10">
        <v>120</v>
      </c>
      <c r="S3688" s="10">
        <v>550</v>
      </c>
      <c r="T3688" s="10">
        <f t="shared" si="2364"/>
        <v>66000</v>
      </c>
      <c r="U3688" s="10">
        <f t="shared" ref="U3688" si="2365">T3688*1.12</f>
        <v>73920</v>
      </c>
      <c r="V3688" s="8"/>
      <c r="W3688" s="11">
        <v>2015</v>
      </c>
      <c r="X3688" s="4"/>
    </row>
    <row r="3689" spans="1:25" ht="114.75" customHeight="1" outlineLevel="1" x14ac:dyDescent="0.2">
      <c r="A3689" s="1" t="s">
        <v>9230</v>
      </c>
      <c r="B3689" s="24" t="s">
        <v>5277</v>
      </c>
      <c r="C3689" s="2" t="s">
        <v>9227</v>
      </c>
      <c r="D3689" s="2" t="s">
        <v>9228</v>
      </c>
      <c r="E3689" s="2" t="s">
        <v>7040</v>
      </c>
      <c r="F3689" s="25" t="s">
        <v>9229</v>
      </c>
      <c r="G3689" s="3" t="s">
        <v>3190</v>
      </c>
      <c r="H3689" s="17">
        <v>0</v>
      </c>
      <c r="I3689" s="18">
        <v>710000000</v>
      </c>
      <c r="J3689" s="4" t="s">
        <v>1931</v>
      </c>
      <c r="K3689" s="4" t="s">
        <v>7595</v>
      </c>
      <c r="L3689" s="7" t="s">
        <v>1932</v>
      </c>
      <c r="M3689" s="8" t="s">
        <v>3195</v>
      </c>
      <c r="N3689" s="4" t="s">
        <v>1890</v>
      </c>
      <c r="O3689" s="8" t="s">
        <v>1935</v>
      </c>
      <c r="P3689" s="1">
        <v>876</v>
      </c>
      <c r="Q3689" s="4" t="s">
        <v>3139</v>
      </c>
      <c r="R3689" s="10">
        <v>24</v>
      </c>
      <c r="S3689" s="10">
        <v>930</v>
      </c>
      <c r="T3689" s="10">
        <f t="shared" si="2364"/>
        <v>22320</v>
      </c>
      <c r="U3689" s="10">
        <f t="shared" ref="U3689" si="2366">T3689*1.12</f>
        <v>24998.400000000001</v>
      </c>
      <c r="V3689" s="8"/>
      <c r="W3689" s="11">
        <v>2015</v>
      </c>
      <c r="X3689" s="4"/>
    </row>
    <row r="3690" spans="1:25" ht="76.5" customHeight="1" outlineLevel="1" x14ac:dyDescent="0.2">
      <c r="A3690" s="1" t="s">
        <v>9231</v>
      </c>
      <c r="B3690" s="24" t="s">
        <v>5277</v>
      </c>
      <c r="C3690" s="17" t="s">
        <v>604</v>
      </c>
      <c r="D3690" s="17" t="s">
        <v>605</v>
      </c>
      <c r="E3690" s="2" t="s">
        <v>6542</v>
      </c>
      <c r="F3690" s="25"/>
      <c r="G3690" s="3" t="s">
        <v>3190</v>
      </c>
      <c r="H3690" s="17">
        <v>0</v>
      </c>
      <c r="I3690" s="18">
        <v>710000000</v>
      </c>
      <c r="J3690" s="4" t="s">
        <v>1931</v>
      </c>
      <c r="K3690" s="4" t="s">
        <v>7595</v>
      </c>
      <c r="L3690" s="7" t="s">
        <v>1932</v>
      </c>
      <c r="M3690" s="8" t="s">
        <v>3195</v>
      </c>
      <c r="N3690" s="4" t="s">
        <v>1890</v>
      </c>
      <c r="O3690" s="8" t="s">
        <v>1935</v>
      </c>
      <c r="P3690" s="8">
        <v>796</v>
      </c>
      <c r="Q3690" s="8" t="s">
        <v>3196</v>
      </c>
      <c r="R3690" s="10">
        <v>2</v>
      </c>
      <c r="S3690" s="10">
        <v>16000</v>
      </c>
      <c r="T3690" s="10">
        <f t="shared" si="2364"/>
        <v>32000</v>
      </c>
      <c r="U3690" s="10">
        <f t="shared" ref="U3690" si="2367">T3690*1.12</f>
        <v>35840</v>
      </c>
      <c r="V3690" s="8"/>
      <c r="W3690" s="11">
        <v>2015</v>
      </c>
      <c r="X3690" s="4"/>
    </row>
    <row r="3691" spans="1:25" ht="76.5" customHeight="1" outlineLevel="1" x14ac:dyDescent="0.2">
      <c r="A3691" s="1" t="s">
        <v>9232</v>
      </c>
      <c r="B3691" s="24" t="s">
        <v>5277</v>
      </c>
      <c r="C3691" s="2" t="s">
        <v>2990</v>
      </c>
      <c r="D3691" s="2" t="s">
        <v>2991</v>
      </c>
      <c r="E3691" s="2" t="s">
        <v>5450</v>
      </c>
      <c r="F3691" s="25"/>
      <c r="G3691" s="3" t="s">
        <v>3190</v>
      </c>
      <c r="H3691" s="17">
        <v>0</v>
      </c>
      <c r="I3691" s="18">
        <v>710000000</v>
      </c>
      <c r="J3691" s="4" t="s">
        <v>1931</v>
      </c>
      <c r="K3691" s="4" t="s">
        <v>7595</v>
      </c>
      <c r="L3691" s="7" t="s">
        <v>1932</v>
      </c>
      <c r="M3691" s="8" t="s">
        <v>3195</v>
      </c>
      <c r="N3691" s="4" t="s">
        <v>1890</v>
      </c>
      <c r="O3691" s="8" t="s">
        <v>1935</v>
      </c>
      <c r="P3691" s="8">
        <v>796</v>
      </c>
      <c r="Q3691" s="8" t="s">
        <v>3196</v>
      </c>
      <c r="R3691" s="10">
        <v>100</v>
      </c>
      <c r="S3691" s="10">
        <v>180</v>
      </c>
      <c r="T3691" s="10">
        <f t="shared" si="2364"/>
        <v>18000</v>
      </c>
      <c r="U3691" s="10">
        <f t="shared" ref="U3691" si="2368">T3691*1.12</f>
        <v>20160.000000000004</v>
      </c>
      <c r="V3691" s="8"/>
      <c r="W3691" s="11">
        <v>2015</v>
      </c>
      <c r="X3691" s="4"/>
    </row>
    <row r="3692" spans="1:25" ht="76.5" customHeight="1" outlineLevel="1" x14ac:dyDescent="0.2">
      <c r="A3692" s="1" t="s">
        <v>9233</v>
      </c>
      <c r="B3692" s="24" t="s">
        <v>5277</v>
      </c>
      <c r="C3692" s="2" t="s">
        <v>9235</v>
      </c>
      <c r="D3692" s="2" t="s">
        <v>9236</v>
      </c>
      <c r="E3692" s="2" t="s">
        <v>9237</v>
      </c>
      <c r="F3692" s="25"/>
      <c r="G3692" s="3" t="s">
        <v>3190</v>
      </c>
      <c r="H3692" s="17">
        <v>0</v>
      </c>
      <c r="I3692" s="18">
        <v>710000000</v>
      </c>
      <c r="J3692" s="4" t="s">
        <v>1931</v>
      </c>
      <c r="K3692" s="4" t="s">
        <v>7595</v>
      </c>
      <c r="L3692" s="7" t="s">
        <v>1932</v>
      </c>
      <c r="M3692" s="8" t="s">
        <v>3195</v>
      </c>
      <c r="N3692" s="4" t="s">
        <v>1890</v>
      </c>
      <c r="O3692" s="8" t="s">
        <v>1935</v>
      </c>
      <c r="P3692" s="1">
        <v>704</v>
      </c>
      <c r="Q3692" s="4" t="s">
        <v>5196</v>
      </c>
      <c r="R3692" s="10">
        <v>1</v>
      </c>
      <c r="S3692" s="10">
        <v>22000</v>
      </c>
      <c r="T3692" s="10">
        <f t="shared" si="2364"/>
        <v>22000</v>
      </c>
      <c r="U3692" s="10">
        <f t="shared" ref="U3692:U3693" si="2369">T3692*1.12</f>
        <v>24640.000000000004</v>
      </c>
      <c r="V3692" s="8"/>
      <c r="W3692" s="11">
        <v>2015</v>
      </c>
      <c r="X3692" s="4"/>
    </row>
    <row r="3693" spans="1:25" ht="76.5" customHeight="1" outlineLevel="1" x14ac:dyDescent="0.2">
      <c r="A3693" s="1" t="s">
        <v>9234</v>
      </c>
      <c r="B3693" s="24" t="s">
        <v>5277</v>
      </c>
      <c r="C3693" s="25" t="s">
        <v>9238</v>
      </c>
      <c r="D3693" s="25" t="s">
        <v>6187</v>
      </c>
      <c r="E3693" s="25" t="s">
        <v>9239</v>
      </c>
      <c r="F3693" s="25" t="s">
        <v>9243</v>
      </c>
      <c r="G3693" s="3" t="s">
        <v>3190</v>
      </c>
      <c r="H3693" s="17">
        <v>0</v>
      </c>
      <c r="I3693" s="18">
        <v>710000000</v>
      </c>
      <c r="J3693" s="4" t="s">
        <v>1931</v>
      </c>
      <c r="K3693" s="4" t="s">
        <v>7595</v>
      </c>
      <c r="L3693" s="7" t="s">
        <v>1932</v>
      </c>
      <c r="M3693" s="8" t="s">
        <v>3195</v>
      </c>
      <c r="N3693" s="4" t="s">
        <v>1890</v>
      </c>
      <c r="O3693" s="8" t="s">
        <v>1935</v>
      </c>
      <c r="P3693" s="8">
        <v>796</v>
      </c>
      <c r="Q3693" s="8" t="s">
        <v>3196</v>
      </c>
      <c r="R3693" s="10">
        <v>5</v>
      </c>
      <c r="S3693" s="10">
        <v>16000</v>
      </c>
      <c r="T3693" s="10">
        <f t="shared" si="2364"/>
        <v>80000</v>
      </c>
      <c r="U3693" s="10">
        <f t="shared" si="2369"/>
        <v>89600.000000000015</v>
      </c>
      <c r="V3693" s="8"/>
      <c r="W3693" s="11">
        <v>2015</v>
      </c>
      <c r="X3693" s="4"/>
    </row>
    <row r="3694" spans="1:25" ht="76.5" customHeight="1" outlineLevel="1" x14ac:dyDescent="0.2">
      <c r="A3694" s="1" t="s">
        <v>9240</v>
      </c>
      <c r="B3694" s="24" t="s">
        <v>5277</v>
      </c>
      <c r="C3694" s="25" t="s">
        <v>9238</v>
      </c>
      <c r="D3694" s="25" t="s">
        <v>6187</v>
      </c>
      <c r="E3694" s="25" t="s">
        <v>9239</v>
      </c>
      <c r="F3694" s="25" t="s">
        <v>9242</v>
      </c>
      <c r="G3694" s="3" t="s">
        <v>3190</v>
      </c>
      <c r="H3694" s="17">
        <v>0</v>
      </c>
      <c r="I3694" s="18">
        <v>710000000</v>
      </c>
      <c r="J3694" s="4" t="s">
        <v>1931</v>
      </c>
      <c r="K3694" s="4" t="s">
        <v>7595</v>
      </c>
      <c r="L3694" s="7" t="s">
        <v>1932</v>
      </c>
      <c r="M3694" s="8" t="s">
        <v>3195</v>
      </c>
      <c r="N3694" s="4" t="s">
        <v>1890</v>
      </c>
      <c r="O3694" s="8" t="s">
        <v>1935</v>
      </c>
      <c r="P3694" s="8">
        <v>796</v>
      </c>
      <c r="Q3694" s="8" t="s">
        <v>3196</v>
      </c>
      <c r="R3694" s="10">
        <v>5</v>
      </c>
      <c r="S3694" s="10">
        <v>25500</v>
      </c>
      <c r="T3694" s="10">
        <f t="shared" si="2364"/>
        <v>127500</v>
      </c>
      <c r="U3694" s="10">
        <f t="shared" ref="U3694" si="2370">T3694*1.12</f>
        <v>142800</v>
      </c>
      <c r="V3694" s="8"/>
      <c r="W3694" s="11">
        <v>2015</v>
      </c>
      <c r="X3694" s="4"/>
    </row>
    <row r="3695" spans="1:25" ht="76.5" customHeight="1" outlineLevel="1" x14ac:dyDescent="0.2">
      <c r="A3695" s="1" t="s">
        <v>9241</v>
      </c>
      <c r="B3695" s="24" t="s">
        <v>5277</v>
      </c>
      <c r="C3695" s="25" t="s">
        <v>9245</v>
      </c>
      <c r="D3695" s="25" t="s">
        <v>599</v>
      </c>
      <c r="E3695" s="25" t="s">
        <v>9246</v>
      </c>
      <c r="F3695" s="25" t="s">
        <v>9247</v>
      </c>
      <c r="G3695" s="3" t="s">
        <v>3190</v>
      </c>
      <c r="H3695" s="17">
        <v>0</v>
      </c>
      <c r="I3695" s="18">
        <v>710000000</v>
      </c>
      <c r="J3695" s="4" t="s">
        <v>1931</v>
      </c>
      <c r="K3695" s="4" t="s">
        <v>7595</v>
      </c>
      <c r="L3695" s="7" t="s">
        <v>1932</v>
      </c>
      <c r="M3695" s="8" t="s">
        <v>3195</v>
      </c>
      <c r="N3695" s="4" t="s">
        <v>1890</v>
      </c>
      <c r="O3695" s="8" t="s">
        <v>1935</v>
      </c>
      <c r="P3695" s="8">
        <v>796</v>
      </c>
      <c r="Q3695" s="8" t="s">
        <v>3196</v>
      </c>
      <c r="R3695" s="10">
        <v>2</v>
      </c>
      <c r="S3695" s="10">
        <v>32000</v>
      </c>
      <c r="T3695" s="10">
        <f t="shared" si="2364"/>
        <v>64000</v>
      </c>
      <c r="U3695" s="10">
        <f t="shared" ref="U3695" si="2371">T3695*1.12</f>
        <v>71680</v>
      </c>
      <c r="V3695" s="8"/>
      <c r="W3695" s="11">
        <v>2015</v>
      </c>
      <c r="X3695" s="4"/>
    </row>
    <row r="3696" spans="1:25" ht="76.5" customHeight="1" outlineLevel="1" x14ac:dyDescent="0.2">
      <c r="A3696" s="1" t="s">
        <v>9244</v>
      </c>
      <c r="B3696" s="24" t="s">
        <v>5277</v>
      </c>
      <c r="C3696" s="25" t="s">
        <v>9249</v>
      </c>
      <c r="D3696" s="25" t="s">
        <v>9250</v>
      </c>
      <c r="E3696" s="25" t="s">
        <v>9251</v>
      </c>
      <c r="F3696" s="25" t="s">
        <v>9252</v>
      </c>
      <c r="G3696" s="3" t="s">
        <v>3190</v>
      </c>
      <c r="H3696" s="17">
        <v>0</v>
      </c>
      <c r="I3696" s="18">
        <v>710000000</v>
      </c>
      <c r="J3696" s="4" t="s">
        <v>1931</v>
      </c>
      <c r="K3696" s="4" t="s">
        <v>7595</v>
      </c>
      <c r="L3696" s="7" t="s">
        <v>1932</v>
      </c>
      <c r="M3696" s="8" t="s">
        <v>3195</v>
      </c>
      <c r="N3696" s="4" t="s">
        <v>1890</v>
      </c>
      <c r="O3696" s="8" t="s">
        <v>1935</v>
      </c>
      <c r="P3696" s="1">
        <v>872</v>
      </c>
      <c r="Q3696" s="4" t="s">
        <v>3139</v>
      </c>
      <c r="R3696" s="10">
        <v>5</v>
      </c>
      <c r="S3696" s="10">
        <v>3300</v>
      </c>
      <c r="T3696" s="10">
        <f t="shared" si="2364"/>
        <v>16500</v>
      </c>
      <c r="U3696" s="10">
        <f t="shared" ref="U3696" si="2372">T3696*1.12</f>
        <v>18480</v>
      </c>
      <c r="V3696" s="8"/>
      <c r="W3696" s="11">
        <v>2015</v>
      </c>
      <c r="X3696" s="4"/>
    </row>
    <row r="3697" spans="1:27" ht="76.5" customHeight="1" outlineLevel="1" x14ac:dyDescent="0.2">
      <c r="A3697" s="1" t="s">
        <v>9248</v>
      </c>
      <c r="B3697" s="24" t="s">
        <v>5277</v>
      </c>
      <c r="C3697" s="25" t="s">
        <v>9249</v>
      </c>
      <c r="D3697" s="25" t="s">
        <v>9250</v>
      </c>
      <c r="E3697" s="25" t="s">
        <v>9251</v>
      </c>
      <c r="F3697" s="25" t="s">
        <v>9254</v>
      </c>
      <c r="G3697" s="3" t="s">
        <v>3190</v>
      </c>
      <c r="H3697" s="17">
        <v>0</v>
      </c>
      <c r="I3697" s="18">
        <v>710000000</v>
      </c>
      <c r="J3697" s="4" t="s">
        <v>1931</v>
      </c>
      <c r="K3697" s="4" t="s">
        <v>7595</v>
      </c>
      <c r="L3697" s="7" t="s">
        <v>1932</v>
      </c>
      <c r="M3697" s="8" t="s">
        <v>3195</v>
      </c>
      <c r="N3697" s="4" t="s">
        <v>1890</v>
      </c>
      <c r="O3697" s="8" t="s">
        <v>1935</v>
      </c>
      <c r="P3697" s="1">
        <v>872</v>
      </c>
      <c r="Q3697" s="4" t="s">
        <v>3139</v>
      </c>
      <c r="R3697" s="10">
        <v>5</v>
      </c>
      <c r="S3697" s="10">
        <v>3100</v>
      </c>
      <c r="T3697" s="10">
        <f t="shared" si="2364"/>
        <v>15500</v>
      </c>
      <c r="U3697" s="10">
        <f t="shared" ref="U3697" si="2373">T3697*1.12</f>
        <v>17360</v>
      </c>
      <c r="V3697" s="8"/>
      <c r="W3697" s="11">
        <v>2015</v>
      </c>
      <c r="X3697" s="4"/>
    </row>
    <row r="3698" spans="1:27" ht="76.5" customHeight="1" outlineLevel="1" x14ac:dyDescent="0.2">
      <c r="A3698" s="1" t="s">
        <v>9253</v>
      </c>
      <c r="B3698" s="24" t="s">
        <v>5277</v>
      </c>
      <c r="C3698" s="25" t="s">
        <v>9256</v>
      </c>
      <c r="D3698" s="25" t="s">
        <v>5231</v>
      </c>
      <c r="E3698" s="25" t="s">
        <v>9257</v>
      </c>
      <c r="F3698" s="25" t="s">
        <v>9258</v>
      </c>
      <c r="G3698" s="3" t="s">
        <v>3190</v>
      </c>
      <c r="H3698" s="17">
        <v>0</v>
      </c>
      <c r="I3698" s="18">
        <v>710000000</v>
      </c>
      <c r="J3698" s="4" t="s">
        <v>1931</v>
      </c>
      <c r="K3698" s="4" t="s">
        <v>7595</v>
      </c>
      <c r="L3698" s="7" t="s">
        <v>1932</v>
      </c>
      <c r="M3698" s="8" t="s">
        <v>3195</v>
      </c>
      <c r="N3698" s="4" t="s">
        <v>1890</v>
      </c>
      <c r="O3698" s="8" t="s">
        <v>1935</v>
      </c>
      <c r="P3698" s="8">
        <v>796</v>
      </c>
      <c r="Q3698" s="8" t="s">
        <v>3196</v>
      </c>
      <c r="R3698" s="10">
        <v>25</v>
      </c>
      <c r="S3698" s="10">
        <v>1500</v>
      </c>
      <c r="T3698" s="10">
        <f t="shared" si="2364"/>
        <v>37500</v>
      </c>
      <c r="U3698" s="10">
        <f t="shared" ref="U3698" si="2374">T3698*1.12</f>
        <v>42000.000000000007</v>
      </c>
      <c r="V3698" s="8"/>
      <c r="W3698" s="11">
        <v>2015</v>
      </c>
      <c r="X3698" s="4"/>
    </row>
    <row r="3699" spans="1:27" ht="76.5" customHeight="1" outlineLevel="1" x14ac:dyDescent="0.2">
      <c r="A3699" s="1" t="s">
        <v>9255</v>
      </c>
      <c r="B3699" s="24" t="s">
        <v>5277</v>
      </c>
      <c r="C3699" s="25" t="s">
        <v>616</v>
      </c>
      <c r="D3699" s="25" t="s">
        <v>617</v>
      </c>
      <c r="E3699" s="25" t="s">
        <v>618</v>
      </c>
      <c r="F3699" s="25"/>
      <c r="G3699" s="3" t="s">
        <v>3190</v>
      </c>
      <c r="H3699" s="17">
        <v>0</v>
      </c>
      <c r="I3699" s="18">
        <v>710000000</v>
      </c>
      <c r="J3699" s="4" t="s">
        <v>1931</v>
      </c>
      <c r="K3699" s="4" t="s">
        <v>7595</v>
      </c>
      <c r="L3699" s="7" t="s">
        <v>1932</v>
      </c>
      <c r="M3699" s="8" t="s">
        <v>3195</v>
      </c>
      <c r="N3699" s="4" t="s">
        <v>1890</v>
      </c>
      <c r="O3699" s="8" t="s">
        <v>1935</v>
      </c>
      <c r="P3699" s="8">
        <v>796</v>
      </c>
      <c r="Q3699" s="8" t="s">
        <v>3196</v>
      </c>
      <c r="R3699" s="10">
        <v>2</v>
      </c>
      <c r="S3699" s="10">
        <v>5400</v>
      </c>
      <c r="T3699" s="10">
        <f t="shared" si="2364"/>
        <v>10800</v>
      </c>
      <c r="U3699" s="10">
        <f t="shared" ref="U3699" si="2375">T3699*1.12</f>
        <v>12096.000000000002</v>
      </c>
      <c r="V3699" s="8"/>
      <c r="W3699" s="11">
        <v>2015</v>
      </c>
      <c r="X3699" s="4"/>
    </row>
    <row r="3700" spans="1:27" ht="76.5" customHeight="1" outlineLevel="1" x14ac:dyDescent="0.2">
      <c r="A3700" s="1" t="s">
        <v>9259</v>
      </c>
      <c r="B3700" s="24" t="s">
        <v>5277</v>
      </c>
      <c r="C3700" s="25" t="s">
        <v>9260</v>
      </c>
      <c r="D3700" s="25" t="s">
        <v>5362</v>
      </c>
      <c r="E3700" s="25" t="s">
        <v>9261</v>
      </c>
      <c r="F3700" s="25"/>
      <c r="G3700" s="3" t="s">
        <v>3190</v>
      </c>
      <c r="H3700" s="17">
        <v>0</v>
      </c>
      <c r="I3700" s="18">
        <v>710000000</v>
      </c>
      <c r="J3700" s="4" t="s">
        <v>1931</v>
      </c>
      <c r="K3700" s="4" t="s">
        <v>7595</v>
      </c>
      <c r="L3700" s="7" t="s">
        <v>1932</v>
      </c>
      <c r="M3700" s="8" t="s">
        <v>3195</v>
      </c>
      <c r="N3700" s="4" t="s">
        <v>1890</v>
      </c>
      <c r="O3700" s="8" t="s">
        <v>1935</v>
      </c>
      <c r="P3700" s="8">
        <v>796</v>
      </c>
      <c r="Q3700" s="8" t="s">
        <v>3196</v>
      </c>
      <c r="R3700" s="10">
        <v>10</v>
      </c>
      <c r="S3700" s="10">
        <v>130</v>
      </c>
      <c r="T3700" s="10">
        <f t="shared" si="2364"/>
        <v>1300</v>
      </c>
      <c r="U3700" s="10">
        <f t="shared" ref="U3700:U3702" si="2376">T3700*1.12</f>
        <v>1456.0000000000002</v>
      </c>
      <c r="V3700" s="8"/>
      <c r="W3700" s="11">
        <v>2015</v>
      </c>
      <c r="X3700" s="4"/>
    </row>
    <row r="3701" spans="1:27" ht="76.5" customHeight="1" outlineLevel="1" x14ac:dyDescent="0.2">
      <c r="A3701" s="1" t="s">
        <v>9273</v>
      </c>
      <c r="B3701" s="24" t="s">
        <v>5277</v>
      </c>
      <c r="C3701" s="7" t="s">
        <v>692</v>
      </c>
      <c r="D3701" s="7" t="s">
        <v>5545</v>
      </c>
      <c r="E3701" s="7" t="s">
        <v>606</v>
      </c>
      <c r="F3701" s="25" t="s">
        <v>693</v>
      </c>
      <c r="G3701" s="1" t="s">
        <v>3190</v>
      </c>
      <c r="H3701" s="17">
        <v>0</v>
      </c>
      <c r="I3701" s="18">
        <v>710000000</v>
      </c>
      <c r="J3701" s="4" t="s">
        <v>1931</v>
      </c>
      <c r="K3701" s="4" t="s">
        <v>7595</v>
      </c>
      <c r="L3701" s="7" t="s">
        <v>1932</v>
      </c>
      <c r="M3701" s="8" t="s">
        <v>3195</v>
      </c>
      <c r="N3701" s="8" t="s">
        <v>1890</v>
      </c>
      <c r="O3701" s="8" t="s">
        <v>1935</v>
      </c>
      <c r="P3701" s="8">
        <v>796</v>
      </c>
      <c r="Q3701" s="8" t="s">
        <v>3196</v>
      </c>
      <c r="R3701" s="10">
        <v>4</v>
      </c>
      <c r="S3701" s="10">
        <v>6500</v>
      </c>
      <c r="T3701" s="10">
        <f t="shared" si="2364"/>
        <v>26000</v>
      </c>
      <c r="U3701" s="10">
        <f t="shared" si="2376"/>
        <v>29120.000000000004</v>
      </c>
      <c r="V3701" s="8"/>
      <c r="W3701" s="11">
        <v>2015</v>
      </c>
      <c r="X3701" s="8"/>
    </row>
    <row r="3702" spans="1:27" s="13" customFormat="1" ht="76.5" customHeight="1" outlineLevel="1" x14ac:dyDescent="0.2">
      <c r="A3702" s="1" t="s">
        <v>9294</v>
      </c>
      <c r="B3702" s="2" t="s">
        <v>5277</v>
      </c>
      <c r="C3702" s="7" t="s">
        <v>9295</v>
      </c>
      <c r="D3702" s="7" t="s">
        <v>9296</v>
      </c>
      <c r="E3702" s="7" t="s">
        <v>9297</v>
      </c>
      <c r="F3702" s="52"/>
      <c r="G3702" s="4" t="s">
        <v>3190</v>
      </c>
      <c r="H3702" s="5">
        <v>0</v>
      </c>
      <c r="I3702" s="6">
        <v>710000000</v>
      </c>
      <c r="J3702" s="4" t="s">
        <v>1931</v>
      </c>
      <c r="K3702" s="4" t="s">
        <v>5390</v>
      </c>
      <c r="L3702" s="3" t="s">
        <v>1165</v>
      </c>
      <c r="M3702" s="8" t="s">
        <v>3195</v>
      </c>
      <c r="N3702" s="3" t="s">
        <v>1890</v>
      </c>
      <c r="O3702" s="8" t="s">
        <v>1935</v>
      </c>
      <c r="P3702" s="60">
        <v>778</v>
      </c>
      <c r="Q3702" s="3" t="s">
        <v>3327</v>
      </c>
      <c r="R3702" s="69">
        <v>45</v>
      </c>
      <c r="S3702" s="69">
        <v>642.85709999999995</v>
      </c>
      <c r="T3702" s="10">
        <v>0</v>
      </c>
      <c r="U3702" s="10">
        <f t="shared" si="2376"/>
        <v>0</v>
      </c>
      <c r="V3702" s="7"/>
      <c r="W3702" s="1">
        <v>2015</v>
      </c>
      <c r="X3702" s="62" t="s">
        <v>6562</v>
      </c>
    </row>
    <row r="3703" spans="1:27" s="13" customFormat="1" ht="76.5" customHeight="1" outlineLevel="1" x14ac:dyDescent="0.2">
      <c r="A3703" s="1" t="s">
        <v>9518</v>
      </c>
      <c r="B3703" s="2" t="s">
        <v>5277</v>
      </c>
      <c r="C3703" s="7" t="s">
        <v>9295</v>
      </c>
      <c r="D3703" s="7" t="s">
        <v>9296</v>
      </c>
      <c r="E3703" s="7" t="s">
        <v>9297</v>
      </c>
      <c r="F3703" s="52"/>
      <c r="G3703" s="4" t="s">
        <v>3190</v>
      </c>
      <c r="H3703" s="5">
        <v>0</v>
      </c>
      <c r="I3703" s="6">
        <v>710000000</v>
      </c>
      <c r="J3703" s="4" t="s">
        <v>1931</v>
      </c>
      <c r="K3703" s="4" t="s">
        <v>5390</v>
      </c>
      <c r="L3703" s="3" t="s">
        <v>1165</v>
      </c>
      <c r="M3703" s="8" t="s">
        <v>3195</v>
      </c>
      <c r="N3703" s="3" t="s">
        <v>1890</v>
      </c>
      <c r="O3703" s="8" t="s">
        <v>1935</v>
      </c>
      <c r="P3703" s="60">
        <v>778</v>
      </c>
      <c r="Q3703" s="3" t="s">
        <v>3327</v>
      </c>
      <c r="R3703" s="69">
        <f>45+50</f>
        <v>95</v>
      </c>
      <c r="S3703" s="69">
        <v>642.85709999999995</v>
      </c>
      <c r="T3703" s="10">
        <v>0</v>
      </c>
      <c r="U3703" s="10">
        <f t="shared" ref="U3703" si="2377">T3703*1.12</f>
        <v>0</v>
      </c>
      <c r="V3703" s="7"/>
      <c r="W3703" s="1">
        <v>2015</v>
      </c>
      <c r="X3703" s="62" t="s">
        <v>7518</v>
      </c>
    </row>
    <row r="3704" spans="1:27" s="13" customFormat="1" ht="76.5" customHeight="1" outlineLevel="1" x14ac:dyDescent="0.2">
      <c r="A3704" s="1" t="s">
        <v>10164</v>
      </c>
      <c r="B3704" s="2" t="s">
        <v>5277</v>
      </c>
      <c r="C3704" s="7" t="s">
        <v>9295</v>
      </c>
      <c r="D3704" s="7" t="s">
        <v>9296</v>
      </c>
      <c r="E3704" s="7" t="s">
        <v>9297</v>
      </c>
      <c r="F3704" s="52"/>
      <c r="G3704" s="4" t="s">
        <v>3190</v>
      </c>
      <c r="H3704" s="5">
        <v>0</v>
      </c>
      <c r="I3704" s="6">
        <v>710000000</v>
      </c>
      <c r="J3704" s="4" t="s">
        <v>1931</v>
      </c>
      <c r="K3704" s="4" t="s">
        <v>10161</v>
      </c>
      <c r="L3704" s="3" t="s">
        <v>1165</v>
      </c>
      <c r="M3704" s="8" t="s">
        <v>3195</v>
      </c>
      <c r="N3704" s="3" t="s">
        <v>1890</v>
      </c>
      <c r="O3704" s="8" t="s">
        <v>1935</v>
      </c>
      <c r="P3704" s="60">
        <v>778</v>
      </c>
      <c r="Q3704" s="3" t="s">
        <v>3327</v>
      </c>
      <c r="R3704" s="69">
        <f>45+50+5</f>
        <v>100</v>
      </c>
      <c r="S3704" s="69">
        <v>642.85709999999995</v>
      </c>
      <c r="T3704" s="10">
        <f t="shared" ref="T3704" si="2378">S3704*R3704</f>
        <v>64285.709999999992</v>
      </c>
      <c r="U3704" s="10">
        <f t="shared" ref="U3704" si="2379">T3704*1.12</f>
        <v>71999.995200000005</v>
      </c>
      <c r="V3704" s="7"/>
      <c r="W3704" s="1">
        <v>2015</v>
      </c>
      <c r="X3704" s="62"/>
    </row>
    <row r="3705" spans="1:27" s="13" customFormat="1" ht="76.5" customHeight="1" outlineLevel="1" x14ac:dyDescent="0.2">
      <c r="A3705" s="1" t="s">
        <v>9313</v>
      </c>
      <c r="B3705" s="2" t="s">
        <v>5277</v>
      </c>
      <c r="C3705" s="7" t="s">
        <v>9314</v>
      </c>
      <c r="D3705" s="7" t="s">
        <v>9315</v>
      </c>
      <c r="E3705" s="7" t="s">
        <v>9316</v>
      </c>
      <c r="F3705" s="52" t="s">
        <v>9317</v>
      </c>
      <c r="G3705" s="4" t="s">
        <v>3190</v>
      </c>
      <c r="H3705" s="5">
        <v>0</v>
      </c>
      <c r="I3705" s="6">
        <v>710000000</v>
      </c>
      <c r="J3705" s="4" t="s">
        <v>1931</v>
      </c>
      <c r="K3705" s="4" t="s">
        <v>5390</v>
      </c>
      <c r="L3705" s="3" t="s">
        <v>1708</v>
      </c>
      <c r="M3705" s="8" t="s">
        <v>3195</v>
      </c>
      <c r="N3705" s="3" t="s">
        <v>1890</v>
      </c>
      <c r="O3705" s="8" t="s">
        <v>1935</v>
      </c>
      <c r="P3705" s="8">
        <v>796</v>
      </c>
      <c r="Q3705" s="8" t="s">
        <v>3196</v>
      </c>
      <c r="R3705" s="69">
        <v>2</v>
      </c>
      <c r="S3705" s="69">
        <v>4732.143</v>
      </c>
      <c r="T3705" s="10">
        <f t="shared" ref="T3705" si="2380">S3705*R3705</f>
        <v>9464.2860000000001</v>
      </c>
      <c r="U3705" s="10">
        <f t="shared" ref="U3705" si="2381">T3705*1.12</f>
        <v>10600.000320000001</v>
      </c>
      <c r="V3705" s="7"/>
      <c r="W3705" s="1">
        <v>2015</v>
      </c>
      <c r="X3705" s="62"/>
    </row>
    <row r="3706" spans="1:27" s="13" customFormat="1" ht="76.5" customHeight="1" outlineLevel="1" x14ac:dyDescent="0.2">
      <c r="A3706" s="1" t="s">
        <v>9318</v>
      </c>
      <c r="B3706" s="2" t="s">
        <v>5277</v>
      </c>
      <c r="C3706" s="7" t="s">
        <v>9319</v>
      </c>
      <c r="D3706" s="7" t="s">
        <v>9320</v>
      </c>
      <c r="E3706" s="7" t="s">
        <v>9321</v>
      </c>
      <c r="F3706" s="52" t="s">
        <v>9322</v>
      </c>
      <c r="G3706" s="4" t="s">
        <v>3190</v>
      </c>
      <c r="H3706" s="5">
        <v>0</v>
      </c>
      <c r="I3706" s="6">
        <v>710000000</v>
      </c>
      <c r="J3706" s="4" t="s">
        <v>1931</v>
      </c>
      <c r="K3706" s="4" t="s">
        <v>5390</v>
      </c>
      <c r="L3706" s="3" t="s">
        <v>1708</v>
      </c>
      <c r="M3706" s="8" t="s">
        <v>3195</v>
      </c>
      <c r="N3706" s="3" t="s">
        <v>1890</v>
      </c>
      <c r="O3706" s="8" t="s">
        <v>1935</v>
      </c>
      <c r="P3706" s="8">
        <v>796</v>
      </c>
      <c r="Q3706" s="8" t="s">
        <v>3196</v>
      </c>
      <c r="R3706" s="69">
        <v>2</v>
      </c>
      <c r="S3706" s="69">
        <v>3013.393</v>
      </c>
      <c r="T3706" s="10">
        <f t="shared" ref="T3706" si="2382">S3706*R3706</f>
        <v>6026.7860000000001</v>
      </c>
      <c r="U3706" s="10">
        <f t="shared" ref="U3706" si="2383">T3706*1.12</f>
        <v>6750.000320000001</v>
      </c>
      <c r="V3706" s="7"/>
      <c r="W3706" s="1">
        <v>2015</v>
      </c>
      <c r="X3706" s="62"/>
    </row>
    <row r="3707" spans="1:27" s="13" customFormat="1" ht="76.5" customHeight="1" outlineLevel="1" x14ac:dyDescent="0.2">
      <c r="A3707" s="1" t="s">
        <v>9323</v>
      </c>
      <c r="B3707" s="2" t="s">
        <v>5277</v>
      </c>
      <c r="C3707" s="7" t="s">
        <v>9324</v>
      </c>
      <c r="D3707" s="7" t="s">
        <v>9325</v>
      </c>
      <c r="E3707" s="7" t="s">
        <v>9326</v>
      </c>
      <c r="F3707" s="52" t="s">
        <v>9327</v>
      </c>
      <c r="G3707" s="4" t="s">
        <v>3190</v>
      </c>
      <c r="H3707" s="5">
        <v>0</v>
      </c>
      <c r="I3707" s="6">
        <v>710000000</v>
      </c>
      <c r="J3707" s="4" t="s">
        <v>1931</v>
      </c>
      <c r="K3707" s="4" t="s">
        <v>5390</v>
      </c>
      <c r="L3707" s="3" t="s">
        <v>1708</v>
      </c>
      <c r="M3707" s="8" t="s">
        <v>3195</v>
      </c>
      <c r="N3707" s="3" t="s">
        <v>1890</v>
      </c>
      <c r="O3707" s="8" t="s">
        <v>1935</v>
      </c>
      <c r="P3707" s="8">
        <v>796</v>
      </c>
      <c r="Q3707" s="8" t="s">
        <v>3196</v>
      </c>
      <c r="R3707" s="69">
        <v>2</v>
      </c>
      <c r="S3707" s="69">
        <v>33482.142999999996</v>
      </c>
      <c r="T3707" s="10">
        <f t="shared" ref="T3707" si="2384">S3707*R3707</f>
        <v>66964.285999999993</v>
      </c>
      <c r="U3707" s="10">
        <f t="shared" ref="U3707" si="2385">T3707*1.12</f>
        <v>75000.000319999992</v>
      </c>
      <c r="V3707" s="7"/>
      <c r="W3707" s="1">
        <v>2015</v>
      </c>
      <c r="X3707" s="62"/>
      <c r="AA3707" s="137"/>
    </row>
    <row r="3708" spans="1:27" s="13" customFormat="1" ht="76.5" customHeight="1" outlineLevel="1" x14ac:dyDescent="0.2">
      <c r="A3708" s="1" t="s">
        <v>9328</v>
      </c>
      <c r="B3708" s="2" t="s">
        <v>5277</v>
      </c>
      <c r="C3708" s="52" t="s">
        <v>9329</v>
      </c>
      <c r="D3708" s="52" t="s">
        <v>9330</v>
      </c>
      <c r="E3708" s="52" t="s">
        <v>9331</v>
      </c>
      <c r="F3708" s="52" t="s">
        <v>9332</v>
      </c>
      <c r="G3708" s="4" t="s">
        <v>3190</v>
      </c>
      <c r="H3708" s="5">
        <v>0</v>
      </c>
      <c r="I3708" s="6">
        <v>710000000</v>
      </c>
      <c r="J3708" s="4" t="s">
        <v>1931</v>
      </c>
      <c r="K3708" s="4" t="s">
        <v>5390</v>
      </c>
      <c r="L3708" s="3" t="s">
        <v>1708</v>
      </c>
      <c r="M3708" s="8" t="s">
        <v>3195</v>
      </c>
      <c r="N3708" s="3" t="s">
        <v>1890</v>
      </c>
      <c r="O3708" s="8" t="s">
        <v>1935</v>
      </c>
      <c r="P3708" s="8">
        <v>796</v>
      </c>
      <c r="Q3708" s="8" t="s">
        <v>3196</v>
      </c>
      <c r="R3708" s="69">
        <v>2</v>
      </c>
      <c r="S3708" s="69">
        <v>4419.643</v>
      </c>
      <c r="T3708" s="10">
        <f t="shared" ref="T3708" si="2386">S3708*R3708</f>
        <v>8839.2860000000001</v>
      </c>
      <c r="U3708" s="10">
        <f t="shared" ref="U3708" si="2387">T3708*1.12</f>
        <v>9900.000320000001</v>
      </c>
      <c r="V3708" s="7"/>
      <c r="W3708" s="1">
        <v>2015</v>
      </c>
      <c r="X3708" s="62"/>
      <c r="AA3708" s="137"/>
    </row>
    <row r="3709" spans="1:27" s="13" customFormat="1" ht="76.5" customHeight="1" outlineLevel="1" x14ac:dyDescent="0.2">
      <c r="A3709" s="1" t="s">
        <v>9333</v>
      </c>
      <c r="B3709" s="2" t="s">
        <v>5277</v>
      </c>
      <c r="C3709" s="52" t="s">
        <v>9334</v>
      </c>
      <c r="D3709" s="52" t="s">
        <v>9335</v>
      </c>
      <c r="E3709" s="52" t="s">
        <v>515</v>
      </c>
      <c r="F3709" s="52" t="s">
        <v>9336</v>
      </c>
      <c r="G3709" s="4" t="s">
        <v>3190</v>
      </c>
      <c r="H3709" s="5">
        <v>0</v>
      </c>
      <c r="I3709" s="6">
        <v>710000000</v>
      </c>
      <c r="J3709" s="4" t="s">
        <v>1931</v>
      </c>
      <c r="K3709" s="4" t="s">
        <v>5390</v>
      </c>
      <c r="L3709" s="3" t="s">
        <v>1708</v>
      </c>
      <c r="M3709" s="8" t="s">
        <v>3195</v>
      </c>
      <c r="N3709" s="3" t="s">
        <v>1890</v>
      </c>
      <c r="O3709" s="8" t="s">
        <v>1935</v>
      </c>
      <c r="P3709" s="8">
        <v>796</v>
      </c>
      <c r="Q3709" s="8" t="s">
        <v>3196</v>
      </c>
      <c r="R3709" s="69">
        <v>2</v>
      </c>
      <c r="S3709" s="69">
        <v>22767.857</v>
      </c>
      <c r="T3709" s="10">
        <f t="shared" ref="T3709" si="2388">S3709*R3709</f>
        <v>45535.714</v>
      </c>
      <c r="U3709" s="10">
        <f t="shared" ref="U3709" si="2389">T3709*1.12</f>
        <v>50999.999680000008</v>
      </c>
      <c r="V3709" s="7"/>
      <c r="W3709" s="1">
        <v>2015</v>
      </c>
      <c r="X3709" s="62"/>
      <c r="AA3709" s="137"/>
    </row>
    <row r="3710" spans="1:27" s="13" customFormat="1" ht="76.5" customHeight="1" outlineLevel="1" x14ac:dyDescent="0.2">
      <c r="A3710" s="1" t="s">
        <v>9342</v>
      </c>
      <c r="B3710" s="2" t="s">
        <v>5277</v>
      </c>
      <c r="C3710" s="52" t="s">
        <v>9343</v>
      </c>
      <c r="D3710" s="52" t="s">
        <v>3408</v>
      </c>
      <c r="E3710" s="52" t="s">
        <v>9344</v>
      </c>
      <c r="F3710" s="52" t="s">
        <v>9345</v>
      </c>
      <c r="G3710" s="4" t="s">
        <v>3190</v>
      </c>
      <c r="H3710" s="5">
        <v>0</v>
      </c>
      <c r="I3710" s="6">
        <v>710000000</v>
      </c>
      <c r="J3710" s="4" t="s">
        <v>1931</v>
      </c>
      <c r="K3710" s="4" t="s">
        <v>5390</v>
      </c>
      <c r="L3710" s="3" t="s">
        <v>1708</v>
      </c>
      <c r="M3710" s="8" t="s">
        <v>3195</v>
      </c>
      <c r="N3710" s="3" t="s">
        <v>1890</v>
      </c>
      <c r="O3710" s="8" t="s">
        <v>1935</v>
      </c>
      <c r="P3710" s="8">
        <v>796</v>
      </c>
      <c r="Q3710" s="8" t="s">
        <v>3196</v>
      </c>
      <c r="R3710" s="69">
        <v>24</v>
      </c>
      <c r="S3710" s="69">
        <v>1178.5714</v>
      </c>
      <c r="T3710" s="10">
        <f t="shared" ref="T3710" si="2390">S3710*R3710</f>
        <v>28285.713600000003</v>
      </c>
      <c r="U3710" s="10">
        <f t="shared" ref="U3710" si="2391">T3710*1.12</f>
        <v>31679.999232000006</v>
      </c>
      <c r="V3710" s="7"/>
      <c r="W3710" s="1">
        <v>2015</v>
      </c>
      <c r="X3710" s="62"/>
      <c r="Z3710" s="136"/>
      <c r="AA3710" s="137"/>
    </row>
    <row r="3711" spans="1:27" s="13" customFormat="1" ht="76.5" customHeight="1" outlineLevel="1" x14ac:dyDescent="0.2">
      <c r="A3711" s="1" t="s">
        <v>9346</v>
      </c>
      <c r="B3711" s="2" t="s">
        <v>5277</v>
      </c>
      <c r="C3711" s="52" t="s">
        <v>9347</v>
      </c>
      <c r="D3711" s="52" t="s">
        <v>2235</v>
      </c>
      <c r="E3711" s="52" t="s">
        <v>9348</v>
      </c>
      <c r="F3711" s="52" t="s">
        <v>9349</v>
      </c>
      <c r="G3711" s="4" t="s">
        <v>3190</v>
      </c>
      <c r="H3711" s="5">
        <v>0</v>
      </c>
      <c r="I3711" s="6">
        <v>710000000</v>
      </c>
      <c r="J3711" s="4" t="s">
        <v>1931</v>
      </c>
      <c r="K3711" s="4" t="s">
        <v>5390</v>
      </c>
      <c r="L3711" s="3" t="s">
        <v>1708</v>
      </c>
      <c r="M3711" s="8" t="s">
        <v>3195</v>
      </c>
      <c r="N3711" s="3" t="s">
        <v>1890</v>
      </c>
      <c r="O3711" s="8" t="s">
        <v>1935</v>
      </c>
      <c r="P3711" s="8">
        <v>796</v>
      </c>
      <c r="Q3711" s="8" t="s">
        <v>3196</v>
      </c>
      <c r="R3711" s="69">
        <v>1</v>
      </c>
      <c r="S3711" s="69">
        <v>89991.071400000001</v>
      </c>
      <c r="T3711" s="10">
        <f t="shared" ref="T3711" si="2392">S3711*R3711</f>
        <v>89991.071400000001</v>
      </c>
      <c r="U3711" s="10">
        <f t="shared" ref="U3711" si="2393">T3711*1.12</f>
        <v>100789.999968</v>
      </c>
      <c r="V3711" s="7"/>
      <c r="W3711" s="1">
        <v>2015</v>
      </c>
      <c r="X3711" s="62"/>
      <c r="Z3711" s="136"/>
      <c r="AA3711" s="137"/>
    </row>
    <row r="3712" spans="1:27" s="13" customFormat="1" ht="76.5" customHeight="1" outlineLevel="1" x14ac:dyDescent="0.2">
      <c r="A3712" s="1" t="s">
        <v>9350</v>
      </c>
      <c r="B3712" s="2" t="s">
        <v>5277</v>
      </c>
      <c r="C3712" s="52" t="s">
        <v>9351</v>
      </c>
      <c r="D3712" s="52" t="s">
        <v>9352</v>
      </c>
      <c r="E3712" s="52" t="s">
        <v>9353</v>
      </c>
      <c r="F3712" s="52"/>
      <c r="G3712" s="4" t="s">
        <v>3190</v>
      </c>
      <c r="H3712" s="5">
        <v>0</v>
      </c>
      <c r="I3712" s="6">
        <v>710000000</v>
      </c>
      <c r="J3712" s="4" t="s">
        <v>1931</v>
      </c>
      <c r="K3712" s="4" t="s">
        <v>5390</v>
      </c>
      <c r="L3712" s="3" t="s">
        <v>1708</v>
      </c>
      <c r="M3712" s="8" t="s">
        <v>3195</v>
      </c>
      <c r="N3712" s="3" t="s">
        <v>1890</v>
      </c>
      <c r="O3712" s="8" t="s">
        <v>1935</v>
      </c>
      <c r="P3712" s="8">
        <v>796</v>
      </c>
      <c r="Q3712" s="8" t="s">
        <v>3196</v>
      </c>
      <c r="R3712" s="69">
        <v>1</v>
      </c>
      <c r="S3712" s="69">
        <v>41964.2857</v>
      </c>
      <c r="T3712" s="10">
        <f t="shared" ref="T3712" si="2394">S3712*R3712</f>
        <v>41964.2857</v>
      </c>
      <c r="U3712" s="10">
        <f t="shared" ref="U3712" si="2395">T3712*1.12</f>
        <v>46999.999984000002</v>
      </c>
      <c r="V3712" s="7"/>
      <c r="W3712" s="1">
        <v>2015</v>
      </c>
      <c r="X3712" s="62"/>
      <c r="Z3712" s="136"/>
      <c r="AA3712" s="137"/>
    </row>
    <row r="3713" spans="1:27" s="13" customFormat="1" ht="76.5" customHeight="1" outlineLevel="1" x14ac:dyDescent="0.2">
      <c r="A3713" s="1" t="s">
        <v>9396</v>
      </c>
      <c r="B3713" s="2" t="s">
        <v>5277</v>
      </c>
      <c r="C3713" s="52" t="s">
        <v>9354</v>
      </c>
      <c r="D3713" s="52" t="s">
        <v>9355</v>
      </c>
      <c r="E3713" s="52" t="s">
        <v>9356</v>
      </c>
      <c r="F3713" s="52" t="s">
        <v>9357</v>
      </c>
      <c r="G3713" s="4" t="s">
        <v>3190</v>
      </c>
      <c r="H3713" s="5">
        <v>0</v>
      </c>
      <c r="I3713" s="6">
        <v>710000000</v>
      </c>
      <c r="J3713" s="4" t="s">
        <v>1931</v>
      </c>
      <c r="K3713" s="4" t="s">
        <v>5390</v>
      </c>
      <c r="L3713" s="3" t="s">
        <v>1708</v>
      </c>
      <c r="M3713" s="8" t="s">
        <v>3195</v>
      </c>
      <c r="N3713" s="3" t="s">
        <v>1890</v>
      </c>
      <c r="O3713" s="8" t="s">
        <v>1935</v>
      </c>
      <c r="P3713" s="8">
        <v>796</v>
      </c>
      <c r="Q3713" s="8" t="s">
        <v>3196</v>
      </c>
      <c r="R3713" s="69">
        <v>1</v>
      </c>
      <c r="S3713" s="69">
        <v>66071.428599999999</v>
      </c>
      <c r="T3713" s="10">
        <f t="shared" ref="T3713" si="2396">S3713*R3713</f>
        <v>66071.428599999999</v>
      </c>
      <c r="U3713" s="10">
        <f t="shared" ref="U3713" si="2397">T3713*1.12</f>
        <v>74000.000032000011</v>
      </c>
      <c r="V3713" s="7"/>
      <c r="W3713" s="1">
        <v>2015</v>
      </c>
      <c r="X3713" s="62"/>
      <c r="Z3713" s="136"/>
      <c r="AA3713" s="137"/>
    </row>
    <row r="3714" spans="1:27" s="13" customFormat="1" ht="76.5" customHeight="1" outlineLevel="1" x14ac:dyDescent="0.2">
      <c r="A3714" s="1" t="s">
        <v>9397</v>
      </c>
      <c r="B3714" s="2" t="s">
        <v>5277</v>
      </c>
      <c r="C3714" s="52" t="s">
        <v>9358</v>
      </c>
      <c r="D3714" s="52" t="s">
        <v>6035</v>
      </c>
      <c r="E3714" s="52" t="s">
        <v>9359</v>
      </c>
      <c r="F3714" s="52" t="s">
        <v>9360</v>
      </c>
      <c r="G3714" s="4" t="s">
        <v>3190</v>
      </c>
      <c r="H3714" s="5">
        <v>0</v>
      </c>
      <c r="I3714" s="6">
        <v>710000000</v>
      </c>
      <c r="J3714" s="4" t="s">
        <v>1931</v>
      </c>
      <c r="K3714" s="4" t="s">
        <v>5390</v>
      </c>
      <c r="L3714" s="3" t="s">
        <v>1708</v>
      </c>
      <c r="M3714" s="8" t="s">
        <v>3195</v>
      </c>
      <c r="N3714" s="3" t="s">
        <v>1890</v>
      </c>
      <c r="O3714" s="8" t="s">
        <v>1935</v>
      </c>
      <c r="P3714" s="8">
        <v>796</v>
      </c>
      <c r="Q3714" s="8" t="s">
        <v>3196</v>
      </c>
      <c r="R3714" s="69">
        <v>28</v>
      </c>
      <c r="S3714" s="69">
        <v>535.71429999999998</v>
      </c>
      <c r="T3714" s="10">
        <f t="shared" ref="T3714" si="2398">S3714*R3714</f>
        <v>15000.000399999999</v>
      </c>
      <c r="U3714" s="10">
        <f t="shared" ref="U3714" si="2399">T3714*1.12</f>
        <v>16800.000447999999</v>
      </c>
      <c r="V3714" s="7"/>
      <c r="W3714" s="1">
        <v>2015</v>
      </c>
      <c r="X3714" s="62"/>
      <c r="Z3714" s="136"/>
      <c r="AA3714" s="137"/>
    </row>
    <row r="3715" spans="1:27" s="13" customFormat="1" ht="76.5" customHeight="1" outlineLevel="1" x14ac:dyDescent="0.2">
      <c r="A3715" s="1" t="s">
        <v>9398</v>
      </c>
      <c r="B3715" s="2" t="s">
        <v>5277</v>
      </c>
      <c r="C3715" s="52" t="s">
        <v>9361</v>
      </c>
      <c r="D3715" s="52" t="s">
        <v>9362</v>
      </c>
      <c r="E3715" s="52" t="s">
        <v>9363</v>
      </c>
      <c r="F3715" s="52" t="s">
        <v>9364</v>
      </c>
      <c r="G3715" s="4" t="s">
        <v>3190</v>
      </c>
      <c r="H3715" s="5">
        <v>0</v>
      </c>
      <c r="I3715" s="6">
        <v>710000000</v>
      </c>
      <c r="J3715" s="4" t="s">
        <v>1931</v>
      </c>
      <c r="K3715" s="4" t="s">
        <v>5390</v>
      </c>
      <c r="L3715" s="3" t="s">
        <v>1708</v>
      </c>
      <c r="M3715" s="8" t="s">
        <v>3195</v>
      </c>
      <c r="N3715" s="3" t="s">
        <v>1890</v>
      </c>
      <c r="O3715" s="8" t="s">
        <v>1935</v>
      </c>
      <c r="P3715" s="8">
        <v>704</v>
      </c>
      <c r="Q3715" s="8" t="s">
        <v>5196</v>
      </c>
      <c r="R3715" s="69">
        <v>1</v>
      </c>
      <c r="S3715" s="69">
        <v>92857.142900000006</v>
      </c>
      <c r="T3715" s="10">
        <f t="shared" ref="T3715" si="2400">S3715*R3715</f>
        <v>92857.142900000006</v>
      </c>
      <c r="U3715" s="10">
        <f t="shared" ref="U3715" si="2401">T3715*1.12</f>
        <v>104000.00004800002</v>
      </c>
      <c r="V3715" s="7"/>
      <c r="W3715" s="1">
        <v>2015</v>
      </c>
      <c r="X3715" s="62"/>
      <c r="Z3715" s="136"/>
      <c r="AA3715" s="137"/>
    </row>
    <row r="3716" spans="1:27" s="13" customFormat="1" ht="94.5" customHeight="1" outlineLevel="1" x14ac:dyDescent="0.2">
      <c r="A3716" s="1" t="s">
        <v>9399</v>
      </c>
      <c r="B3716" s="2" t="s">
        <v>5277</v>
      </c>
      <c r="C3716" s="52" t="s">
        <v>9365</v>
      </c>
      <c r="D3716" s="52" t="s">
        <v>9366</v>
      </c>
      <c r="E3716" s="52" t="s">
        <v>9367</v>
      </c>
      <c r="F3716" s="52" t="s">
        <v>9368</v>
      </c>
      <c r="G3716" s="4" t="s">
        <v>3190</v>
      </c>
      <c r="H3716" s="5">
        <v>0</v>
      </c>
      <c r="I3716" s="6">
        <v>710000000</v>
      </c>
      <c r="J3716" s="4" t="s">
        <v>1931</v>
      </c>
      <c r="K3716" s="4" t="s">
        <v>5390</v>
      </c>
      <c r="L3716" s="3" t="s">
        <v>1708</v>
      </c>
      <c r="M3716" s="8" t="s">
        <v>3195</v>
      </c>
      <c r="N3716" s="3" t="s">
        <v>1890</v>
      </c>
      <c r="O3716" s="8" t="s">
        <v>1935</v>
      </c>
      <c r="P3716" s="8">
        <v>5108</v>
      </c>
      <c r="Q3716" s="8" t="s">
        <v>9369</v>
      </c>
      <c r="R3716" s="69">
        <v>3</v>
      </c>
      <c r="S3716" s="69">
        <v>2678.5709999999999</v>
      </c>
      <c r="T3716" s="10">
        <f t="shared" ref="T3716" si="2402">S3716*R3716</f>
        <v>8035.7129999999997</v>
      </c>
      <c r="U3716" s="10">
        <f t="shared" ref="U3716" si="2403">T3716*1.12</f>
        <v>8999.99856</v>
      </c>
      <c r="V3716" s="7"/>
      <c r="W3716" s="1">
        <v>2015</v>
      </c>
      <c r="X3716" s="62"/>
      <c r="Z3716" s="136"/>
      <c r="AA3716" s="137"/>
    </row>
    <row r="3717" spans="1:27" s="13" customFormat="1" ht="76.5" customHeight="1" outlineLevel="1" x14ac:dyDescent="0.2">
      <c r="A3717" s="1" t="s">
        <v>9400</v>
      </c>
      <c r="B3717" s="2" t="s">
        <v>5277</v>
      </c>
      <c r="C3717" s="52" t="s">
        <v>9371</v>
      </c>
      <c r="D3717" s="52" t="s">
        <v>140</v>
      </c>
      <c r="E3717" s="52" t="s">
        <v>9372</v>
      </c>
      <c r="F3717" s="52" t="s">
        <v>9370</v>
      </c>
      <c r="G3717" s="4" t="s">
        <v>3190</v>
      </c>
      <c r="H3717" s="5">
        <v>0</v>
      </c>
      <c r="I3717" s="6">
        <v>710000000</v>
      </c>
      <c r="J3717" s="4" t="s">
        <v>1931</v>
      </c>
      <c r="K3717" s="4" t="s">
        <v>5390</v>
      </c>
      <c r="L3717" s="3" t="s">
        <v>1708</v>
      </c>
      <c r="M3717" s="8" t="s">
        <v>3195</v>
      </c>
      <c r="N3717" s="3" t="s">
        <v>1890</v>
      </c>
      <c r="O3717" s="8" t="s">
        <v>1935</v>
      </c>
      <c r="P3717" s="8">
        <v>796</v>
      </c>
      <c r="Q3717" s="8" t="s">
        <v>3196</v>
      </c>
      <c r="R3717" s="69">
        <v>1</v>
      </c>
      <c r="S3717" s="69">
        <v>7142.8571000000002</v>
      </c>
      <c r="T3717" s="10">
        <f t="shared" ref="T3717" si="2404">S3717*R3717</f>
        <v>7142.8571000000002</v>
      </c>
      <c r="U3717" s="10">
        <f t="shared" ref="U3717" si="2405">T3717*1.12</f>
        <v>7999.999952000001</v>
      </c>
      <c r="V3717" s="7"/>
      <c r="W3717" s="1">
        <v>2015</v>
      </c>
      <c r="X3717" s="62"/>
      <c r="Z3717" s="136"/>
      <c r="AA3717" s="137"/>
    </row>
    <row r="3718" spans="1:27" s="13" customFormat="1" ht="76.5" customHeight="1" outlineLevel="1" x14ac:dyDescent="0.2">
      <c r="A3718" s="1" t="s">
        <v>9401</v>
      </c>
      <c r="B3718" s="2" t="s">
        <v>5277</v>
      </c>
      <c r="C3718" s="52" t="s">
        <v>122</v>
      </c>
      <c r="D3718" s="52" t="s">
        <v>121</v>
      </c>
      <c r="E3718" s="52" t="s">
        <v>120</v>
      </c>
      <c r="F3718" s="52" t="s">
        <v>9373</v>
      </c>
      <c r="G3718" s="4" t="s">
        <v>3190</v>
      </c>
      <c r="H3718" s="5">
        <v>0</v>
      </c>
      <c r="I3718" s="6">
        <v>710000000</v>
      </c>
      <c r="J3718" s="4" t="s">
        <v>1931</v>
      </c>
      <c r="K3718" s="4" t="s">
        <v>5390</v>
      </c>
      <c r="L3718" s="3" t="s">
        <v>1708</v>
      </c>
      <c r="M3718" s="8" t="s">
        <v>3195</v>
      </c>
      <c r="N3718" s="3" t="s">
        <v>1890</v>
      </c>
      <c r="O3718" s="8" t="s">
        <v>1935</v>
      </c>
      <c r="P3718" s="8">
        <v>166</v>
      </c>
      <c r="Q3718" s="8" t="s">
        <v>3324</v>
      </c>
      <c r="R3718" s="69">
        <v>1</v>
      </c>
      <c r="S3718" s="69">
        <v>3125</v>
      </c>
      <c r="T3718" s="10">
        <f t="shared" ref="T3718" si="2406">S3718*R3718</f>
        <v>3125</v>
      </c>
      <c r="U3718" s="10">
        <f t="shared" ref="U3718" si="2407">T3718*1.12</f>
        <v>3500.0000000000005</v>
      </c>
      <c r="V3718" s="7"/>
      <c r="W3718" s="1">
        <v>2015</v>
      </c>
      <c r="X3718" s="62"/>
      <c r="Z3718" s="136"/>
      <c r="AA3718" s="137"/>
    </row>
    <row r="3719" spans="1:27" s="13" customFormat="1" ht="76.5" customHeight="1" outlineLevel="1" x14ac:dyDescent="0.2">
      <c r="A3719" s="1" t="s">
        <v>9402</v>
      </c>
      <c r="B3719" s="2" t="s">
        <v>5277</v>
      </c>
      <c r="C3719" s="52" t="s">
        <v>9374</v>
      </c>
      <c r="D3719" s="52" t="s">
        <v>9375</v>
      </c>
      <c r="E3719" s="52" t="s">
        <v>9376</v>
      </c>
      <c r="F3719" s="52" t="s">
        <v>9497</v>
      </c>
      <c r="G3719" s="4" t="s">
        <v>3190</v>
      </c>
      <c r="H3719" s="5">
        <v>0</v>
      </c>
      <c r="I3719" s="6">
        <v>710000000</v>
      </c>
      <c r="J3719" s="4" t="s">
        <v>1931</v>
      </c>
      <c r="K3719" s="4" t="s">
        <v>5390</v>
      </c>
      <c r="L3719" s="3" t="s">
        <v>1708</v>
      </c>
      <c r="M3719" s="8" t="s">
        <v>3195</v>
      </c>
      <c r="N3719" s="3" t="s">
        <v>1890</v>
      </c>
      <c r="O3719" s="8" t="s">
        <v>1935</v>
      </c>
      <c r="P3719" s="8">
        <v>796</v>
      </c>
      <c r="Q3719" s="8" t="s">
        <v>3196</v>
      </c>
      <c r="R3719" s="69">
        <v>7</v>
      </c>
      <c r="S3719" s="69">
        <v>53560</v>
      </c>
      <c r="T3719" s="10">
        <f t="shared" ref="T3719" si="2408">S3719*R3719</f>
        <v>374920</v>
      </c>
      <c r="U3719" s="10">
        <f t="shared" ref="U3719" si="2409">T3719*1.12</f>
        <v>419910.40000000002</v>
      </c>
      <c r="V3719" s="7"/>
      <c r="W3719" s="1">
        <v>2015</v>
      </c>
      <c r="X3719" s="62"/>
      <c r="Z3719" s="136"/>
      <c r="AA3719" s="137"/>
    </row>
    <row r="3720" spans="1:27" s="13" customFormat="1" ht="76.5" customHeight="1" outlineLevel="1" x14ac:dyDescent="0.2">
      <c r="A3720" s="1" t="s">
        <v>9403</v>
      </c>
      <c r="B3720" s="2" t="s">
        <v>5277</v>
      </c>
      <c r="C3720" s="52" t="s">
        <v>9377</v>
      </c>
      <c r="D3720" s="52" t="s">
        <v>7153</v>
      </c>
      <c r="E3720" s="52" t="s">
        <v>9378</v>
      </c>
      <c r="F3720" s="52" t="s">
        <v>9379</v>
      </c>
      <c r="G3720" s="4" t="s">
        <v>3190</v>
      </c>
      <c r="H3720" s="5">
        <v>0</v>
      </c>
      <c r="I3720" s="6">
        <v>710000000</v>
      </c>
      <c r="J3720" s="4" t="s">
        <v>1931</v>
      </c>
      <c r="K3720" s="4" t="s">
        <v>5390</v>
      </c>
      <c r="L3720" s="18" t="s">
        <v>1889</v>
      </c>
      <c r="M3720" s="8" t="s">
        <v>3195</v>
      </c>
      <c r="N3720" s="3" t="s">
        <v>1890</v>
      </c>
      <c r="O3720" s="8" t="s">
        <v>1935</v>
      </c>
      <c r="P3720" s="76" t="s">
        <v>3010</v>
      </c>
      <c r="Q3720" s="8" t="s">
        <v>5142</v>
      </c>
      <c r="R3720" s="69">
        <v>10</v>
      </c>
      <c r="S3720" s="69">
        <v>18600</v>
      </c>
      <c r="T3720" s="10">
        <f t="shared" ref="T3720" si="2410">S3720*R3720</f>
        <v>186000</v>
      </c>
      <c r="U3720" s="10">
        <f t="shared" ref="U3720" si="2411">T3720*1.12</f>
        <v>208320.00000000003</v>
      </c>
      <c r="V3720" s="7"/>
      <c r="W3720" s="1">
        <v>2015</v>
      </c>
      <c r="X3720" s="62"/>
      <c r="Z3720" s="136"/>
      <c r="AA3720" s="137"/>
    </row>
    <row r="3721" spans="1:27" s="13" customFormat="1" ht="76.5" customHeight="1" outlineLevel="1" x14ac:dyDescent="0.2">
      <c r="A3721" s="1" t="s">
        <v>9404</v>
      </c>
      <c r="B3721" s="2" t="s">
        <v>5277</v>
      </c>
      <c r="C3721" s="52" t="s">
        <v>9380</v>
      </c>
      <c r="D3721" s="52" t="s">
        <v>9381</v>
      </c>
      <c r="E3721" s="52" t="s">
        <v>9382</v>
      </c>
      <c r="F3721" s="52"/>
      <c r="G3721" s="4" t="s">
        <v>3190</v>
      </c>
      <c r="H3721" s="5">
        <v>0</v>
      </c>
      <c r="I3721" s="6">
        <v>710000000</v>
      </c>
      <c r="J3721" s="4" t="s">
        <v>1931</v>
      </c>
      <c r="K3721" s="4" t="s">
        <v>5390</v>
      </c>
      <c r="L3721" s="18" t="s">
        <v>1889</v>
      </c>
      <c r="M3721" s="8" t="s">
        <v>3195</v>
      </c>
      <c r="N3721" s="3" t="s">
        <v>1890</v>
      </c>
      <c r="O3721" s="8" t="s">
        <v>1935</v>
      </c>
      <c r="P3721" s="8">
        <v>796</v>
      </c>
      <c r="Q3721" s="8" t="s">
        <v>3196</v>
      </c>
      <c r="R3721" s="69">
        <v>1</v>
      </c>
      <c r="S3721" s="69">
        <v>253500</v>
      </c>
      <c r="T3721" s="10">
        <f t="shared" ref="T3721:T3737" si="2412">S3721*R3721</f>
        <v>253500</v>
      </c>
      <c r="U3721" s="10">
        <f t="shared" ref="U3721:U3737" si="2413">T3721*1.12</f>
        <v>283920</v>
      </c>
      <c r="V3721" s="7"/>
      <c r="W3721" s="1">
        <v>2015</v>
      </c>
      <c r="X3721" s="62"/>
      <c r="Z3721" s="136"/>
      <c r="AA3721" s="137"/>
    </row>
    <row r="3722" spans="1:27" s="61" customFormat="1" ht="119.25" customHeight="1" outlineLevel="1" x14ac:dyDescent="0.2">
      <c r="A3722" s="1" t="s">
        <v>9424</v>
      </c>
      <c r="B3722" s="38" t="s">
        <v>5277</v>
      </c>
      <c r="C3722" s="22" t="s">
        <v>3103</v>
      </c>
      <c r="D3722" s="22" t="s">
        <v>5578</v>
      </c>
      <c r="E3722" s="22" t="s">
        <v>5579</v>
      </c>
      <c r="F3722" s="22" t="s">
        <v>9423</v>
      </c>
      <c r="G3722" s="4" t="s">
        <v>1888</v>
      </c>
      <c r="H3722" s="5">
        <v>0.5</v>
      </c>
      <c r="I3722" s="6">
        <v>710000000</v>
      </c>
      <c r="J3722" s="4" t="s">
        <v>1931</v>
      </c>
      <c r="K3722" s="4" t="s">
        <v>5390</v>
      </c>
      <c r="L3722" s="53" t="s">
        <v>1940</v>
      </c>
      <c r="M3722" s="8" t="s">
        <v>3195</v>
      </c>
      <c r="N3722" s="3" t="s">
        <v>1890</v>
      </c>
      <c r="O3722" s="8" t="s">
        <v>1935</v>
      </c>
      <c r="P3722" s="8">
        <v>112</v>
      </c>
      <c r="Q3722" s="8" t="s">
        <v>3026</v>
      </c>
      <c r="R3722" s="9">
        <v>370</v>
      </c>
      <c r="S3722" s="9">
        <v>1253.57</v>
      </c>
      <c r="T3722" s="10">
        <f t="shared" ref="T3722" si="2414">S3722*R3722</f>
        <v>463820.89999999997</v>
      </c>
      <c r="U3722" s="10">
        <f t="shared" ref="U3722" si="2415">T3722*1.12</f>
        <v>519479.408</v>
      </c>
      <c r="V3722" s="7"/>
      <c r="W3722" s="11">
        <v>2015</v>
      </c>
      <c r="X3722" s="12"/>
      <c r="Y3722" s="21"/>
    </row>
    <row r="3723" spans="1:27" s="61" customFormat="1" ht="99" customHeight="1" outlineLevel="1" x14ac:dyDescent="0.2">
      <c r="A3723" s="1" t="s">
        <v>9425</v>
      </c>
      <c r="B3723" s="38" t="s">
        <v>5277</v>
      </c>
      <c r="C3723" s="7" t="s">
        <v>3102</v>
      </c>
      <c r="D3723" s="7" t="s">
        <v>5578</v>
      </c>
      <c r="E3723" s="18" t="s">
        <v>5579</v>
      </c>
      <c r="F3723" s="25" t="s">
        <v>8838</v>
      </c>
      <c r="G3723" s="4" t="s">
        <v>1888</v>
      </c>
      <c r="H3723" s="5">
        <v>0.5</v>
      </c>
      <c r="I3723" s="6">
        <v>710000000</v>
      </c>
      <c r="J3723" s="4" t="s">
        <v>1931</v>
      </c>
      <c r="K3723" s="4" t="s">
        <v>5390</v>
      </c>
      <c r="L3723" s="53" t="s">
        <v>1940</v>
      </c>
      <c r="M3723" s="8" t="s">
        <v>3195</v>
      </c>
      <c r="N3723" s="3" t="s">
        <v>1890</v>
      </c>
      <c r="O3723" s="8" t="s">
        <v>1935</v>
      </c>
      <c r="P3723" s="8">
        <v>868</v>
      </c>
      <c r="Q3723" s="8" t="s">
        <v>5521</v>
      </c>
      <c r="R3723" s="9">
        <v>1406</v>
      </c>
      <c r="S3723" s="9">
        <v>292.67</v>
      </c>
      <c r="T3723" s="10">
        <v>0</v>
      </c>
      <c r="U3723" s="10">
        <f t="shared" si="2413"/>
        <v>0</v>
      </c>
      <c r="V3723" s="7"/>
      <c r="W3723" s="11">
        <v>2015</v>
      </c>
      <c r="X3723" s="12" t="s">
        <v>7518</v>
      </c>
      <c r="Y3723" s="21"/>
    </row>
    <row r="3724" spans="1:27" s="61" customFormat="1" ht="99" customHeight="1" outlineLevel="1" x14ac:dyDescent="0.2">
      <c r="A3724" s="1" t="s">
        <v>10189</v>
      </c>
      <c r="B3724" s="38" t="s">
        <v>5277</v>
      </c>
      <c r="C3724" s="7" t="s">
        <v>3102</v>
      </c>
      <c r="D3724" s="7" t="s">
        <v>5578</v>
      </c>
      <c r="E3724" s="18" t="s">
        <v>5579</v>
      </c>
      <c r="F3724" s="25" t="s">
        <v>8838</v>
      </c>
      <c r="G3724" s="4" t="s">
        <v>1888</v>
      </c>
      <c r="H3724" s="5">
        <v>0.5</v>
      </c>
      <c r="I3724" s="6">
        <v>710000000</v>
      </c>
      <c r="J3724" s="4" t="s">
        <v>1931</v>
      </c>
      <c r="K3724" s="4" t="s">
        <v>10161</v>
      </c>
      <c r="L3724" s="53" t="s">
        <v>1940</v>
      </c>
      <c r="M3724" s="8" t="s">
        <v>3195</v>
      </c>
      <c r="N3724" s="3" t="s">
        <v>1890</v>
      </c>
      <c r="O3724" s="8" t="s">
        <v>1935</v>
      </c>
      <c r="P3724" s="8">
        <v>868</v>
      </c>
      <c r="Q3724" s="8" t="s">
        <v>5521</v>
      </c>
      <c r="R3724" s="9">
        <f>1406+800</f>
        <v>2206</v>
      </c>
      <c r="S3724" s="9">
        <v>292.67</v>
      </c>
      <c r="T3724" s="10">
        <f t="shared" ref="T3724" si="2416">S3724*R3724</f>
        <v>645630.02</v>
      </c>
      <c r="U3724" s="10">
        <f t="shared" ref="U3724" si="2417">T3724*1.12</f>
        <v>723105.62240000011</v>
      </c>
      <c r="V3724" s="7"/>
      <c r="W3724" s="11">
        <v>2015</v>
      </c>
      <c r="X3724" s="12"/>
      <c r="Y3724" s="21"/>
    </row>
    <row r="3725" spans="1:27" s="61" customFormat="1" ht="76.5" customHeight="1" outlineLevel="1" x14ac:dyDescent="0.2">
      <c r="A3725" s="1" t="s">
        <v>9426</v>
      </c>
      <c r="B3725" s="38" t="s">
        <v>5277</v>
      </c>
      <c r="C3725" s="7" t="s">
        <v>8840</v>
      </c>
      <c r="D3725" s="7" t="s">
        <v>5580</v>
      </c>
      <c r="E3725" s="18" t="s">
        <v>5581</v>
      </c>
      <c r="F3725" s="25" t="s">
        <v>8841</v>
      </c>
      <c r="G3725" s="4" t="s">
        <v>1888</v>
      </c>
      <c r="H3725" s="5">
        <v>0.5</v>
      </c>
      <c r="I3725" s="6">
        <v>710000000</v>
      </c>
      <c r="J3725" s="4" t="s">
        <v>1931</v>
      </c>
      <c r="K3725" s="4" t="s">
        <v>5390</v>
      </c>
      <c r="L3725" s="53" t="s">
        <v>1940</v>
      </c>
      <c r="M3725" s="8" t="s">
        <v>3195</v>
      </c>
      <c r="N3725" s="3" t="s">
        <v>1890</v>
      </c>
      <c r="O3725" s="8" t="s">
        <v>1935</v>
      </c>
      <c r="P3725" s="8">
        <v>868</v>
      </c>
      <c r="Q3725" s="8" t="s">
        <v>5521</v>
      </c>
      <c r="R3725" s="9">
        <v>712</v>
      </c>
      <c r="S3725" s="9">
        <v>296.25</v>
      </c>
      <c r="T3725" s="10">
        <f t="shared" si="2412"/>
        <v>210930</v>
      </c>
      <c r="U3725" s="10">
        <f t="shared" si="2413"/>
        <v>236241.60000000003</v>
      </c>
      <c r="V3725" s="7"/>
      <c r="W3725" s="11">
        <v>2015</v>
      </c>
      <c r="X3725" s="12"/>
      <c r="Y3725" s="21"/>
    </row>
    <row r="3726" spans="1:27" s="61" customFormat="1" ht="114.75" customHeight="1" outlineLevel="1" x14ac:dyDescent="0.2">
      <c r="A3726" s="1" t="s">
        <v>9427</v>
      </c>
      <c r="B3726" s="38" t="s">
        <v>5277</v>
      </c>
      <c r="C3726" s="7" t="s">
        <v>8840</v>
      </c>
      <c r="D3726" s="7" t="s">
        <v>5580</v>
      </c>
      <c r="E3726" s="18" t="s">
        <v>5581</v>
      </c>
      <c r="F3726" s="25" t="s">
        <v>8843</v>
      </c>
      <c r="G3726" s="4" t="s">
        <v>1888</v>
      </c>
      <c r="H3726" s="5">
        <v>0.5</v>
      </c>
      <c r="I3726" s="6">
        <v>710000000</v>
      </c>
      <c r="J3726" s="4" t="s">
        <v>1931</v>
      </c>
      <c r="K3726" s="4" t="s">
        <v>5390</v>
      </c>
      <c r="L3726" s="53" t="s">
        <v>1940</v>
      </c>
      <c r="M3726" s="8" t="s">
        <v>3195</v>
      </c>
      <c r="N3726" s="3" t="s">
        <v>1890</v>
      </c>
      <c r="O3726" s="8" t="s">
        <v>1935</v>
      </c>
      <c r="P3726" s="8">
        <v>868</v>
      </c>
      <c r="Q3726" s="8" t="s">
        <v>5521</v>
      </c>
      <c r="R3726" s="9">
        <v>1569</v>
      </c>
      <c r="S3726" s="9">
        <v>353.5</v>
      </c>
      <c r="T3726" s="10">
        <f t="shared" si="2412"/>
        <v>554641.5</v>
      </c>
      <c r="U3726" s="10">
        <f t="shared" si="2413"/>
        <v>621198.4800000001</v>
      </c>
      <c r="V3726" s="7"/>
      <c r="W3726" s="11">
        <v>2015</v>
      </c>
      <c r="X3726" s="12"/>
      <c r="Y3726" s="21"/>
    </row>
    <row r="3727" spans="1:27" s="61" customFormat="1" ht="153" customHeight="1" outlineLevel="1" x14ac:dyDescent="0.2">
      <c r="A3727" s="1" t="s">
        <v>9428</v>
      </c>
      <c r="B3727" s="38" t="s">
        <v>5277</v>
      </c>
      <c r="C3727" s="7" t="s">
        <v>3112</v>
      </c>
      <c r="D3727" s="7" t="s">
        <v>5585</v>
      </c>
      <c r="E3727" s="18" t="s">
        <v>5586</v>
      </c>
      <c r="F3727" s="25" t="s">
        <v>8845</v>
      </c>
      <c r="G3727" s="4" t="s">
        <v>1888</v>
      </c>
      <c r="H3727" s="5">
        <v>0.5</v>
      </c>
      <c r="I3727" s="6">
        <v>710000000</v>
      </c>
      <c r="J3727" s="4" t="s">
        <v>1931</v>
      </c>
      <c r="K3727" s="4" t="s">
        <v>5390</v>
      </c>
      <c r="L3727" s="53" t="s">
        <v>1940</v>
      </c>
      <c r="M3727" s="8" t="s">
        <v>3195</v>
      </c>
      <c r="N3727" s="3" t="s">
        <v>1890</v>
      </c>
      <c r="O3727" s="8" t="s">
        <v>1935</v>
      </c>
      <c r="P3727" s="8">
        <v>868</v>
      </c>
      <c r="Q3727" s="8" t="s">
        <v>5521</v>
      </c>
      <c r="R3727" s="9">
        <v>1832</v>
      </c>
      <c r="S3727" s="9">
        <v>296.18</v>
      </c>
      <c r="T3727" s="10">
        <f t="shared" si="2412"/>
        <v>542601.76</v>
      </c>
      <c r="U3727" s="10">
        <f t="shared" si="2413"/>
        <v>607713.97120000003</v>
      </c>
      <c r="V3727" s="7"/>
      <c r="W3727" s="11">
        <v>2015</v>
      </c>
      <c r="X3727" s="12"/>
      <c r="Y3727" s="21"/>
    </row>
    <row r="3728" spans="1:27" s="61" customFormat="1" ht="153" customHeight="1" outlineLevel="1" x14ac:dyDescent="0.2">
      <c r="A3728" s="1" t="s">
        <v>9429</v>
      </c>
      <c r="B3728" s="38" t="s">
        <v>5277</v>
      </c>
      <c r="C3728" s="7" t="s">
        <v>3108</v>
      </c>
      <c r="D3728" s="7" t="s">
        <v>5592</v>
      </c>
      <c r="E3728" s="18" t="s">
        <v>5593</v>
      </c>
      <c r="F3728" s="25" t="s">
        <v>9434</v>
      </c>
      <c r="G3728" s="4" t="s">
        <v>1888</v>
      </c>
      <c r="H3728" s="5">
        <v>0.5</v>
      </c>
      <c r="I3728" s="6">
        <v>710000000</v>
      </c>
      <c r="J3728" s="4" t="s">
        <v>1931</v>
      </c>
      <c r="K3728" s="4" t="s">
        <v>5390</v>
      </c>
      <c r="L3728" s="53" t="s">
        <v>1940</v>
      </c>
      <c r="M3728" s="8" t="s">
        <v>3195</v>
      </c>
      <c r="N3728" s="3" t="s">
        <v>1890</v>
      </c>
      <c r="O3728" s="8" t="s">
        <v>1935</v>
      </c>
      <c r="P3728" s="8">
        <v>868</v>
      </c>
      <c r="Q3728" s="8" t="s">
        <v>5521</v>
      </c>
      <c r="R3728" s="9">
        <v>3032</v>
      </c>
      <c r="S3728" s="9">
        <v>117.5</v>
      </c>
      <c r="T3728" s="10">
        <f t="shared" ref="T3728" si="2418">S3728*R3728</f>
        <v>356260</v>
      </c>
      <c r="U3728" s="10">
        <f t="shared" ref="U3728" si="2419">T3728*1.12</f>
        <v>399011.2</v>
      </c>
      <c r="V3728" s="7"/>
      <c r="W3728" s="11">
        <v>2015</v>
      </c>
      <c r="X3728" s="12"/>
      <c r="Y3728" s="21"/>
    </row>
    <row r="3729" spans="1:25" s="61" customFormat="1" ht="76.5" customHeight="1" outlineLevel="1" x14ac:dyDescent="0.2">
      <c r="A3729" s="1" t="s">
        <v>9430</v>
      </c>
      <c r="B3729" s="38" t="s">
        <v>5277</v>
      </c>
      <c r="C3729" s="25" t="s">
        <v>3109</v>
      </c>
      <c r="D3729" s="25" t="s">
        <v>5598</v>
      </c>
      <c r="E3729" s="25" t="s">
        <v>2364</v>
      </c>
      <c r="F3729" s="25" t="s">
        <v>8847</v>
      </c>
      <c r="G3729" s="4" t="s">
        <v>1888</v>
      </c>
      <c r="H3729" s="5">
        <v>0.5</v>
      </c>
      <c r="I3729" s="6">
        <v>710000000</v>
      </c>
      <c r="J3729" s="4" t="s">
        <v>1931</v>
      </c>
      <c r="K3729" s="4" t="s">
        <v>5390</v>
      </c>
      <c r="L3729" s="53" t="s">
        <v>1940</v>
      </c>
      <c r="M3729" s="8" t="s">
        <v>3195</v>
      </c>
      <c r="N3729" s="3" t="s">
        <v>1890</v>
      </c>
      <c r="O3729" s="8" t="s">
        <v>1935</v>
      </c>
      <c r="P3729" s="8">
        <v>796</v>
      </c>
      <c r="Q3729" s="8" t="s">
        <v>3196</v>
      </c>
      <c r="R3729" s="9">
        <v>2370</v>
      </c>
      <c r="S3729" s="9">
        <v>44.42</v>
      </c>
      <c r="T3729" s="10">
        <f t="shared" si="2412"/>
        <v>105275.40000000001</v>
      </c>
      <c r="U3729" s="10">
        <f t="shared" si="2413"/>
        <v>117908.44800000002</v>
      </c>
      <c r="V3729" s="7"/>
      <c r="W3729" s="11">
        <v>2015</v>
      </c>
      <c r="X3729" s="12"/>
      <c r="Y3729" s="21"/>
    </row>
    <row r="3730" spans="1:25" s="61" customFormat="1" ht="204" customHeight="1" outlineLevel="1" x14ac:dyDescent="0.2">
      <c r="A3730" s="1" t="s">
        <v>9431</v>
      </c>
      <c r="B3730" s="38" t="s">
        <v>5277</v>
      </c>
      <c r="C3730" s="7" t="s">
        <v>3114</v>
      </c>
      <c r="D3730" s="7" t="s">
        <v>5594</v>
      </c>
      <c r="E3730" s="18" t="s">
        <v>5597</v>
      </c>
      <c r="F3730" s="25" t="s">
        <v>8849</v>
      </c>
      <c r="G3730" s="4" t="s">
        <v>1888</v>
      </c>
      <c r="H3730" s="5">
        <v>0.5</v>
      </c>
      <c r="I3730" s="6">
        <v>710000000</v>
      </c>
      <c r="J3730" s="4" t="s">
        <v>1931</v>
      </c>
      <c r="K3730" s="4" t="s">
        <v>5390</v>
      </c>
      <c r="L3730" s="53" t="s">
        <v>1940</v>
      </c>
      <c r="M3730" s="8" t="s">
        <v>3195</v>
      </c>
      <c r="N3730" s="3" t="s">
        <v>1890</v>
      </c>
      <c r="O3730" s="8" t="s">
        <v>1935</v>
      </c>
      <c r="P3730" s="8">
        <v>796</v>
      </c>
      <c r="Q3730" s="8" t="s">
        <v>3196</v>
      </c>
      <c r="R3730" s="9">
        <v>832</v>
      </c>
      <c r="S3730" s="9">
        <v>253.5</v>
      </c>
      <c r="T3730" s="10">
        <f t="shared" si="2412"/>
        <v>210912</v>
      </c>
      <c r="U3730" s="10">
        <f t="shared" si="2413"/>
        <v>236221.44000000003</v>
      </c>
      <c r="V3730" s="7"/>
      <c r="W3730" s="11">
        <v>2015</v>
      </c>
      <c r="X3730" s="12"/>
      <c r="Y3730" s="21"/>
    </row>
    <row r="3731" spans="1:25" s="61" customFormat="1" ht="102" customHeight="1" outlineLevel="1" x14ac:dyDescent="0.2">
      <c r="A3731" s="1" t="s">
        <v>9432</v>
      </c>
      <c r="B3731" s="38" t="s">
        <v>5277</v>
      </c>
      <c r="C3731" s="7" t="s">
        <v>8851</v>
      </c>
      <c r="D3731" s="7" t="s">
        <v>5594</v>
      </c>
      <c r="E3731" s="18" t="s">
        <v>5597</v>
      </c>
      <c r="F3731" s="25" t="s">
        <v>8852</v>
      </c>
      <c r="G3731" s="4" t="s">
        <v>1888</v>
      </c>
      <c r="H3731" s="5">
        <v>0.5</v>
      </c>
      <c r="I3731" s="6">
        <v>710000000</v>
      </c>
      <c r="J3731" s="4" t="s">
        <v>1931</v>
      </c>
      <c r="K3731" s="4" t="s">
        <v>5390</v>
      </c>
      <c r="L3731" s="53" t="s">
        <v>1940</v>
      </c>
      <c r="M3731" s="53" t="s">
        <v>3195</v>
      </c>
      <c r="N3731" s="53" t="s">
        <v>1890</v>
      </c>
      <c r="O3731" s="8" t="s">
        <v>1935</v>
      </c>
      <c r="P3731" s="8">
        <v>112</v>
      </c>
      <c r="Q3731" s="53" t="s">
        <v>3026</v>
      </c>
      <c r="R3731" s="9">
        <v>2299</v>
      </c>
      <c r="S3731" s="9">
        <v>201</v>
      </c>
      <c r="T3731" s="10">
        <v>0</v>
      </c>
      <c r="U3731" s="10">
        <f t="shared" si="2413"/>
        <v>0</v>
      </c>
      <c r="V3731" s="7"/>
      <c r="W3731" s="11">
        <v>2015</v>
      </c>
      <c r="X3731" s="12" t="s">
        <v>7518</v>
      </c>
      <c r="Y3731" s="21"/>
    </row>
    <row r="3732" spans="1:25" s="61" customFormat="1" ht="102" customHeight="1" outlineLevel="1" x14ac:dyDescent="0.2">
      <c r="A3732" s="1" t="s">
        <v>10186</v>
      </c>
      <c r="B3732" s="38" t="s">
        <v>5277</v>
      </c>
      <c r="C3732" s="7" t="s">
        <v>8851</v>
      </c>
      <c r="D3732" s="7" t="s">
        <v>5594</v>
      </c>
      <c r="E3732" s="18" t="s">
        <v>5597</v>
      </c>
      <c r="F3732" s="25" t="s">
        <v>8852</v>
      </c>
      <c r="G3732" s="4" t="s">
        <v>1888</v>
      </c>
      <c r="H3732" s="5">
        <v>0.5</v>
      </c>
      <c r="I3732" s="6">
        <v>710000000</v>
      </c>
      <c r="J3732" s="4" t="s">
        <v>1931</v>
      </c>
      <c r="K3732" s="4" t="s">
        <v>10161</v>
      </c>
      <c r="L3732" s="53" t="s">
        <v>1940</v>
      </c>
      <c r="M3732" s="53" t="s">
        <v>3195</v>
      </c>
      <c r="N3732" s="53" t="s">
        <v>1890</v>
      </c>
      <c r="O3732" s="8" t="s">
        <v>1935</v>
      </c>
      <c r="P3732" s="8">
        <v>112</v>
      </c>
      <c r="Q3732" s="53" t="s">
        <v>3026</v>
      </c>
      <c r="R3732" s="9">
        <f>2299+4601</f>
        <v>6900</v>
      </c>
      <c r="S3732" s="9">
        <v>201</v>
      </c>
      <c r="T3732" s="10">
        <f t="shared" ref="T3732" si="2420">S3732*R3732</f>
        <v>1386900</v>
      </c>
      <c r="U3732" s="10">
        <f t="shared" ref="U3732" si="2421">T3732*1.12</f>
        <v>1553328.0000000002</v>
      </c>
      <c r="V3732" s="7"/>
      <c r="W3732" s="11">
        <v>2015</v>
      </c>
      <c r="X3732" s="12"/>
      <c r="Y3732" s="21"/>
    </row>
    <row r="3733" spans="1:25" s="61" customFormat="1" ht="102" customHeight="1" outlineLevel="1" x14ac:dyDescent="0.2">
      <c r="A3733" s="1" t="s">
        <v>9433</v>
      </c>
      <c r="B3733" s="38" t="s">
        <v>5277</v>
      </c>
      <c r="C3733" s="7" t="s">
        <v>9435</v>
      </c>
      <c r="D3733" s="7" t="s">
        <v>9436</v>
      </c>
      <c r="E3733" s="18" t="s">
        <v>9437</v>
      </c>
      <c r="F3733" s="25" t="s">
        <v>9438</v>
      </c>
      <c r="G3733" s="4" t="s">
        <v>1888</v>
      </c>
      <c r="H3733" s="5">
        <v>0.5</v>
      </c>
      <c r="I3733" s="6">
        <v>710000000</v>
      </c>
      <c r="J3733" s="4" t="s">
        <v>1931</v>
      </c>
      <c r="K3733" s="4" t="s">
        <v>5390</v>
      </c>
      <c r="L3733" s="53" t="s">
        <v>1940</v>
      </c>
      <c r="M3733" s="53" t="s">
        <v>3195</v>
      </c>
      <c r="N3733" s="53" t="s">
        <v>1890</v>
      </c>
      <c r="O3733" s="8" t="s">
        <v>1935</v>
      </c>
      <c r="P3733" s="8">
        <v>796</v>
      </c>
      <c r="Q3733" s="53" t="s">
        <v>3196</v>
      </c>
      <c r="R3733" s="9">
        <v>313</v>
      </c>
      <c r="S3733" s="9">
        <v>349</v>
      </c>
      <c r="T3733" s="10">
        <f t="shared" ref="T3733" si="2422">S3733*R3733</f>
        <v>109237</v>
      </c>
      <c r="U3733" s="10">
        <f t="shared" ref="U3733" si="2423">T3733*1.12</f>
        <v>122345.44000000002</v>
      </c>
      <c r="V3733" s="7"/>
      <c r="W3733" s="11">
        <v>2015</v>
      </c>
      <c r="X3733" s="12"/>
      <c r="Y3733" s="21"/>
    </row>
    <row r="3734" spans="1:25" s="61" customFormat="1" ht="102" customHeight="1" outlineLevel="1" x14ac:dyDescent="0.2">
      <c r="A3734" s="1" t="s">
        <v>9439</v>
      </c>
      <c r="B3734" s="38" t="s">
        <v>5277</v>
      </c>
      <c r="C3734" s="7" t="s">
        <v>3113</v>
      </c>
      <c r="D3734" s="7" t="s">
        <v>5606</v>
      </c>
      <c r="E3734" s="18" t="s">
        <v>5607</v>
      </c>
      <c r="F3734" s="25" t="s">
        <v>9440</v>
      </c>
      <c r="G3734" s="4" t="s">
        <v>1888</v>
      </c>
      <c r="H3734" s="5">
        <v>0.5</v>
      </c>
      <c r="I3734" s="6">
        <v>710000000</v>
      </c>
      <c r="J3734" s="4" t="s">
        <v>1931</v>
      </c>
      <c r="K3734" s="4" t="s">
        <v>5390</v>
      </c>
      <c r="L3734" s="53" t="s">
        <v>1940</v>
      </c>
      <c r="M3734" s="53" t="s">
        <v>3195</v>
      </c>
      <c r="N3734" s="53" t="s">
        <v>1890</v>
      </c>
      <c r="O3734" s="8" t="s">
        <v>1935</v>
      </c>
      <c r="P3734" s="8">
        <v>796</v>
      </c>
      <c r="Q3734" s="53" t="s">
        <v>3196</v>
      </c>
      <c r="R3734" s="9">
        <v>2149</v>
      </c>
      <c r="S3734" s="9">
        <v>208.93</v>
      </c>
      <c r="T3734" s="10">
        <f t="shared" ref="T3734" si="2424">S3734*R3734</f>
        <v>448990.57</v>
      </c>
      <c r="U3734" s="10">
        <f t="shared" ref="U3734" si="2425">T3734*1.12</f>
        <v>502869.43840000004</v>
      </c>
      <c r="V3734" s="7"/>
      <c r="W3734" s="11">
        <v>2015</v>
      </c>
      <c r="X3734" s="12"/>
      <c r="Y3734" s="21"/>
    </row>
    <row r="3735" spans="1:25" s="61" customFormat="1" ht="102" customHeight="1" outlineLevel="1" x14ac:dyDescent="0.2">
      <c r="A3735" s="1" t="s">
        <v>9441</v>
      </c>
      <c r="B3735" s="38" t="s">
        <v>5277</v>
      </c>
      <c r="C3735" s="7" t="s">
        <v>3113</v>
      </c>
      <c r="D3735" s="7" t="s">
        <v>5606</v>
      </c>
      <c r="E3735" s="18" t="s">
        <v>5607</v>
      </c>
      <c r="F3735" s="25" t="s">
        <v>9443</v>
      </c>
      <c r="G3735" s="4" t="s">
        <v>1888</v>
      </c>
      <c r="H3735" s="5">
        <v>0.5</v>
      </c>
      <c r="I3735" s="6">
        <v>710000000</v>
      </c>
      <c r="J3735" s="4" t="s">
        <v>1931</v>
      </c>
      <c r="K3735" s="4" t="s">
        <v>5390</v>
      </c>
      <c r="L3735" s="53" t="s">
        <v>1940</v>
      </c>
      <c r="M3735" s="53" t="s">
        <v>3195</v>
      </c>
      <c r="N3735" s="53" t="s">
        <v>1890</v>
      </c>
      <c r="O3735" s="8" t="s">
        <v>1935</v>
      </c>
      <c r="P3735" s="8">
        <v>796</v>
      </c>
      <c r="Q3735" s="53" t="s">
        <v>3196</v>
      </c>
      <c r="R3735" s="9">
        <v>2149</v>
      </c>
      <c r="S3735" s="9">
        <v>831.25</v>
      </c>
      <c r="T3735" s="10">
        <f t="shared" ref="T3735" si="2426">S3735*R3735</f>
        <v>1786356.25</v>
      </c>
      <c r="U3735" s="10">
        <f t="shared" ref="U3735" si="2427">T3735*1.12</f>
        <v>2000719.0000000002</v>
      </c>
      <c r="V3735" s="7"/>
      <c r="W3735" s="11">
        <v>2015</v>
      </c>
      <c r="X3735" s="12"/>
      <c r="Y3735" s="21"/>
    </row>
    <row r="3736" spans="1:25" s="61" customFormat="1" ht="153" customHeight="1" outlineLevel="1" x14ac:dyDescent="0.2">
      <c r="A3736" s="1" t="s">
        <v>9442</v>
      </c>
      <c r="B3736" s="38" t="s">
        <v>5277</v>
      </c>
      <c r="C3736" s="7" t="s">
        <v>3116</v>
      </c>
      <c r="D3736" s="7" t="s">
        <v>5604</v>
      </c>
      <c r="E3736" s="18" t="s">
        <v>5605</v>
      </c>
      <c r="F3736" s="25" t="s">
        <v>8854</v>
      </c>
      <c r="G3736" s="4" t="s">
        <v>1888</v>
      </c>
      <c r="H3736" s="5">
        <v>0.5</v>
      </c>
      <c r="I3736" s="6">
        <v>710000000</v>
      </c>
      <c r="J3736" s="4" t="s">
        <v>1931</v>
      </c>
      <c r="K3736" s="4" t="s">
        <v>5390</v>
      </c>
      <c r="L3736" s="53" t="s">
        <v>1940</v>
      </c>
      <c r="M3736" s="53" t="s">
        <v>3195</v>
      </c>
      <c r="N3736" s="53" t="s">
        <v>1890</v>
      </c>
      <c r="O3736" s="8" t="s">
        <v>1935</v>
      </c>
      <c r="P3736" s="8">
        <v>796</v>
      </c>
      <c r="Q3736" s="8" t="s">
        <v>3196</v>
      </c>
      <c r="R3736" s="9">
        <v>822</v>
      </c>
      <c r="S3736" s="9">
        <v>241.73</v>
      </c>
      <c r="T3736" s="10">
        <f t="shared" si="2412"/>
        <v>198702.06</v>
      </c>
      <c r="U3736" s="10">
        <f t="shared" si="2413"/>
        <v>222546.30720000001</v>
      </c>
      <c r="V3736" s="7"/>
      <c r="W3736" s="11">
        <v>2015</v>
      </c>
      <c r="X3736" s="12"/>
      <c r="Y3736" s="21"/>
    </row>
    <row r="3737" spans="1:25" s="61" customFormat="1" ht="76.5" customHeight="1" outlineLevel="1" x14ac:dyDescent="0.2">
      <c r="A3737" s="1" t="s">
        <v>9444</v>
      </c>
      <c r="B3737" s="38" t="s">
        <v>5277</v>
      </c>
      <c r="C3737" s="7" t="s">
        <v>3125</v>
      </c>
      <c r="D3737" s="7" t="s">
        <v>5614</v>
      </c>
      <c r="E3737" s="18" t="s">
        <v>5615</v>
      </c>
      <c r="F3737" s="25" t="s">
        <v>8872</v>
      </c>
      <c r="G3737" s="4" t="s">
        <v>1888</v>
      </c>
      <c r="H3737" s="5">
        <v>0.5</v>
      </c>
      <c r="I3737" s="6">
        <v>710000000</v>
      </c>
      <c r="J3737" s="4" t="s">
        <v>1931</v>
      </c>
      <c r="K3737" s="4" t="s">
        <v>5390</v>
      </c>
      <c r="L3737" s="53" t="s">
        <v>9445</v>
      </c>
      <c r="M3737" s="53" t="s">
        <v>3195</v>
      </c>
      <c r="N3737" s="53" t="s">
        <v>1890</v>
      </c>
      <c r="O3737" s="53" t="s">
        <v>1935</v>
      </c>
      <c r="P3737" s="18">
        <v>796</v>
      </c>
      <c r="Q3737" s="18" t="s">
        <v>3196</v>
      </c>
      <c r="R3737" s="9">
        <v>12341</v>
      </c>
      <c r="S3737" s="10">
        <v>200.89</v>
      </c>
      <c r="T3737" s="10">
        <f t="shared" si="2412"/>
        <v>2479183.4899999998</v>
      </c>
      <c r="U3737" s="10">
        <f t="shared" si="2413"/>
        <v>2776685.5088</v>
      </c>
      <c r="V3737" s="7"/>
      <c r="W3737" s="11">
        <v>2015</v>
      </c>
      <c r="X3737" s="12"/>
      <c r="Y3737" s="21"/>
    </row>
    <row r="3738" spans="1:25" s="61" customFormat="1" ht="76.5" customHeight="1" outlineLevel="1" x14ac:dyDescent="0.2">
      <c r="A3738" s="1" t="s">
        <v>9446</v>
      </c>
      <c r="B3738" s="38" t="s">
        <v>5277</v>
      </c>
      <c r="C3738" s="7" t="s">
        <v>3125</v>
      </c>
      <c r="D3738" s="7" t="s">
        <v>5614</v>
      </c>
      <c r="E3738" s="18" t="s">
        <v>5615</v>
      </c>
      <c r="F3738" s="25" t="s">
        <v>8874</v>
      </c>
      <c r="G3738" s="4" t="s">
        <v>1888</v>
      </c>
      <c r="H3738" s="5">
        <v>0.5</v>
      </c>
      <c r="I3738" s="6">
        <v>710000000</v>
      </c>
      <c r="J3738" s="4" t="s">
        <v>1931</v>
      </c>
      <c r="K3738" s="4" t="s">
        <v>5390</v>
      </c>
      <c r="L3738" s="53" t="s">
        <v>9445</v>
      </c>
      <c r="M3738" s="53" t="s">
        <v>3195</v>
      </c>
      <c r="N3738" s="53" t="s">
        <v>1890</v>
      </c>
      <c r="O3738" s="53" t="s">
        <v>1935</v>
      </c>
      <c r="P3738" s="18">
        <v>796</v>
      </c>
      <c r="Q3738" s="18" t="s">
        <v>3196</v>
      </c>
      <c r="R3738" s="9">
        <v>1986</v>
      </c>
      <c r="S3738" s="10">
        <v>286.61</v>
      </c>
      <c r="T3738" s="10">
        <v>0</v>
      </c>
      <c r="U3738" s="10">
        <f t="shared" ref="U3738" si="2428">T3738*1.12</f>
        <v>0</v>
      </c>
      <c r="V3738" s="7"/>
      <c r="W3738" s="11">
        <v>2015</v>
      </c>
      <c r="X3738" s="12" t="s">
        <v>7518</v>
      </c>
      <c r="Y3738" s="21"/>
    </row>
    <row r="3739" spans="1:25" s="61" customFormat="1" ht="76.5" customHeight="1" outlineLevel="1" x14ac:dyDescent="0.2">
      <c r="A3739" s="1" t="s">
        <v>10187</v>
      </c>
      <c r="B3739" s="38" t="s">
        <v>5277</v>
      </c>
      <c r="C3739" s="7" t="s">
        <v>3125</v>
      </c>
      <c r="D3739" s="7" t="s">
        <v>5614</v>
      </c>
      <c r="E3739" s="18" t="s">
        <v>5615</v>
      </c>
      <c r="F3739" s="25" t="s">
        <v>8874</v>
      </c>
      <c r="G3739" s="4" t="s">
        <v>1888</v>
      </c>
      <c r="H3739" s="5">
        <v>0.5</v>
      </c>
      <c r="I3739" s="6">
        <v>710000000</v>
      </c>
      <c r="J3739" s="4" t="s">
        <v>1931</v>
      </c>
      <c r="K3739" s="4" t="s">
        <v>10161</v>
      </c>
      <c r="L3739" s="53" t="s">
        <v>9445</v>
      </c>
      <c r="M3739" s="53" t="s">
        <v>3195</v>
      </c>
      <c r="N3739" s="53" t="s">
        <v>1890</v>
      </c>
      <c r="O3739" s="53" t="s">
        <v>1935</v>
      </c>
      <c r="P3739" s="18">
        <v>796</v>
      </c>
      <c r="Q3739" s="18" t="s">
        <v>3196</v>
      </c>
      <c r="R3739" s="9">
        <f>1986+165</f>
        <v>2151</v>
      </c>
      <c r="S3739" s="10">
        <v>286.61</v>
      </c>
      <c r="T3739" s="10">
        <f t="shared" ref="T3739" si="2429">S3739*R3739</f>
        <v>616498.11</v>
      </c>
      <c r="U3739" s="10">
        <f t="shared" ref="U3739" si="2430">T3739*1.12</f>
        <v>690477.88320000004</v>
      </c>
      <c r="V3739" s="7"/>
      <c r="W3739" s="11">
        <v>2015</v>
      </c>
      <c r="X3739" s="12"/>
      <c r="Y3739" s="21"/>
    </row>
    <row r="3740" spans="1:25" s="61" customFormat="1" ht="76.5" customHeight="1" outlineLevel="1" x14ac:dyDescent="0.2">
      <c r="A3740" s="1" t="s">
        <v>9447</v>
      </c>
      <c r="B3740" s="38" t="s">
        <v>5277</v>
      </c>
      <c r="C3740" s="18" t="s">
        <v>3126</v>
      </c>
      <c r="D3740" s="18" t="s">
        <v>5245</v>
      </c>
      <c r="E3740" s="18" t="s">
        <v>5617</v>
      </c>
      <c r="F3740" s="25" t="s">
        <v>9448</v>
      </c>
      <c r="G3740" s="4" t="s">
        <v>1888</v>
      </c>
      <c r="H3740" s="5">
        <v>0.5</v>
      </c>
      <c r="I3740" s="6">
        <v>710000000</v>
      </c>
      <c r="J3740" s="4" t="s">
        <v>1931</v>
      </c>
      <c r="K3740" s="4" t="s">
        <v>5390</v>
      </c>
      <c r="L3740" s="53" t="s">
        <v>9445</v>
      </c>
      <c r="M3740" s="53" t="s">
        <v>3195</v>
      </c>
      <c r="N3740" s="53" t="s">
        <v>1890</v>
      </c>
      <c r="O3740" s="53" t="s">
        <v>1935</v>
      </c>
      <c r="P3740" s="18">
        <v>796</v>
      </c>
      <c r="Q3740" s="18" t="s">
        <v>3196</v>
      </c>
      <c r="R3740" s="9">
        <v>9324</v>
      </c>
      <c r="S3740" s="10">
        <v>121.85</v>
      </c>
      <c r="T3740" s="10">
        <f t="shared" ref="T3740:T3745" si="2431">S3740*R3740</f>
        <v>1136129.3999999999</v>
      </c>
      <c r="U3740" s="10">
        <f t="shared" ref="U3740:U3745" si="2432">T3740*1.12</f>
        <v>1272464.9280000001</v>
      </c>
      <c r="V3740" s="7"/>
      <c r="W3740" s="11">
        <v>2015</v>
      </c>
      <c r="X3740" s="12"/>
      <c r="Y3740" s="21"/>
    </row>
    <row r="3741" spans="1:25" s="61" customFormat="1" ht="99" customHeight="1" outlineLevel="1" x14ac:dyDescent="0.2">
      <c r="A3741" s="1" t="s">
        <v>9449</v>
      </c>
      <c r="B3741" s="38" t="s">
        <v>5277</v>
      </c>
      <c r="C3741" s="7" t="s">
        <v>3102</v>
      </c>
      <c r="D3741" s="7" t="s">
        <v>5578</v>
      </c>
      <c r="E3741" s="18" t="s">
        <v>5579</v>
      </c>
      <c r="F3741" s="25" t="s">
        <v>8838</v>
      </c>
      <c r="G3741" s="4" t="s">
        <v>1888</v>
      </c>
      <c r="H3741" s="5">
        <v>0.5</v>
      </c>
      <c r="I3741" s="6">
        <v>710000000</v>
      </c>
      <c r="J3741" s="4" t="s">
        <v>1931</v>
      </c>
      <c r="K3741" s="4" t="s">
        <v>5390</v>
      </c>
      <c r="L3741" s="18" t="s">
        <v>1889</v>
      </c>
      <c r="M3741" s="8" t="s">
        <v>3195</v>
      </c>
      <c r="N3741" s="3" t="s">
        <v>1890</v>
      </c>
      <c r="O3741" s="8" t="s">
        <v>1935</v>
      </c>
      <c r="P3741" s="8">
        <v>868</v>
      </c>
      <c r="Q3741" s="8" t="s">
        <v>5521</v>
      </c>
      <c r="R3741" s="9">
        <v>171</v>
      </c>
      <c r="S3741" s="9">
        <v>287.69</v>
      </c>
      <c r="T3741" s="10">
        <f t="shared" si="2431"/>
        <v>49194.99</v>
      </c>
      <c r="U3741" s="10">
        <f t="shared" si="2432"/>
        <v>55098.388800000001</v>
      </c>
      <c r="V3741" s="7"/>
      <c r="W3741" s="11">
        <v>2015</v>
      </c>
      <c r="X3741" s="12"/>
      <c r="Y3741" s="21"/>
    </row>
    <row r="3742" spans="1:25" s="61" customFormat="1" ht="76.5" customHeight="1" outlineLevel="1" x14ac:dyDescent="0.2">
      <c r="A3742" s="1" t="s">
        <v>9450</v>
      </c>
      <c r="B3742" s="38" t="s">
        <v>5277</v>
      </c>
      <c r="C3742" s="7" t="s">
        <v>8840</v>
      </c>
      <c r="D3742" s="7" t="s">
        <v>5580</v>
      </c>
      <c r="E3742" s="18" t="s">
        <v>5581</v>
      </c>
      <c r="F3742" s="25" t="s">
        <v>8841</v>
      </c>
      <c r="G3742" s="4" t="s">
        <v>1888</v>
      </c>
      <c r="H3742" s="5">
        <v>0.5</v>
      </c>
      <c r="I3742" s="6">
        <v>710000000</v>
      </c>
      <c r="J3742" s="4" t="s">
        <v>1931</v>
      </c>
      <c r="K3742" s="4" t="s">
        <v>5390</v>
      </c>
      <c r="L3742" s="18" t="s">
        <v>1889</v>
      </c>
      <c r="M3742" s="8" t="s">
        <v>3195</v>
      </c>
      <c r="N3742" s="3" t="s">
        <v>1890</v>
      </c>
      <c r="O3742" s="8" t="s">
        <v>1935</v>
      </c>
      <c r="P3742" s="8">
        <v>868</v>
      </c>
      <c r="Q3742" s="8" t="s">
        <v>5521</v>
      </c>
      <c r="R3742" s="9">
        <v>330</v>
      </c>
      <c r="S3742" s="9">
        <v>298</v>
      </c>
      <c r="T3742" s="10">
        <f t="shared" si="2431"/>
        <v>98340</v>
      </c>
      <c r="U3742" s="10">
        <f t="shared" si="2432"/>
        <v>110140.80000000002</v>
      </c>
      <c r="V3742" s="7"/>
      <c r="W3742" s="11">
        <v>2015</v>
      </c>
      <c r="X3742" s="12"/>
      <c r="Y3742" s="21"/>
    </row>
    <row r="3743" spans="1:25" s="61" customFormat="1" ht="153" customHeight="1" outlineLevel="1" x14ac:dyDescent="0.2">
      <c r="A3743" s="1" t="s">
        <v>9451</v>
      </c>
      <c r="B3743" s="38" t="s">
        <v>5277</v>
      </c>
      <c r="C3743" s="7" t="s">
        <v>3112</v>
      </c>
      <c r="D3743" s="7" t="s">
        <v>5585</v>
      </c>
      <c r="E3743" s="18" t="s">
        <v>5586</v>
      </c>
      <c r="F3743" s="25" t="s">
        <v>8845</v>
      </c>
      <c r="G3743" s="4" t="s">
        <v>1888</v>
      </c>
      <c r="H3743" s="5">
        <v>0.5</v>
      </c>
      <c r="I3743" s="6">
        <v>710000000</v>
      </c>
      <c r="J3743" s="4" t="s">
        <v>1931</v>
      </c>
      <c r="K3743" s="4" t="s">
        <v>5390</v>
      </c>
      <c r="L3743" s="18" t="s">
        <v>1889</v>
      </c>
      <c r="M3743" s="8" t="s">
        <v>3195</v>
      </c>
      <c r="N3743" s="3" t="s">
        <v>1890</v>
      </c>
      <c r="O3743" s="8" t="s">
        <v>1935</v>
      </c>
      <c r="P3743" s="8">
        <v>868</v>
      </c>
      <c r="Q3743" s="8" t="s">
        <v>5521</v>
      </c>
      <c r="R3743" s="9">
        <v>172</v>
      </c>
      <c r="S3743" s="9">
        <v>324</v>
      </c>
      <c r="T3743" s="10">
        <f t="shared" si="2431"/>
        <v>55728</v>
      </c>
      <c r="U3743" s="10">
        <f t="shared" si="2432"/>
        <v>62415.360000000008</v>
      </c>
      <c r="V3743" s="7"/>
      <c r="W3743" s="11">
        <v>2015</v>
      </c>
      <c r="X3743" s="12"/>
      <c r="Y3743" s="21"/>
    </row>
    <row r="3744" spans="1:25" s="61" customFormat="1" ht="153" customHeight="1" outlineLevel="1" x14ac:dyDescent="0.2">
      <c r="A3744" s="1" t="s">
        <v>9452</v>
      </c>
      <c r="B3744" s="38" t="s">
        <v>5277</v>
      </c>
      <c r="C3744" s="7" t="s">
        <v>3108</v>
      </c>
      <c r="D3744" s="7" t="s">
        <v>5592</v>
      </c>
      <c r="E3744" s="18" t="s">
        <v>5593</v>
      </c>
      <c r="F3744" s="25" t="s">
        <v>9434</v>
      </c>
      <c r="G3744" s="4" t="s">
        <v>1888</v>
      </c>
      <c r="H3744" s="5">
        <v>0.5</v>
      </c>
      <c r="I3744" s="6">
        <v>710000000</v>
      </c>
      <c r="J3744" s="4" t="s">
        <v>1931</v>
      </c>
      <c r="K3744" s="4" t="s">
        <v>5390</v>
      </c>
      <c r="L3744" s="18" t="s">
        <v>1889</v>
      </c>
      <c r="M3744" s="8" t="s">
        <v>3195</v>
      </c>
      <c r="N3744" s="3" t="s">
        <v>1890</v>
      </c>
      <c r="O3744" s="8" t="s">
        <v>1935</v>
      </c>
      <c r="P3744" s="8">
        <v>868</v>
      </c>
      <c r="Q3744" s="8" t="s">
        <v>5521</v>
      </c>
      <c r="R3744" s="9">
        <v>198</v>
      </c>
      <c r="S3744" s="9">
        <v>117.5</v>
      </c>
      <c r="T3744" s="10">
        <f t="shared" si="2431"/>
        <v>23265</v>
      </c>
      <c r="U3744" s="10">
        <f t="shared" si="2432"/>
        <v>26056.800000000003</v>
      </c>
      <c r="V3744" s="7"/>
      <c r="W3744" s="11">
        <v>2015</v>
      </c>
      <c r="X3744" s="12"/>
      <c r="Y3744" s="21"/>
    </row>
    <row r="3745" spans="1:25" s="61" customFormat="1" ht="102" customHeight="1" outlineLevel="1" x14ac:dyDescent="0.2">
      <c r="A3745" s="1" t="s">
        <v>9453</v>
      </c>
      <c r="B3745" s="38" t="s">
        <v>5277</v>
      </c>
      <c r="C3745" s="7" t="s">
        <v>9435</v>
      </c>
      <c r="D3745" s="7" t="s">
        <v>9436</v>
      </c>
      <c r="E3745" s="18" t="s">
        <v>9437</v>
      </c>
      <c r="F3745" s="25" t="s">
        <v>9438</v>
      </c>
      <c r="G3745" s="4" t="s">
        <v>1888</v>
      </c>
      <c r="H3745" s="5">
        <v>0.5</v>
      </c>
      <c r="I3745" s="6">
        <v>710000000</v>
      </c>
      <c r="J3745" s="4" t="s">
        <v>1931</v>
      </c>
      <c r="K3745" s="4" t="s">
        <v>5390</v>
      </c>
      <c r="L3745" s="18" t="s">
        <v>1889</v>
      </c>
      <c r="M3745" s="53" t="s">
        <v>3195</v>
      </c>
      <c r="N3745" s="53" t="s">
        <v>1890</v>
      </c>
      <c r="O3745" s="8" t="s">
        <v>1935</v>
      </c>
      <c r="P3745" s="8">
        <v>796</v>
      </c>
      <c r="Q3745" s="53" t="s">
        <v>3196</v>
      </c>
      <c r="R3745" s="9">
        <v>376</v>
      </c>
      <c r="S3745" s="9">
        <v>457.33</v>
      </c>
      <c r="T3745" s="10">
        <f t="shared" si="2431"/>
        <v>171956.08</v>
      </c>
      <c r="U3745" s="10">
        <f t="shared" si="2432"/>
        <v>192590.80960000001</v>
      </c>
      <c r="V3745" s="7"/>
      <c r="W3745" s="11">
        <v>2015</v>
      </c>
      <c r="X3745" s="12"/>
      <c r="Y3745" s="21"/>
    </row>
    <row r="3746" spans="1:25" s="61" customFormat="1" ht="114" customHeight="1" outlineLevel="1" x14ac:dyDescent="0.2">
      <c r="A3746" s="1" t="s">
        <v>9454</v>
      </c>
      <c r="B3746" s="38" t="s">
        <v>5277</v>
      </c>
      <c r="C3746" s="25" t="s">
        <v>8879</v>
      </c>
      <c r="D3746" s="25" t="s">
        <v>5609</v>
      </c>
      <c r="E3746" s="25" t="s">
        <v>8880</v>
      </c>
      <c r="F3746" s="25"/>
      <c r="G3746" s="4" t="s">
        <v>1888</v>
      </c>
      <c r="H3746" s="5">
        <v>0.5</v>
      </c>
      <c r="I3746" s="6">
        <v>710000000</v>
      </c>
      <c r="J3746" s="4" t="s">
        <v>1931</v>
      </c>
      <c r="K3746" s="4" t="s">
        <v>5390</v>
      </c>
      <c r="L3746" s="18" t="s">
        <v>1889</v>
      </c>
      <c r="M3746" s="53" t="s">
        <v>3195</v>
      </c>
      <c r="N3746" s="53" t="s">
        <v>1890</v>
      </c>
      <c r="O3746" s="8" t="s">
        <v>1935</v>
      </c>
      <c r="P3746" s="1">
        <v>736</v>
      </c>
      <c r="Q3746" s="4" t="s">
        <v>5475</v>
      </c>
      <c r="R3746" s="9">
        <v>1789</v>
      </c>
      <c r="S3746" s="9">
        <v>40.22</v>
      </c>
      <c r="T3746" s="10">
        <f t="shared" ref="T3746" si="2433">S3746*R3746</f>
        <v>71953.58</v>
      </c>
      <c r="U3746" s="10">
        <f t="shared" ref="U3746" si="2434">T3746*1.12</f>
        <v>80588.009600000005</v>
      </c>
      <c r="V3746" s="7"/>
      <c r="W3746" s="11">
        <v>2015</v>
      </c>
      <c r="X3746" s="12"/>
      <c r="Y3746" s="21"/>
    </row>
    <row r="3747" spans="1:25" s="61" customFormat="1" ht="114" customHeight="1" outlineLevel="1" x14ac:dyDescent="0.2">
      <c r="A3747" s="1" t="s">
        <v>9455</v>
      </c>
      <c r="B3747" s="38" t="s">
        <v>5277</v>
      </c>
      <c r="C3747" s="7" t="s">
        <v>2359</v>
      </c>
      <c r="D3747" s="7" t="s">
        <v>5609</v>
      </c>
      <c r="E3747" s="18" t="s">
        <v>2360</v>
      </c>
      <c r="F3747" s="25" t="s">
        <v>8882</v>
      </c>
      <c r="G3747" s="4" t="s">
        <v>1888</v>
      </c>
      <c r="H3747" s="5">
        <v>0.5</v>
      </c>
      <c r="I3747" s="6">
        <v>710000000</v>
      </c>
      <c r="J3747" s="4" t="s">
        <v>1931</v>
      </c>
      <c r="K3747" s="4" t="s">
        <v>5390</v>
      </c>
      <c r="L3747" s="18" t="s">
        <v>1889</v>
      </c>
      <c r="M3747" s="53" t="s">
        <v>3195</v>
      </c>
      <c r="N3747" s="53" t="s">
        <v>1890</v>
      </c>
      <c r="O3747" s="8" t="s">
        <v>1935</v>
      </c>
      <c r="P3747" s="1">
        <v>736</v>
      </c>
      <c r="Q3747" s="4" t="s">
        <v>5475</v>
      </c>
      <c r="R3747" s="9">
        <v>849</v>
      </c>
      <c r="S3747" s="9">
        <v>49.56</v>
      </c>
      <c r="T3747" s="10">
        <f t="shared" ref="T3747" si="2435">S3747*R3747</f>
        <v>42076.44</v>
      </c>
      <c r="U3747" s="10">
        <f t="shared" ref="U3747" si="2436">T3747*1.12</f>
        <v>47125.61280000001</v>
      </c>
      <c r="V3747" s="7"/>
      <c r="W3747" s="11">
        <v>2015</v>
      </c>
      <c r="X3747" s="12"/>
      <c r="Y3747" s="21"/>
    </row>
    <row r="3748" spans="1:25" s="61" customFormat="1" ht="114" customHeight="1" outlineLevel="1" x14ac:dyDescent="0.2">
      <c r="A3748" s="1" t="s">
        <v>9456</v>
      </c>
      <c r="B3748" s="38" t="s">
        <v>5277</v>
      </c>
      <c r="C3748" s="25" t="s">
        <v>3130</v>
      </c>
      <c r="D3748" s="25" t="s">
        <v>5612</v>
      </c>
      <c r="E3748" s="25" t="s">
        <v>5613</v>
      </c>
      <c r="F3748" s="25" t="s">
        <v>8884</v>
      </c>
      <c r="G3748" s="4" t="s">
        <v>1888</v>
      </c>
      <c r="H3748" s="5">
        <v>0.5</v>
      </c>
      <c r="I3748" s="6">
        <v>710000000</v>
      </c>
      <c r="J3748" s="4" t="s">
        <v>1931</v>
      </c>
      <c r="K3748" s="4" t="s">
        <v>5390</v>
      </c>
      <c r="L3748" s="18" t="s">
        <v>1889</v>
      </c>
      <c r="M3748" s="53" t="s">
        <v>3195</v>
      </c>
      <c r="N3748" s="53" t="s">
        <v>1890</v>
      </c>
      <c r="O3748" s="8" t="s">
        <v>1935</v>
      </c>
      <c r="P3748" s="18">
        <v>5111</v>
      </c>
      <c r="Q3748" s="18" t="s">
        <v>5298</v>
      </c>
      <c r="R3748" s="9">
        <v>805</v>
      </c>
      <c r="S3748" s="9">
        <v>68.89</v>
      </c>
      <c r="T3748" s="10">
        <f t="shared" ref="T3748:T3749" si="2437">S3748*R3748</f>
        <v>55456.45</v>
      </c>
      <c r="U3748" s="10">
        <f t="shared" ref="U3748:U3749" si="2438">T3748*1.12</f>
        <v>62111.224000000002</v>
      </c>
      <c r="V3748" s="7"/>
      <c r="W3748" s="11">
        <v>2015</v>
      </c>
      <c r="X3748" s="12"/>
      <c r="Y3748" s="21"/>
    </row>
    <row r="3749" spans="1:25" s="61" customFormat="1" ht="76.5" customHeight="1" outlineLevel="1" x14ac:dyDescent="0.2">
      <c r="A3749" s="1" t="s">
        <v>9457</v>
      </c>
      <c r="B3749" s="38" t="s">
        <v>5277</v>
      </c>
      <c r="C3749" s="7" t="s">
        <v>3125</v>
      </c>
      <c r="D3749" s="7" t="s">
        <v>5614</v>
      </c>
      <c r="E3749" s="18" t="s">
        <v>5615</v>
      </c>
      <c r="F3749" s="25" t="s">
        <v>8874</v>
      </c>
      <c r="G3749" s="4" t="s">
        <v>1888</v>
      </c>
      <c r="H3749" s="5">
        <v>0.5</v>
      </c>
      <c r="I3749" s="6">
        <v>710000000</v>
      </c>
      <c r="J3749" s="4" t="s">
        <v>1931</v>
      </c>
      <c r="K3749" s="4" t="s">
        <v>5390</v>
      </c>
      <c r="L3749" s="18" t="s">
        <v>1889</v>
      </c>
      <c r="M3749" s="53" t="s">
        <v>3195</v>
      </c>
      <c r="N3749" s="53" t="s">
        <v>1890</v>
      </c>
      <c r="O3749" s="53" t="s">
        <v>1935</v>
      </c>
      <c r="P3749" s="18">
        <v>796</v>
      </c>
      <c r="Q3749" s="18" t="s">
        <v>3196</v>
      </c>
      <c r="R3749" s="9">
        <v>242</v>
      </c>
      <c r="S3749" s="10">
        <v>201.63</v>
      </c>
      <c r="T3749" s="10">
        <f t="shared" si="2437"/>
        <v>48794.46</v>
      </c>
      <c r="U3749" s="10">
        <f t="shared" si="2438"/>
        <v>54649.795200000008</v>
      </c>
      <c r="V3749" s="7"/>
      <c r="W3749" s="11">
        <v>2015</v>
      </c>
      <c r="X3749" s="12"/>
      <c r="Y3749" s="21"/>
    </row>
    <row r="3750" spans="1:25" s="61" customFormat="1" ht="114" customHeight="1" outlineLevel="1" x14ac:dyDescent="0.2">
      <c r="A3750" s="1" t="s">
        <v>9458</v>
      </c>
      <c r="B3750" s="38" t="s">
        <v>5277</v>
      </c>
      <c r="C3750" s="7" t="s">
        <v>3123</v>
      </c>
      <c r="D3750" s="7" t="s">
        <v>5610</v>
      </c>
      <c r="E3750" s="18" t="s">
        <v>5611</v>
      </c>
      <c r="F3750" s="25" t="s">
        <v>8870</v>
      </c>
      <c r="G3750" s="4" t="s">
        <v>1888</v>
      </c>
      <c r="H3750" s="5">
        <v>0.5</v>
      </c>
      <c r="I3750" s="6">
        <v>710000000</v>
      </c>
      <c r="J3750" s="4" t="s">
        <v>1931</v>
      </c>
      <c r="K3750" s="4" t="s">
        <v>5390</v>
      </c>
      <c r="L3750" s="18" t="s">
        <v>1889</v>
      </c>
      <c r="M3750" s="53" t="s">
        <v>3195</v>
      </c>
      <c r="N3750" s="53" t="s">
        <v>1890</v>
      </c>
      <c r="O3750" s="8" t="s">
        <v>1935</v>
      </c>
      <c r="P3750" s="1">
        <v>778</v>
      </c>
      <c r="Q3750" s="53" t="s">
        <v>3327</v>
      </c>
      <c r="R3750" s="9">
        <v>349</v>
      </c>
      <c r="S3750" s="9">
        <v>264</v>
      </c>
      <c r="T3750" s="10">
        <f t="shared" ref="T3750:T3752" si="2439">S3750*R3750</f>
        <v>92136</v>
      </c>
      <c r="U3750" s="10">
        <f t="shared" ref="U3750:U3753" si="2440">T3750*1.12</f>
        <v>103192.32000000001</v>
      </c>
      <c r="V3750" s="7"/>
      <c r="W3750" s="11">
        <v>2015</v>
      </c>
      <c r="X3750" s="12"/>
      <c r="Y3750" s="21"/>
    </row>
    <row r="3751" spans="1:25" s="61" customFormat="1" ht="114" customHeight="1" outlineLevel="1" x14ac:dyDescent="0.2">
      <c r="A3751" s="1" t="s">
        <v>9476</v>
      </c>
      <c r="B3751" s="38" t="s">
        <v>5277</v>
      </c>
      <c r="C3751" s="7" t="s">
        <v>9477</v>
      </c>
      <c r="D3751" s="7" t="s">
        <v>9478</v>
      </c>
      <c r="E3751" s="7" t="s">
        <v>6027</v>
      </c>
      <c r="F3751" s="7" t="s">
        <v>9479</v>
      </c>
      <c r="G3751" s="4" t="s">
        <v>3190</v>
      </c>
      <c r="H3751" s="5">
        <v>0.5</v>
      </c>
      <c r="I3751" s="6">
        <v>710000000</v>
      </c>
      <c r="J3751" s="4" t="s">
        <v>1931</v>
      </c>
      <c r="K3751" s="4" t="s">
        <v>5390</v>
      </c>
      <c r="L3751" s="18" t="s">
        <v>1889</v>
      </c>
      <c r="M3751" s="53" t="s">
        <v>3195</v>
      </c>
      <c r="N3751" s="53" t="s">
        <v>1890</v>
      </c>
      <c r="O3751" s="8" t="s">
        <v>1935</v>
      </c>
      <c r="P3751" s="1">
        <v>796</v>
      </c>
      <c r="Q3751" s="53" t="s">
        <v>3196</v>
      </c>
      <c r="R3751" s="9">
        <v>150</v>
      </c>
      <c r="S3751" s="9">
        <v>250</v>
      </c>
      <c r="T3751" s="10">
        <f t="shared" si="2439"/>
        <v>37500</v>
      </c>
      <c r="U3751" s="10">
        <f t="shared" si="2440"/>
        <v>42000.000000000007</v>
      </c>
      <c r="V3751" s="7"/>
      <c r="W3751" s="11">
        <v>2015</v>
      </c>
      <c r="X3751" s="12"/>
      <c r="Y3751" s="21"/>
    </row>
    <row r="3752" spans="1:25" s="61" customFormat="1" ht="114" customHeight="1" outlineLevel="1" x14ac:dyDescent="0.2">
      <c r="A3752" s="1" t="s">
        <v>9480</v>
      </c>
      <c r="B3752" s="38" t="s">
        <v>5277</v>
      </c>
      <c r="C3752" s="7" t="s">
        <v>411</v>
      </c>
      <c r="D3752" s="7" t="s">
        <v>374</v>
      </c>
      <c r="E3752" s="7" t="s">
        <v>410</v>
      </c>
      <c r="F3752" s="7" t="s">
        <v>9481</v>
      </c>
      <c r="G3752" s="4" t="s">
        <v>3190</v>
      </c>
      <c r="H3752" s="5">
        <v>0.5</v>
      </c>
      <c r="I3752" s="6">
        <v>710000000</v>
      </c>
      <c r="J3752" s="4" t="s">
        <v>1931</v>
      </c>
      <c r="K3752" s="4" t="s">
        <v>5390</v>
      </c>
      <c r="L3752" s="18" t="s">
        <v>1889</v>
      </c>
      <c r="M3752" s="53" t="s">
        <v>3195</v>
      </c>
      <c r="N3752" s="53" t="s">
        <v>1890</v>
      </c>
      <c r="O3752" s="8" t="s">
        <v>1935</v>
      </c>
      <c r="P3752" s="1">
        <v>796</v>
      </c>
      <c r="Q3752" s="53" t="s">
        <v>3196</v>
      </c>
      <c r="R3752" s="9">
        <v>15</v>
      </c>
      <c r="S3752" s="9">
        <v>1339.2856999999999</v>
      </c>
      <c r="T3752" s="10">
        <f t="shared" si="2439"/>
        <v>20089.285499999998</v>
      </c>
      <c r="U3752" s="10">
        <f t="shared" si="2440"/>
        <v>22499.999759999999</v>
      </c>
      <c r="V3752" s="7"/>
      <c r="W3752" s="11">
        <v>2015</v>
      </c>
      <c r="X3752" s="12"/>
      <c r="Y3752" s="21"/>
    </row>
    <row r="3753" spans="1:25" ht="93.75" customHeight="1" outlineLevel="1" x14ac:dyDescent="0.2">
      <c r="A3753" s="1" t="s">
        <v>9482</v>
      </c>
      <c r="B3753" s="24" t="s">
        <v>5277</v>
      </c>
      <c r="C3753" s="22" t="s">
        <v>9483</v>
      </c>
      <c r="D3753" s="22" t="s">
        <v>1205</v>
      </c>
      <c r="E3753" s="22" t="s">
        <v>9484</v>
      </c>
      <c r="F3753" s="22" t="s">
        <v>9485</v>
      </c>
      <c r="G3753" s="1" t="s">
        <v>3190</v>
      </c>
      <c r="H3753" s="17">
        <v>0</v>
      </c>
      <c r="I3753" s="18">
        <v>710000000</v>
      </c>
      <c r="J3753" s="4" t="s">
        <v>1931</v>
      </c>
      <c r="K3753" s="4" t="s">
        <v>5390</v>
      </c>
      <c r="L3753" s="18" t="s">
        <v>1889</v>
      </c>
      <c r="M3753" s="8" t="s">
        <v>3195</v>
      </c>
      <c r="N3753" s="8" t="s">
        <v>1890</v>
      </c>
      <c r="O3753" s="8" t="s">
        <v>1935</v>
      </c>
      <c r="P3753" s="8">
        <v>796</v>
      </c>
      <c r="Q3753" s="8" t="s">
        <v>3196</v>
      </c>
      <c r="R3753" s="10">
        <v>6</v>
      </c>
      <c r="S3753" s="10">
        <v>9553.57143</v>
      </c>
      <c r="T3753" s="10">
        <f t="shared" ref="T3753:T3754" si="2441">R3753*S3753</f>
        <v>57321.42858</v>
      </c>
      <c r="U3753" s="10">
        <f t="shared" si="2440"/>
        <v>64200.000009600008</v>
      </c>
      <c r="V3753" s="8"/>
      <c r="W3753" s="11">
        <v>2015</v>
      </c>
      <c r="X3753" s="8"/>
    </row>
    <row r="3754" spans="1:25" ht="76.5" customHeight="1" outlineLevel="1" x14ac:dyDescent="0.2">
      <c r="A3754" s="1" t="s">
        <v>9486</v>
      </c>
      <c r="B3754" s="24" t="s">
        <v>5277</v>
      </c>
      <c r="C3754" s="25" t="s">
        <v>3796</v>
      </c>
      <c r="D3754" s="25" t="s">
        <v>5543</v>
      </c>
      <c r="E3754" s="25" t="s">
        <v>5544</v>
      </c>
      <c r="F3754" s="25" t="s">
        <v>9487</v>
      </c>
      <c r="G3754" s="1" t="s">
        <v>3190</v>
      </c>
      <c r="H3754" s="17">
        <v>0</v>
      </c>
      <c r="I3754" s="18">
        <v>710000000</v>
      </c>
      <c r="J3754" s="4" t="s">
        <v>1931</v>
      </c>
      <c r="K3754" s="4" t="s">
        <v>5390</v>
      </c>
      <c r="L3754" s="7" t="s">
        <v>1889</v>
      </c>
      <c r="M3754" s="8" t="s">
        <v>3195</v>
      </c>
      <c r="N3754" s="8" t="s">
        <v>1890</v>
      </c>
      <c r="O3754" s="8" t="s">
        <v>1935</v>
      </c>
      <c r="P3754" s="40" t="s">
        <v>3334</v>
      </c>
      <c r="Q3754" s="120" t="s">
        <v>5517</v>
      </c>
      <c r="R3754" s="10">
        <v>190</v>
      </c>
      <c r="S3754" s="10">
        <v>2000</v>
      </c>
      <c r="T3754" s="10">
        <f t="shared" si="2441"/>
        <v>380000</v>
      </c>
      <c r="U3754" s="10">
        <f>T3754*1.12</f>
        <v>425600.00000000006</v>
      </c>
      <c r="V3754" s="8"/>
      <c r="W3754" s="11">
        <v>2015</v>
      </c>
      <c r="X3754" s="8"/>
    </row>
    <row r="3755" spans="1:25" s="61" customFormat="1" ht="159.75" customHeight="1" outlineLevel="1" x14ac:dyDescent="0.2">
      <c r="A3755" s="1" t="s">
        <v>9489</v>
      </c>
      <c r="B3755" s="38" t="s">
        <v>5277</v>
      </c>
      <c r="C3755" s="7" t="s">
        <v>3116</v>
      </c>
      <c r="D3755" s="7" t="s">
        <v>5604</v>
      </c>
      <c r="E3755" s="18" t="s">
        <v>5605</v>
      </c>
      <c r="F3755" s="25" t="s">
        <v>8854</v>
      </c>
      <c r="G3755" s="4" t="s">
        <v>1888</v>
      </c>
      <c r="H3755" s="5">
        <v>0.5</v>
      </c>
      <c r="I3755" s="6">
        <v>710000000</v>
      </c>
      <c r="J3755" s="4" t="s">
        <v>1931</v>
      </c>
      <c r="K3755" s="4" t="s">
        <v>5390</v>
      </c>
      <c r="L3755" s="18" t="s">
        <v>1889</v>
      </c>
      <c r="M3755" s="53" t="s">
        <v>3195</v>
      </c>
      <c r="N3755" s="53" t="s">
        <v>1890</v>
      </c>
      <c r="O3755" s="8" t="s">
        <v>1935</v>
      </c>
      <c r="P3755" s="8">
        <v>796</v>
      </c>
      <c r="Q3755" s="8" t="s">
        <v>3196</v>
      </c>
      <c r="R3755" s="9">
        <v>172</v>
      </c>
      <c r="S3755" s="9">
        <v>342</v>
      </c>
      <c r="T3755" s="10">
        <f t="shared" ref="T3755:T3756" si="2442">S3755*R3755</f>
        <v>58824</v>
      </c>
      <c r="U3755" s="10">
        <f t="shared" ref="U3755:U3757" si="2443">T3755*1.12</f>
        <v>65882.880000000005</v>
      </c>
      <c r="V3755" s="7"/>
      <c r="W3755" s="11">
        <v>2015</v>
      </c>
      <c r="X3755" s="12"/>
      <c r="Y3755" s="21"/>
    </row>
    <row r="3756" spans="1:25" s="61" customFormat="1" ht="114" customHeight="1" outlineLevel="1" x14ac:dyDescent="0.2">
      <c r="A3756" s="1" t="s">
        <v>9488</v>
      </c>
      <c r="B3756" s="38" t="s">
        <v>5277</v>
      </c>
      <c r="C3756" s="7" t="s">
        <v>9477</v>
      </c>
      <c r="D3756" s="7" t="s">
        <v>9478</v>
      </c>
      <c r="E3756" s="7" t="s">
        <v>6027</v>
      </c>
      <c r="F3756" s="7" t="s">
        <v>9479</v>
      </c>
      <c r="G3756" s="4" t="s">
        <v>3190</v>
      </c>
      <c r="H3756" s="5">
        <v>0.5</v>
      </c>
      <c r="I3756" s="6">
        <v>710000000</v>
      </c>
      <c r="J3756" s="4" t="s">
        <v>1931</v>
      </c>
      <c r="K3756" s="4" t="s">
        <v>5390</v>
      </c>
      <c r="L3756" s="18" t="s">
        <v>1889</v>
      </c>
      <c r="M3756" s="53" t="s">
        <v>3195</v>
      </c>
      <c r="N3756" s="53" t="s">
        <v>1890</v>
      </c>
      <c r="O3756" s="8" t="s">
        <v>1935</v>
      </c>
      <c r="P3756" s="1">
        <v>796</v>
      </c>
      <c r="Q3756" s="53" t="s">
        <v>3196</v>
      </c>
      <c r="R3756" s="9">
        <v>50</v>
      </c>
      <c r="S3756" s="9">
        <v>116.0714</v>
      </c>
      <c r="T3756" s="10">
        <f t="shared" si="2442"/>
        <v>5803.57</v>
      </c>
      <c r="U3756" s="10">
        <f t="shared" si="2443"/>
        <v>6499.9984000000004</v>
      </c>
      <c r="V3756" s="7"/>
      <c r="W3756" s="11">
        <v>2015</v>
      </c>
      <c r="X3756" s="12"/>
      <c r="Y3756" s="21"/>
    </row>
    <row r="3757" spans="1:25" s="133" customFormat="1" ht="76.5" customHeight="1" outlineLevel="1" x14ac:dyDescent="0.2">
      <c r="A3757" s="1" t="s">
        <v>9499</v>
      </c>
      <c r="B3757" s="24" t="s">
        <v>5277</v>
      </c>
      <c r="C3757" s="7" t="s">
        <v>851</v>
      </c>
      <c r="D3757" s="7" t="s">
        <v>852</v>
      </c>
      <c r="E3757" s="7" t="s">
        <v>853</v>
      </c>
      <c r="F3757" s="4" t="s">
        <v>9502</v>
      </c>
      <c r="G3757" s="4" t="s">
        <v>1888</v>
      </c>
      <c r="H3757" s="22">
        <v>0</v>
      </c>
      <c r="I3757" s="4">
        <v>710000000</v>
      </c>
      <c r="J3757" s="4" t="s">
        <v>1931</v>
      </c>
      <c r="K3757" s="4" t="s">
        <v>5390</v>
      </c>
      <c r="L3757" s="4" t="s">
        <v>1889</v>
      </c>
      <c r="M3757" s="8" t="s">
        <v>3195</v>
      </c>
      <c r="N3757" s="4" t="s">
        <v>1890</v>
      </c>
      <c r="O3757" s="8" t="s">
        <v>2146</v>
      </c>
      <c r="P3757" s="8">
        <v>796</v>
      </c>
      <c r="Q3757" s="8" t="s">
        <v>3196</v>
      </c>
      <c r="R3757" s="10">
        <v>2497</v>
      </c>
      <c r="S3757" s="10">
        <v>790</v>
      </c>
      <c r="T3757" s="10">
        <v>0</v>
      </c>
      <c r="U3757" s="10">
        <f t="shared" si="2443"/>
        <v>0</v>
      </c>
      <c r="V3757" s="1" t="s">
        <v>3027</v>
      </c>
      <c r="W3757" s="1">
        <v>2015</v>
      </c>
      <c r="X3757" s="66" t="s">
        <v>8399</v>
      </c>
    </row>
    <row r="3758" spans="1:25" s="133" customFormat="1" ht="76.5" customHeight="1" outlineLevel="1" x14ac:dyDescent="0.2">
      <c r="A3758" s="1" t="s">
        <v>10140</v>
      </c>
      <c r="B3758" s="24" t="s">
        <v>5277</v>
      </c>
      <c r="C3758" s="7" t="s">
        <v>851</v>
      </c>
      <c r="D3758" s="7" t="s">
        <v>852</v>
      </c>
      <c r="E3758" s="7" t="s">
        <v>853</v>
      </c>
      <c r="F3758" s="4" t="s">
        <v>9502</v>
      </c>
      <c r="G3758" s="4" t="s">
        <v>1888</v>
      </c>
      <c r="H3758" s="22">
        <v>0</v>
      </c>
      <c r="I3758" s="4">
        <v>710000000</v>
      </c>
      <c r="J3758" s="4" t="s">
        <v>1931</v>
      </c>
      <c r="K3758" s="4" t="s">
        <v>10141</v>
      </c>
      <c r="L3758" s="4" t="s">
        <v>1889</v>
      </c>
      <c r="M3758" s="8" t="s">
        <v>3195</v>
      </c>
      <c r="N3758" s="4" t="s">
        <v>1890</v>
      </c>
      <c r="O3758" s="8" t="s">
        <v>1935</v>
      </c>
      <c r="P3758" s="8">
        <v>796</v>
      </c>
      <c r="Q3758" s="8" t="s">
        <v>3196</v>
      </c>
      <c r="R3758" s="10">
        <v>2497</v>
      </c>
      <c r="S3758" s="10">
        <v>790</v>
      </c>
      <c r="T3758" s="10">
        <f t="shared" ref="T3758" si="2444">S3758*R3758</f>
        <v>1972630</v>
      </c>
      <c r="U3758" s="10">
        <f t="shared" ref="U3758" si="2445">T3758*1.12</f>
        <v>2209345.6</v>
      </c>
      <c r="V3758" s="1"/>
      <c r="W3758" s="1">
        <v>2015</v>
      </c>
      <c r="X3758" s="67"/>
    </row>
    <row r="3759" spans="1:25" s="133" customFormat="1" ht="76.5" customHeight="1" outlineLevel="1" x14ac:dyDescent="0.2">
      <c r="A3759" s="1" t="s">
        <v>9500</v>
      </c>
      <c r="B3759" s="24" t="s">
        <v>5277</v>
      </c>
      <c r="C3759" s="7" t="s">
        <v>851</v>
      </c>
      <c r="D3759" s="7" t="s">
        <v>852</v>
      </c>
      <c r="E3759" s="7" t="s">
        <v>853</v>
      </c>
      <c r="F3759" s="4" t="s">
        <v>9501</v>
      </c>
      <c r="G3759" s="4" t="s">
        <v>1888</v>
      </c>
      <c r="H3759" s="22">
        <v>0</v>
      </c>
      <c r="I3759" s="4">
        <v>710000000</v>
      </c>
      <c r="J3759" s="4" t="s">
        <v>1931</v>
      </c>
      <c r="K3759" s="4" t="s">
        <v>5390</v>
      </c>
      <c r="L3759" s="4" t="s">
        <v>1889</v>
      </c>
      <c r="M3759" s="8" t="s">
        <v>3195</v>
      </c>
      <c r="N3759" s="4" t="s">
        <v>1890</v>
      </c>
      <c r="O3759" s="8" t="s">
        <v>2146</v>
      </c>
      <c r="P3759" s="8">
        <v>796</v>
      </c>
      <c r="Q3759" s="8" t="s">
        <v>3196</v>
      </c>
      <c r="R3759" s="10">
        <v>113</v>
      </c>
      <c r="S3759" s="10">
        <v>884</v>
      </c>
      <c r="T3759" s="10">
        <v>0</v>
      </c>
      <c r="U3759" s="10">
        <f t="shared" ref="U3759" si="2446">T3759*1.12</f>
        <v>0</v>
      </c>
      <c r="V3759" s="1" t="s">
        <v>3027</v>
      </c>
      <c r="W3759" s="1">
        <v>2015</v>
      </c>
      <c r="X3759" s="66" t="s">
        <v>8399</v>
      </c>
    </row>
    <row r="3760" spans="1:25" s="133" customFormat="1" ht="76.5" customHeight="1" outlineLevel="1" x14ac:dyDescent="0.2">
      <c r="A3760" s="1" t="s">
        <v>10142</v>
      </c>
      <c r="B3760" s="24" t="s">
        <v>5277</v>
      </c>
      <c r="C3760" s="7" t="s">
        <v>851</v>
      </c>
      <c r="D3760" s="7" t="s">
        <v>852</v>
      </c>
      <c r="E3760" s="7" t="s">
        <v>853</v>
      </c>
      <c r="F3760" s="4" t="s">
        <v>9501</v>
      </c>
      <c r="G3760" s="4" t="s">
        <v>1888</v>
      </c>
      <c r="H3760" s="22">
        <v>0</v>
      </c>
      <c r="I3760" s="4">
        <v>710000000</v>
      </c>
      <c r="J3760" s="4" t="s">
        <v>1931</v>
      </c>
      <c r="K3760" s="4" t="s">
        <v>10141</v>
      </c>
      <c r="L3760" s="4" t="s">
        <v>1889</v>
      </c>
      <c r="M3760" s="8" t="s">
        <v>3195</v>
      </c>
      <c r="N3760" s="4" t="s">
        <v>1890</v>
      </c>
      <c r="O3760" s="8" t="s">
        <v>1935</v>
      </c>
      <c r="P3760" s="8">
        <v>796</v>
      </c>
      <c r="Q3760" s="8" t="s">
        <v>3196</v>
      </c>
      <c r="R3760" s="10">
        <v>113</v>
      </c>
      <c r="S3760" s="10">
        <v>884</v>
      </c>
      <c r="T3760" s="10">
        <f t="shared" ref="T3760" si="2447">S3760*R3760</f>
        <v>99892</v>
      </c>
      <c r="U3760" s="10">
        <f t="shared" ref="U3760" si="2448">T3760*1.12</f>
        <v>111879.04000000001</v>
      </c>
      <c r="V3760" s="1"/>
      <c r="W3760" s="1">
        <v>2015</v>
      </c>
      <c r="X3760" s="67"/>
    </row>
    <row r="3761" spans="1:27" s="133" customFormat="1" ht="123" customHeight="1" outlineLevel="1" x14ac:dyDescent="0.2">
      <c r="A3761" s="1" t="s">
        <v>9503</v>
      </c>
      <c r="B3761" s="24" t="s">
        <v>5277</v>
      </c>
      <c r="C3761" s="7" t="s">
        <v>848</v>
      </c>
      <c r="D3761" s="7" t="s">
        <v>6132</v>
      </c>
      <c r="E3761" s="7" t="s">
        <v>849</v>
      </c>
      <c r="F3761" s="4" t="s">
        <v>9504</v>
      </c>
      <c r="G3761" s="4" t="s">
        <v>1888</v>
      </c>
      <c r="H3761" s="22">
        <v>0</v>
      </c>
      <c r="I3761" s="4">
        <v>710000000</v>
      </c>
      <c r="J3761" s="4" t="s">
        <v>1931</v>
      </c>
      <c r="K3761" s="4" t="s">
        <v>5390</v>
      </c>
      <c r="L3761" s="4" t="s">
        <v>1889</v>
      </c>
      <c r="M3761" s="8" t="s">
        <v>3195</v>
      </c>
      <c r="N3761" s="4" t="s">
        <v>1890</v>
      </c>
      <c r="O3761" s="8" t="s">
        <v>2146</v>
      </c>
      <c r="P3761" s="8">
        <v>796</v>
      </c>
      <c r="Q3761" s="8" t="s">
        <v>3196</v>
      </c>
      <c r="R3761" s="10">
        <v>56</v>
      </c>
      <c r="S3761" s="10">
        <v>20090</v>
      </c>
      <c r="T3761" s="10">
        <v>0</v>
      </c>
      <c r="U3761" s="10">
        <f t="shared" ref="U3761" si="2449">T3761*1.12</f>
        <v>0</v>
      </c>
      <c r="V3761" s="1" t="s">
        <v>3027</v>
      </c>
      <c r="W3761" s="1">
        <v>2015</v>
      </c>
      <c r="X3761" s="66" t="s">
        <v>8399</v>
      </c>
    </row>
    <row r="3762" spans="1:27" s="133" customFormat="1" ht="123" customHeight="1" outlineLevel="1" x14ac:dyDescent="0.2">
      <c r="A3762" s="1" t="s">
        <v>10143</v>
      </c>
      <c r="B3762" s="24" t="s">
        <v>5277</v>
      </c>
      <c r="C3762" s="7" t="s">
        <v>848</v>
      </c>
      <c r="D3762" s="7" t="s">
        <v>6132</v>
      </c>
      <c r="E3762" s="7" t="s">
        <v>849</v>
      </c>
      <c r="F3762" s="4" t="s">
        <v>9504</v>
      </c>
      <c r="G3762" s="4" t="s">
        <v>1888</v>
      </c>
      <c r="H3762" s="22">
        <v>0</v>
      </c>
      <c r="I3762" s="4">
        <v>710000000</v>
      </c>
      <c r="J3762" s="4" t="s">
        <v>1931</v>
      </c>
      <c r="K3762" s="4" t="s">
        <v>10141</v>
      </c>
      <c r="L3762" s="4" t="s">
        <v>1889</v>
      </c>
      <c r="M3762" s="8" t="s">
        <v>3195</v>
      </c>
      <c r="N3762" s="4" t="s">
        <v>1890</v>
      </c>
      <c r="O3762" s="8" t="s">
        <v>1935</v>
      </c>
      <c r="P3762" s="8">
        <v>796</v>
      </c>
      <c r="Q3762" s="8" t="s">
        <v>3196</v>
      </c>
      <c r="R3762" s="10">
        <v>56</v>
      </c>
      <c r="S3762" s="10">
        <v>20090</v>
      </c>
      <c r="T3762" s="10">
        <f t="shared" ref="T3762" si="2450">S3762*R3762</f>
        <v>1125040</v>
      </c>
      <c r="U3762" s="10">
        <f t="shared" ref="U3762" si="2451">T3762*1.12</f>
        <v>1260044.8</v>
      </c>
      <c r="V3762" s="1"/>
      <c r="W3762" s="1">
        <v>2015</v>
      </c>
      <c r="X3762" s="67"/>
    </row>
    <row r="3763" spans="1:27" s="133" customFormat="1" ht="123" customHeight="1" outlineLevel="1" x14ac:dyDescent="0.2">
      <c r="A3763" s="1" t="s">
        <v>9538</v>
      </c>
      <c r="B3763" s="24" t="s">
        <v>5277</v>
      </c>
      <c r="C3763" s="4" t="s">
        <v>9539</v>
      </c>
      <c r="D3763" s="4" t="s">
        <v>9540</v>
      </c>
      <c r="E3763" s="4" t="s">
        <v>9541</v>
      </c>
      <c r="F3763" s="4" t="s">
        <v>9542</v>
      </c>
      <c r="G3763" s="4" t="s">
        <v>3190</v>
      </c>
      <c r="H3763" s="22">
        <v>0</v>
      </c>
      <c r="I3763" s="4">
        <v>710000000</v>
      </c>
      <c r="J3763" s="4" t="s">
        <v>1931</v>
      </c>
      <c r="K3763" s="4" t="s">
        <v>5390</v>
      </c>
      <c r="L3763" s="3" t="s">
        <v>1708</v>
      </c>
      <c r="M3763" s="8" t="s">
        <v>3195</v>
      </c>
      <c r="N3763" s="4" t="s">
        <v>1890</v>
      </c>
      <c r="O3763" s="8" t="s">
        <v>1935</v>
      </c>
      <c r="P3763" s="8">
        <v>796</v>
      </c>
      <c r="Q3763" s="8" t="s">
        <v>3196</v>
      </c>
      <c r="R3763" s="10">
        <v>1</v>
      </c>
      <c r="S3763" s="10">
        <v>21696.428599999999</v>
      </c>
      <c r="T3763" s="10">
        <v>0</v>
      </c>
      <c r="U3763" s="10">
        <f t="shared" ref="U3763" si="2452">T3763*1.12</f>
        <v>0</v>
      </c>
      <c r="V3763" s="1"/>
      <c r="W3763" s="1">
        <v>2015</v>
      </c>
      <c r="X3763" s="8" t="s">
        <v>6582</v>
      </c>
    </row>
    <row r="3764" spans="1:27" s="133" customFormat="1" ht="123" customHeight="1" outlineLevel="1" x14ac:dyDescent="0.2">
      <c r="A3764" s="1" t="s">
        <v>9881</v>
      </c>
      <c r="B3764" s="24" t="s">
        <v>5277</v>
      </c>
      <c r="C3764" s="4" t="s">
        <v>9539</v>
      </c>
      <c r="D3764" s="4" t="s">
        <v>9540</v>
      </c>
      <c r="E3764" s="4" t="s">
        <v>9541</v>
      </c>
      <c r="F3764" s="4" t="s">
        <v>9542</v>
      </c>
      <c r="G3764" s="4" t="s">
        <v>3190</v>
      </c>
      <c r="H3764" s="22">
        <v>0</v>
      </c>
      <c r="I3764" s="4">
        <v>710000000</v>
      </c>
      <c r="J3764" s="4" t="s">
        <v>1931</v>
      </c>
      <c r="K3764" s="4" t="s">
        <v>5390</v>
      </c>
      <c r="L3764" s="3" t="s">
        <v>1708</v>
      </c>
      <c r="M3764" s="8" t="s">
        <v>3195</v>
      </c>
      <c r="N3764" s="4" t="s">
        <v>1890</v>
      </c>
      <c r="O3764" s="8" t="s">
        <v>1935</v>
      </c>
      <c r="P3764" s="8">
        <v>796</v>
      </c>
      <c r="Q3764" s="8" t="s">
        <v>3196</v>
      </c>
      <c r="R3764" s="10">
        <v>1</v>
      </c>
      <c r="S3764" s="10">
        <v>28066.961490000002</v>
      </c>
      <c r="T3764" s="10">
        <f t="shared" ref="T3764" si="2453">S3764*R3764</f>
        <v>28066.961490000002</v>
      </c>
      <c r="U3764" s="10">
        <f t="shared" ref="U3764" si="2454">T3764*1.12</f>
        <v>31434.996868800004</v>
      </c>
      <c r="V3764" s="1"/>
      <c r="W3764" s="1">
        <v>2015</v>
      </c>
      <c r="X3764" s="67"/>
    </row>
    <row r="3765" spans="1:27" s="133" customFormat="1" ht="123" customHeight="1" outlineLevel="1" x14ac:dyDescent="0.2">
      <c r="A3765" s="1" t="s">
        <v>9543</v>
      </c>
      <c r="B3765" s="24" t="s">
        <v>5277</v>
      </c>
      <c r="C3765" s="4" t="s">
        <v>9539</v>
      </c>
      <c r="D3765" s="4" t="s">
        <v>9540</v>
      </c>
      <c r="E3765" s="4" t="s">
        <v>9541</v>
      </c>
      <c r="F3765" s="4" t="s">
        <v>9544</v>
      </c>
      <c r="G3765" s="4" t="s">
        <v>3190</v>
      </c>
      <c r="H3765" s="22">
        <v>0</v>
      </c>
      <c r="I3765" s="4">
        <v>710000000</v>
      </c>
      <c r="J3765" s="4" t="s">
        <v>1931</v>
      </c>
      <c r="K3765" s="4" t="s">
        <v>5390</v>
      </c>
      <c r="L3765" s="3" t="s">
        <v>1708</v>
      </c>
      <c r="M3765" s="8" t="s">
        <v>3195</v>
      </c>
      <c r="N3765" s="4" t="s">
        <v>1890</v>
      </c>
      <c r="O3765" s="8" t="s">
        <v>1935</v>
      </c>
      <c r="P3765" s="8">
        <v>796</v>
      </c>
      <c r="Q3765" s="8" t="s">
        <v>3196</v>
      </c>
      <c r="R3765" s="10">
        <v>1</v>
      </c>
      <c r="S3765" s="10">
        <v>16785.71</v>
      </c>
      <c r="T3765" s="10">
        <v>0</v>
      </c>
      <c r="U3765" s="10">
        <f t="shared" ref="U3765" si="2455">T3765*1.12</f>
        <v>0</v>
      </c>
      <c r="V3765" s="1"/>
      <c r="W3765" s="1">
        <v>2015</v>
      </c>
      <c r="X3765" s="8" t="s">
        <v>6565</v>
      </c>
      <c r="Y3765" s="140"/>
    </row>
    <row r="3766" spans="1:27" s="133" customFormat="1" ht="123" customHeight="1" outlineLevel="1" x14ac:dyDescent="0.2">
      <c r="A3766" s="1" t="s">
        <v>9545</v>
      </c>
      <c r="B3766" s="24" t="s">
        <v>5277</v>
      </c>
      <c r="C3766" s="4" t="s">
        <v>9539</v>
      </c>
      <c r="D3766" s="4" t="s">
        <v>9540</v>
      </c>
      <c r="E3766" s="4" t="s">
        <v>9541</v>
      </c>
      <c r="F3766" s="4" t="s">
        <v>9546</v>
      </c>
      <c r="G3766" s="4" t="s">
        <v>3190</v>
      </c>
      <c r="H3766" s="22">
        <v>0</v>
      </c>
      <c r="I3766" s="4">
        <v>710000000</v>
      </c>
      <c r="J3766" s="4" t="s">
        <v>1931</v>
      </c>
      <c r="K3766" s="4" t="s">
        <v>5390</v>
      </c>
      <c r="L3766" s="3" t="s">
        <v>1708</v>
      </c>
      <c r="M3766" s="8" t="s">
        <v>3195</v>
      </c>
      <c r="N3766" s="4" t="s">
        <v>1890</v>
      </c>
      <c r="O3766" s="8" t="s">
        <v>1935</v>
      </c>
      <c r="P3766" s="8">
        <v>796</v>
      </c>
      <c r="Q3766" s="8" t="s">
        <v>3196</v>
      </c>
      <c r="R3766" s="10">
        <v>1</v>
      </c>
      <c r="S3766" s="10">
        <v>23214.2857</v>
      </c>
      <c r="T3766" s="10">
        <v>0</v>
      </c>
      <c r="U3766" s="10">
        <f t="shared" ref="U3766:U3768" si="2456">T3766*1.12</f>
        <v>0</v>
      </c>
      <c r="V3766" s="1"/>
      <c r="W3766" s="1">
        <v>2015</v>
      </c>
      <c r="X3766" s="67"/>
    </row>
    <row r="3767" spans="1:27" s="133" customFormat="1" ht="123" customHeight="1" outlineLevel="1" x14ac:dyDescent="0.2">
      <c r="A3767" s="1" t="s">
        <v>9882</v>
      </c>
      <c r="B3767" s="24" t="s">
        <v>5277</v>
      </c>
      <c r="C3767" s="4" t="s">
        <v>9539</v>
      </c>
      <c r="D3767" s="4" t="s">
        <v>9540</v>
      </c>
      <c r="E3767" s="4" t="s">
        <v>9541</v>
      </c>
      <c r="F3767" s="4" t="s">
        <v>9546</v>
      </c>
      <c r="G3767" s="4" t="s">
        <v>3190</v>
      </c>
      <c r="H3767" s="22">
        <v>0</v>
      </c>
      <c r="I3767" s="4">
        <v>710000000</v>
      </c>
      <c r="J3767" s="4" t="s">
        <v>1931</v>
      </c>
      <c r="K3767" s="4" t="s">
        <v>5390</v>
      </c>
      <c r="L3767" s="3" t="s">
        <v>1708</v>
      </c>
      <c r="M3767" s="8" t="s">
        <v>3195</v>
      </c>
      <c r="N3767" s="4" t="s">
        <v>1890</v>
      </c>
      <c r="O3767" s="8" t="s">
        <v>1935</v>
      </c>
      <c r="P3767" s="8">
        <v>796</v>
      </c>
      <c r="Q3767" s="8" t="s">
        <v>3196</v>
      </c>
      <c r="R3767" s="10">
        <v>1</v>
      </c>
      <c r="S3767" s="10">
        <v>29335.71429</v>
      </c>
      <c r="T3767" s="10">
        <f t="shared" ref="T3767" si="2457">S3767*R3767</f>
        <v>29335.71429</v>
      </c>
      <c r="U3767" s="10">
        <f t="shared" si="2456"/>
        <v>32856.0000048</v>
      </c>
      <c r="V3767" s="1"/>
      <c r="W3767" s="1">
        <v>2015</v>
      </c>
      <c r="X3767" s="67"/>
    </row>
    <row r="3768" spans="1:27" s="13" customFormat="1" ht="76.5" customHeight="1" outlineLevel="1" x14ac:dyDescent="0.2">
      <c r="A3768" s="1" t="s">
        <v>9548</v>
      </c>
      <c r="B3768" s="2" t="s">
        <v>5277</v>
      </c>
      <c r="C3768" s="52" t="s">
        <v>9549</v>
      </c>
      <c r="D3768" s="52" t="s">
        <v>9550</v>
      </c>
      <c r="E3768" s="52" t="s">
        <v>9551</v>
      </c>
      <c r="F3768" s="52" t="s">
        <v>9552</v>
      </c>
      <c r="G3768" s="4" t="s">
        <v>3190</v>
      </c>
      <c r="H3768" s="5">
        <v>0</v>
      </c>
      <c r="I3768" s="6">
        <v>710000000</v>
      </c>
      <c r="J3768" s="4" t="s">
        <v>1931</v>
      </c>
      <c r="K3768" s="4" t="s">
        <v>5390</v>
      </c>
      <c r="L3768" s="3" t="s">
        <v>1708</v>
      </c>
      <c r="M3768" s="8" t="s">
        <v>3195</v>
      </c>
      <c r="N3768" s="3" t="s">
        <v>1890</v>
      </c>
      <c r="O3768" s="8" t="s">
        <v>1935</v>
      </c>
      <c r="P3768" s="8">
        <v>625</v>
      </c>
      <c r="Q3768" s="8" t="s">
        <v>5192</v>
      </c>
      <c r="R3768" s="69">
        <v>12.5</v>
      </c>
      <c r="S3768" s="69">
        <v>38660.714</v>
      </c>
      <c r="T3768" s="10">
        <f t="shared" ref="T3768" si="2458">S3768*R3768</f>
        <v>483258.92499999999</v>
      </c>
      <c r="U3768" s="10">
        <f t="shared" si="2456"/>
        <v>541249.99600000004</v>
      </c>
      <c r="V3768" s="7"/>
      <c r="W3768" s="1">
        <v>2015</v>
      </c>
      <c r="X3768" s="62"/>
      <c r="Z3768" s="136"/>
      <c r="AA3768" s="137"/>
    </row>
    <row r="3769" spans="1:27" s="133" customFormat="1" ht="123" customHeight="1" outlineLevel="1" x14ac:dyDescent="0.2">
      <c r="A3769" s="1" t="s">
        <v>9553</v>
      </c>
      <c r="B3769" s="24" t="s">
        <v>5277</v>
      </c>
      <c r="C3769" s="52" t="s">
        <v>9554</v>
      </c>
      <c r="D3769" s="52" t="s">
        <v>9555</v>
      </c>
      <c r="E3769" s="52" t="s">
        <v>9556</v>
      </c>
      <c r="F3769" s="4" t="s">
        <v>9561</v>
      </c>
      <c r="G3769" s="4" t="s">
        <v>3190</v>
      </c>
      <c r="H3769" s="22">
        <v>0</v>
      </c>
      <c r="I3769" s="4">
        <v>710000000</v>
      </c>
      <c r="J3769" s="4" t="s">
        <v>1931</v>
      </c>
      <c r="K3769" s="4" t="s">
        <v>5390</v>
      </c>
      <c r="L3769" s="3" t="s">
        <v>1708</v>
      </c>
      <c r="M3769" s="8" t="s">
        <v>3195</v>
      </c>
      <c r="N3769" s="4" t="s">
        <v>1890</v>
      </c>
      <c r="O3769" s="8" t="s">
        <v>1935</v>
      </c>
      <c r="P3769" s="8">
        <v>796</v>
      </c>
      <c r="Q3769" s="8" t="s">
        <v>3196</v>
      </c>
      <c r="R3769" s="10">
        <v>5000</v>
      </c>
      <c r="S3769" s="10">
        <v>35</v>
      </c>
      <c r="T3769" s="10">
        <f t="shared" ref="T3769" si="2459">S3769*R3769</f>
        <v>175000</v>
      </c>
      <c r="U3769" s="10">
        <f t="shared" ref="U3769" si="2460">T3769*1.12</f>
        <v>196000.00000000003</v>
      </c>
      <c r="V3769" s="1"/>
      <c r="W3769" s="1">
        <v>2015</v>
      </c>
      <c r="X3769" s="67"/>
    </row>
    <row r="3770" spans="1:27" s="133" customFormat="1" ht="123" customHeight="1" outlineLevel="1" x14ac:dyDescent="0.2">
      <c r="A3770" s="1" t="s">
        <v>9557</v>
      </c>
      <c r="B3770" s="24" t="s">
        <v>5277</v>
      </c>
      <c r="C3770" s="4" t="s">
        <v>9558</v>
      </c>
      <c r="D3770" s="4" t="s">
        <v>1235</v>
      </c>
      <c r="E3770" s="4" t="s">
        <v>9559</v>
      </c>
      <c r="F3770" s="4" t="s">
        <v>9560</v>
      </c>
      <c r="G3770" s="4" t="s">
        <v>3190</v>
      </c>
      <c r="H3770" s="22">
        <v>0</v>
      </c>
      <c r="I3770" s="4">
        <v>710000000</v>
      </c>
      <c r="J3770" s="4" t="s">
        <v>1931</v>
      </c>
      <c r="K3770" s="4" t="s">
        <v>5390</v>
      </c>
      <c r="L3770" s="3" t="s">
        <v>1708</v>
      </c>
      <c r="M3770" s="8" t="s">
        <v>3195</v>
      </c>
      <c r="N3770" s="4" t="s">
        <v>1890</v>
      </c>
      <c r="O3770" s="8" t="s">
        <v>1935</v>
      </c>
      <c r="P3770" s="8">
        <v>796</v>
      </c>
      <c r="Q3770" s="8" t="s">
        <v>3196</v>
      </c>
      <c r="R3770" s="10">
        <v>5000</v>
      </c>
      <c r="S3770" s="10">
        <v>12</v>
      </c>
      <c r="T3770" s="10">
        <f t="shared" ref="T3770:T3771" si="2461">S3770*R3770</f>
        <v>60000</v>
      </c>
      <c r="U3770" s="10">
        <f t="shared" ref="U3770:U3771" si="2462">T3770*1.12</f>
        <v>67200</v>
      </c>
      <c r="V3770" s="1"/>
      <c r="W3770" s="1">
        <v>2015</v>
      </c>
      <c r="X3770" s="67"/>
    </row>
    <row r="3771" spans="1:27" ht="76.5" customHeight="1" outlineLevel="1" x14ac:dyDescent="0.2">
      <c r="A3771" s="1" t="s">
        <v>9562</v>
      </c>
      <c r="B3771" s="25" t="s">
        <v>5277</v>
      </c>
      <c r="C3771" s="25" t="s">
        <v>9563</v>
      </c>
      <c r="D3771" s="25" t="s">
        <v>9564</v>
      </c>
      <c r="E3771" s="25" t="s">
        <v>9565</v>
      </c>
      <c r="F3771" s="25" t="s">
        <v>9570</v>
      </c>
      <c r="G3771" s="1" t="s">
        <v>1888</v>
      </c>
      <c r="H3771" s="17">
        <v>0</v>
      </c>
      <c r="I3771" s="18">
        <v>710000000</v>
      </c>
      <c r="J3771" s="4" t="s">
        <v>1931</v>
      </c>
      <c r="K3771" s="4" t="s">
        <v>5390</v>
      </c>
      <c r="L3771" s="7" t="s">
        <v>1940</v>
      </c>
      <c r="M3771" s="8" t="s">
        <v>3195</v>
      </c>
      <c r="N3771" s="8" t="s">
        <v>1890</v>
      </c>
      <c r="O3771" s="8" t="s">
        <v>1935</v>
      </c>
      <c r="P3771" s="8">
        <v>796</v>
      </c>
      <c r="Q3771" s="8" t="s">
        <v>3196</v>
      </c>
      <c r="R3771" s="10">
        <v>1</v>
      </c>
      <c r="S3771" s="10">
        <v>1517857.14</v>
      </c>
      <c r="T3771" s="10">
        <f t="shared" si="2461"/>
        <v>1517857.14</v>
      </c>
      <c r="U3771" s="10">
        <f t="shared" si="2462"/>
        <v>1699999.9968000001</v>
      </c>
      <c r="V3771" s="8"/>
      <c r="W3771" s="11">
        <v>2015</v>
      </c>
      <c r="X3771" s="20"/>
    </row>
    <row r="3772" spans="1:27" ht="76.5" customHeight="1" outlineLevel="1" x14ac:dyDescent="0.2">
      <c r="A3772" s="1" t="s">
        <v>9566</v>
      </c>
      <c r="B3772" s="25" t="s">
        <v>5277</v>
      </c>
      <c r="C3772" s="25" t="s">
        <v>9567</v>
      </c>
      <c r="D3772" s="25" t="s">
        <v>9569</v>
      </c>
      <c r="E3772" s="25" t="s">
        <v>9568</v>
      </c>
      <c r="F3772" s="25" t="s">
        <v>9571</v>
      </c>
      <c r="G3772" s="1" t="s">
        <v>1888</v>
      </c>
      <c r="H3772" s="17">
        <v>0</v>
      </c>
      <c r="I3772" s="18">
        <v>710000000</v>
      </c>
      <c r="J3772" s="4" t="s">
        <v>1931</v>
      </c>
      <c r="K3772" s="4" t="s">
        <v>5390</v>
      </c>
      <c r="L3772" s="7" t="s">
        <v>1940</v>
      </c>
      <c r="M3772" s="8" t="s">
        <v>3195</v>
      </c>
      <c r="N3772" s="8" t="s">
        <v>1890</v>
      </c>
      <c r="O3772" s="8" t="s">
        <v>1935</v>
      </c>
      <c r="P3772" s="8">
        <v>796</v>
      </c>
      <c r="Q3772" s="8" t="s">
        <v>3196</v>
      </c>
      <c r="R3772" s="10">
        <v>1</v>
      </c>
      <c r="S3772" s="10">
        <v>267857.14</v>
      </c>
      <c r="T3772" s="10">
        <f t="shared" ref="T3772" si="2463">S3772*R3772</f>
        <v>267857.14</v>
      </c>
      <c r="U3772" s="10">
        <f t="shared" ref="U3772" si="2464">T3772*1.12</f>
        <v>299999.99680000002</v>
      </c>
      <c r="V3772" s="8"/>
      <c r="W3772" s="11">
        <v>2015</v>
      </c>
      <c r="X3772" s="20"/>
    </row>
    <row r="3773" spans="1:27" ht="76.5" customHeight="1" outlineLevel="1" x14ac:dyDescent="0.2">
      <c r="A3773" s="1" t="s">
        <v>9572</v>
      </c>
      <c r="B3773" s="25" t="s">
        <v>5277</v>
      </c>
      <c r="C3773" s="25" t="s">
        <v>9573</v>
      </c>
      <c r="D3773" s="25" t="s">
        <v>374</v>
      </c>
      <c r="E3773" s="25" t="s">
        <v>9574</v>
      </c>
      <c r="F3773" s="25" t="s">
        <v>9575</v>
      </c>
      <c r="G3773" s="1" t="s">
        <v>1888</v>
      </c>
      <c r="H3773" s="17">
        <v>0</v>
      </c>
      <c r="I3773" s="18">
        <v>710000000</v>
      </c>
      <c r="J3773" s="4" t="s">
        <v>1931</v>
      </c>
      <c r="K3773" s="4" t="s">
        <v>5390</v>
      </c>
      <c r="L3773" s="3" t="s">
        <v>1708</v>
      </c>
      <c r="M3773" s="8" t="s">
        <v>3195</v>
      </c>
      <c r="N3773" s="8" t="s">
        <v>1890</v>
      </c>
      <c r="O3773" s="8" t="s">
        <v>1935</v>
      </c>
      <c r="P3773" s="8">
        <v>796</v>
      </c>
      <c r="Q3773" s="8" t="s">
        <v>3196</v>
      </c>
      <c r="R3773" s="10">
        <v>200</v>
      </c>
      <c r="S3773" s="10">
        <v>642.85714299999995</v>
      </c>
      <c r="T3773" s="10">
        <f t="shared" ref="T3773" si="2465">S3773*R3773</f>
        <v>128571.42859999998</v>
      </c>
      <c r="U3773" s="10">
        <f t="shared" ref="U3773" si="2466">T3773*1.12</f>
        <v>144000.00003200001</v>
      </c>
      <c r="V3773" s="8"/>
      <c r="W3773" s="11">
        <v>2015</v>
      </c>
      <c r="X3773" s="20"/>
    </row>
    <row r="3774" spans="1:27" ht="76.5" customHeight="1" outlineLevel="1" x14ac:dyDescent="0.2">
      <c r="A3774" s="1" t="s">
        <v>9576</v>
      </c>
      <c r="B3774" s="25" t="s">
        <v>5277</v>
      </c>
      <c r="C3774" s="25" t="s">
        <v>9578</v>
      </c>
      <c r="D3774" s="25" t="s">
        <v>2305</v>
      </c>
      <c r="E3774" s="25" t="s">
        <v>9579</v>
      </c>
      <c r="F3774" s="25" t="s">
        <v>9580</v>
      </c>
      <c r="G3774" s="1" t="s">
        <v>1888</v>
      </c>
      <c r="H3774" s="17">
        <v>0</v>
      </c>
      <c r="I3774" s="18">
        <v>710000000</v>
      </c>
      <c r="J3774" s="4" t="s">
        <v>1931</v>
      </c>
      <c r="K3774" s="4" t="s">
        <v>5390</v>
      </c>
      <c r="L3774" s="3" t="s">
        <v>1708</v>
      </c>
      <c r="M3774" s="8" t="s">
        <v>3195</v>
      </c>
      <c r="N3774" s="8" t="s">
        <v>1890</v>
      </c>
      <c r="O3774" s="8" t="s">
        <v>1935</v>
      </c>
      <c r="P3774" s="8">
        <v>796</v>
      </c>
      <c r="Q3774" s="8" t="s">
        <v>3196</v>
      </c>
      <c r="R3774" s="10">
        <v>1</v>
      </c>
      <c r="S3774" s="10">
        <v>112500</v>
      </c>
      <c r="T3774" s="10">
        <f t="shared" ref="T3774" si="2467">S3774*R3774</f>
        <v>112500</v>
      </c>
      <c r="U3774" s="10">
        <f t="shared" ref="U3774" si="2468">T3774*1.12</f>
        <v>126000.00000000001</v>
      </c>
      <c r="V3774" s="8"/>
      <c r="W3774" s="11">
        <v>2015</v>
      </c>
      <c r="X3774" s="20"/>
      <c r="Z3774" s="139"/>
    </row>
    <row r="3775" spans="1:27" ht="76.5" customHeight="1" outlineLevel="1" x14ac:dyDescent="0.2">
      <c r="A3775" s="1" t="s">
        <v>9577</v>
      </c>
      <c r="B3775" s="25" t="s">
        <v>5277</v>
      </c>
      <c r="C3775" s="18" t="s">
        <v>9583</v>
      </c>
      <c r="D3775" s="18" t="s">
        <v>9584</v>
      </c>
      <c r="E3775" s="18" t="s">
        <v>9585</v>
      </c>
      <c r="F3775" s="25" t="s">
        <v>9586</v>
      </c>
      <c r="G3775" s="1" t="s">
        <v>1888</v>
      </c>
      <c r="H3775" s="17">
        <v>0</v>
      </c>
      <c r="I3775" s="18">
        <v>710000000</v>
      </c>
      <c r="J3775" s="4" t="s">
        <v>1931</v>
      </c>
      <c r="K3775" s="4" t="s">
        <v>5390</v>
      </c>
      <c r="L3775" s="3" t="s">
        <v>1708</v>
      </c>
      <c r="M3775" s="8" t="s">
        <v>3195</v>
      </c>
      <c r="N3775" s="8" t="s">
        <v>1890</v>
      </c>
      <c r="O3775" s="8" t="s">
        <v>1935</v>
      </c>
      <c r="P3775" s="8">
        <v>796</v>
      </c>
      <c r="Q3775" s="8" t="s">
        <v>3196</v>
      </c>
      <c r="R3775" s="10">
        <v>4</v>
      </c>
      <c r="S3775" s="10">
        <v>2410.7139999999999</v>
      </c>
      <c r="T3775" s="10">
        <f t="shared" ref="T3775" si="2469">S3775*R3775</f>
        <v>9642.8559999999998</v>
      </c>
      <c r="U3775" s="10">
        <f t="shared" ref="U3775" si="2470">T3775*1.12</f>
        <v>10799.998720000001</v>
      </c>
      <c r="V3775" s="8"/>
      <c r="W3775" s="11">
        <v>2015</v>
      </c>
      <c r="X3775" s="20"/>
    </row>
    <row r="3776" spans="1:27" ht="76.5" customHeight="1" outlineLevel="1" x14ac:dyDescent="0.2">
      <c r="A3776" s="1" t="s">
        <v>9581</v>
      </c>
      <c r="B3776" s="25" t="s">
        <v>5277</v>
      </c>
      <c r="C3776" s="25" t="s">
        <v>3457</v>
      </c>
      <c r="D3776" s="25" t="s">
        <v>1977</v>
      </c>
      <c r="E3776" s="25" t="s">
        <v>5993</v>
      </c>
      <c r="F3776" s="25" t="s">
        <v>9590</v>
      </c>
      <c r="G3776" s="1" t="s">
        <v>1888</v>
      </c>
      <c r="H3776" s="17">
        <v>0</v>
      </c>
      <c r="I3776" s="18">
        <v>710000000</v>
      </c>
      <c r="J3776" s="4" t="s">
        <v>1931</v>
      </c>
      <c r="K3776" s="4" t="s">
        <v>5390</v>
      </c>
      <c r="L3776" s="3" t="s">
        <v>1708</v>
      </c>
      <c r="M3776" s="8" t="s">
        <v>3195</v>
      </c>
      <c r="N3776" s="8" t="s">
        <v>1890</v>
      </c>
      <c r="O3776" s="8" t="s">
        <v>1935</v>
      </c>
      <c r="P3776" s="8">
        <v>796</v>
      </c>
      <c r="Q3776" s="8" t="s">
        <v>3196</v>
      </c>
      <c r="R3776" s="10">
        <v>4</v>
      </c>
      <c r="S3776" s="10">
        <v>3946.4286000000002</v>
      </c>
      <c r="T3776" s="10">
        <f t="shared" ref="T3776" si="2471">S3776*R3776</f>
        <v>15785.714400000001</v>
      </c>
      <c r="U3776" s="10">
        <f t="shared" ref="U3776" si="2472">T3776*1.12</f>
        <v>17680.000128000003</v>
      </c>
      <c r="V3776" s="8"/>
      <c r="W3776" s="11">
        <v>2015</v>
      </c>
      <c r="X3776" s="20"/>
    </row>
    <row r="3777" spans="1:26" ht="76.5" customHeight="1" outlineLevel="1" x14ac:dyDescent="0.2">
      <c r="A3777" s="1" t="s">
        <v>9582</v>
      </c>
      <c r="B3777" s="25" t="s">
        <v>5277</v>
      </c>
      <c r="C3777" s="25" t="s">
        <v>9589</v>
      </c>
      <c r="D3777" s="25" t="s">
        <v>1952</v>
      </c>
      <c r="E3777" s="25" t="s">
        <v>1949</v>
      </c>
      <c r="F3777" s="25" t="s">
        <v>9591</v>
      </c>
      <c r="G3777" s="1" t="s">
        <v>1888</v>
      </c>
      <c r="H3777" s="17">
        <v>0</v>
      </c>
      <c r="I3777" s="18">
        <v>710000000</v>
      </c>
      <c r="J3777" s="4" t="s">
        <v>1931</v>
      </c>
      <c r="K3777" s="4" t="s">
        <v>5390</v>
      </c>
      <c r="L3777" s="3" t="s">
        <v>1708</v>
      </c>
      <c r="M3777" s="8" t="s">
        <v>3195</v>
      </c>
      <c r="N3777" s="8" t="s">
        <v>1890</v>
      </c>
      <c r="O3777" s="8" t="s">
        <v>1935</v>
      </c>
      <c r="P3777" s="8">
        <v>796</v>
      </c>
      <c r="Q3777" s="8" t="s">
        <v>3196</v>
      </c>
      <c r="R3777" s="10">
        <v>4</v>
      </c>
      <c r="S3777" s="10">
        <v>5357.1428999999998</v>
      </c>
      <c r="T3777" s="10">
        <f t="shared" ref="T3777" si="2473">S3777*R3777</f>
        <v>21428.571599999999</v>
      </c>
      <c r="U3777" s="10">
        <f t="shared" ref="U3777" si="2474">T3777*1.12</f>
        <v>24000.000192000003</v>
      </c>
      <c r="V3777" s="8"/>
      <c r="W3777" s="11">
        <v>2015</v>
      </c>
      <c r="X3777" s="20"/>
    </row>
    <row r="3778" spans="1:26" ht="76.5" customHeight="1" outlineLevel="1" x14ac:dyDescent="0.2">
      <c r="A3778" s="1" t="s">
        <v>9587</v>
      </c>
      <c r="B3778" s="25" t="s">
        <v>5277</v>
      </c>
      <c r="C3778" s="25" t="s">
        <v>9593</v>
      </c>
      <c r="D3778" s="25" t="s">
        <v>2789</v>
      </c>
      <c r="E3778" s="25" t="s">
        <v>9594</v>
      </c>
      <c r="F3778" s="25" t="s">
        <v>9595</v>
      </c>
      <c r="G3778" s="1" t="s">
        <v>1888</v>
      </c>
      <c r="H3778" s="17">
        <v>0</v>
      </c>
      <c r="I3778" s="18">
        <v>710000000</v>
      </c>
      <c r="J3778" s="4" t="s">
        <v>1931</v>
      </c>
      <c r="K3778" s="4" t="s">
        <v>5390</v>
      </c>
      <c r="L3778" s="3" t="s">
        <v>1708</v>
      </c>
      <c r="M3778" s="8" t="s">
        <v>3195</v>
      </c>
      <c r="N3778" s="8" t="s">
        <v>1890</v>
      </c>
      <c r="O3778" s="8" t="s">
        <v>1935</v>
      </c>
      <c r="P3778" s="8">
        <v>796</v>
      </c>
      <c r="Q3778" s="8" t="s">
        <v>3196</v>
      </c>
      <c r="R3778" s="10">
        <v>2</v>
      </c>
      <c r="S3778" s="10">
        <v>15625</v>
      </c>
      <c r="T3778" s="10">
        <f t="shared" ref="T3778" si="2475">S3778*R3778</f>
        <v>31250</v>
      </c>
      <c r="U3778" s="10">
        <f t="shared" ref="U3778" si="2476">T3778*1.12</f>
        <v>35000</v>
      </c>
      <c r="V3778" s="8"/>
      <c r="W3778" s="11">
        <v>2015</v>
      </c>
      <c r="X3778" s="20"/>
      <c r="Z3778" s="138"/>
    </row>
    <row r="3779" spans="1:26" ht="76.5" customHeight="1" outlineLevel="1" x14ac:dyDescent="0.2">
      <c r="A3779" s="1" t="s">
        <v>9588</v>
      </c>
      <c r="B3779" s="25" t="s">
        <v>5277</v>
      </c>
      <c r="C3779" s="25" t="s">
        <v>9597</v>
      </c>
      <c r="D3779" s="25" t="s">
        <v>9598</v>
      </c>
      <c r="E3779" s="25" t="s">
        <v>9599</v>
      </c>
      <c r="F3779" s="25" t="s">
        <v>9600</v>
      </c>
      <c r="G3779" s="1" t="s">
        <v>1888</v>
      </c>
      <c r="H3779" s="17">
        <v>0</v>
      </c>
      <c r="I3779" s="18">
        <v>710000000</v>
      </c>
      <c r="J3779" s="4" t="s">
        <v>1931</v>
      </c>
      <c r="K3779" s="4" t="s">
        <v>5390</v>
      </c>
      <c r="L3779" s="3" t="s">
        <v>1708</v>
      </c>
      <c r="M3779" s="8" t="s">
        <v>3195</v>
      </c>
      <c r="N3779" s="8" t="s">
        <v>1890</v>
      </c>
      <c r="O3779" s="8" t="s">
        <v>1935</v>
      </c>
      <c r="P3779" s="8">
        <v>796</v>
      </c>
      <c r="Q3779" s="8" t="s">
        <v>3196</v>
      </c>
      <c r="R3779" s="10">
        <v>2</v>
      </c>
      <c r="S3779" s="10">
        <v>357.1429</v>
      </c>
      <c r="T3779" s="10">
        <f t="shared" ref="T3779" si="2477">S3779*R3779</f>
        <v>714.28579999999999</v>
      </c>
      <c r="U3779" s="10">
        <f t="shared" ref="U3779" si="2478">T3779*1.12</f>
        <v>800.0000960000001</v>
      </c>
      <c r="V3779" s="8"/>
      <c r="W3779" s="11">
        <v>2015</v>
      </c>
      <c r="X3779" s="20"/>
      <c r="Z3779" s="135"/>
    </row>
    <row r="3780" spans="1:26" ht="76.5" customHeight="1" outlineLevel="1" x14ac:dyDescent="0.2">
      <c r="A3780" s="1" t="s">
        <v>9592</v>
      </c>
      <c r="B3780" s="25" t="s">
        <v>5277</v>
      </c>
      <c r="C3780" s="25" t="s">
        <v>9602</v>
      </c>
      <c r="D3780" s="25" t="s">
        <v>9603</v>
      </c>
      <c r="E3780" s="25" t="s">
        <v>9604</v>
      </c>
      <c r="F3780" s="25" t="s">
        <v>9605</v>
      </c>
      <c r="G3780" s="1" t="s">
        <v>1888</v>
      </c>
      <c r="H3780" s="17">
        <v>0</v>
      </c>
      <c r="I3780" s="18">
        <v>710000000</v>
      </c>
      <c r="J3780" s="4" t="s">
        <v>1931</v>
      </c>
      <c r="K3780" s="4" t="s">
        <v>5390</v>
      </c>
      <c r="L3780" s="3" t="s">
        <v>1708</v>
      </c>
      <c r="M3780" s="8" t="s">
        <v>3195</v>
      </c>
      <c r="N3780" s="8" t="s">
        <v>1890</v>
      </c>
      <c r="O3780" s="8" t="s">
        <v>1935</v>
      </c>
      <c r="P3780" s="8">
        <v>796</v>
      </c>
      <c r="Q3780" s="8" t="s">
        <v>3196</v>
      </c>
      <c r="R3780" s="10">
        <v>1</v>
      </c>
      <c r="S3780" s="10">
        <v>16517.857100000001</v>
      </c>
      <c r="T3780" s="10">
        <f t="shared" ref="T3780" si="2479">S3780*R3780</f>
        <v>16517.857100000001</v>
      </c>
      <c r="U3780" s="10">
        <f t="shared" ref="U3780" si="2480">T3780*1.12</f>
        <v>18499.999952000002</v>
      </c>
      <c r="V3780" s="8"/>
      <c r="W3780" s="11">
        <v>2015</v>
      </c>
      <c r="X3780" s="20"/>
      <c r="Z3780" s="135"/>
    </row>
    <row r="3781" spans="1:26" ht="76.5" customHeight="1" outlineLevel="1" x14ac:dyDescent="0.2">
      <c r="A3781" s="1" t="s">
        <v>9596</v>
      </c>
      <c r="B3781" s="25" t="s">
        <v>5277</v>
      </c>
      <c r="C3781" s="25" t="s">
        <v>9607</v>
      </c>
      <c r="D3781" s="25" t="s">
        <v>9608</v>
      </c>
      <c r="E3781" s="25" t="s">
        <v>9609</v>
      </c>
      <c r="F3781" s="25" t="s">
        <v>9610</v>
      </c>
      <c r="G3781" s="1" t="s">
        <v>1888</v>
      </c>
      <c r="H3781" s="17">
        <v>0</v>
      </c>
      <c r="I3781" s="18">
        <v>710000000</v>
      </c>
      <c r="J3781" s="4" t="s">
        <v>1931</v>
      </c>
      <c r="K3781" s="4" t="s">
        <v>5390</v>
      </c>
      <c r="L3781" s="3" t="s">
        <v>1708</v>
      </c>
      <c r="M3781" s="8" t="s">
        <v>3195</v>
      </c>
      <c r="N3781" s="8" t="s">
        <v>1890</v>
      </c>
      <c r="O3781" s="8" t="s">
        <v>1935</v>
      </c>
      <c r="P3781" s="8">
        <v>796</v>
      </c>
      <c r="Q3781" s="8" t="s">
        <v>3196</v>
      </c>
      <c r="R3781" s="10">
        <v>1</v>
      </c>
      <c r="S3781" s="10">
        <v>9732.1429000000007</v>
      </c>
      <c r="T3781" s="10">
        <f t="shared" ref="T3781" si="2481">S3781*R3781</f>
        <v>9732.1429000000007</v>
      </c>
      <c r="U3781" s="10">
        <f t="shared" ref="U3781" si="2482">T3781*1.12</f>
        <v>10900.000048000002</v>
      </c>
      <c r="V3781" s="8"/>
      <c r="W3781" s="11">
        <v>2015</v>
      </c>
      <c r="X3781" s="20"/>
      <c r="Z3781" s="135"/>
    </row>
    <row r="3782" spans="1:26" s="133" customFormat="1" ht="123" customHeight="1" outlineLevel="1" x14ac:dyDescent="0.2">
      <c r="A3782" s="1" t="s">
        <v>9601</v>
      </c>
      <c r="B3782" s="24" t="s">
        <v>5277</v>
      </c>
      <c r="C3782" s="4" t="s">
        <v>9651</v>
      </c>
      <c r="D3782" s="4" t="s">
        <v>8550</v>
      </c>
      <c r="E3782" s="4" t="s">
        <v>5365</v>
      </c>
      <c r="F3782" s="4" t="s">
        <v>9652</v>
      </c>
      <c r="G3782" s="4" t="s">
        <v>1888</v>
      </c>
      <c r="H3782" s="22">
        <v>0</v>
      </c>
      <c r="I3782" s="4">
        <v>710000000</v>
      </c>
      <c r="J3782" s="4" t="s">
        <v>1931</v>
      </c>
      <c r="K3782" s="4" t="s">
        <v>5390</v>
      </c>
      <c r="L3782" s="4" t="s">
        <v>1889</v>
      </c>
      <c r="M3782" s="8" t="s">
        <v>3195</v>
      </c>
      <c r="N3782" s="4" t="s">
        <v>1890</v>
      </c>
      <c r="O3782" s="8" t="s">
        <v>1935</v>
      </c>
      <c r="P3782" s="8">
        <v>796</v>
      </c>
      <c r="Q3782" s="8" t="s">
        <v>3196</v>
      </c>
      <c r="R3782" s="10">
        <v>3</v>
      </c>
      <c r="S3782" s="10">
        <v>37500</v>
      </c>
      <c r="T3782" s="10">
        <f t="shared" ref="T3782" si="2483">S3782*R3782</f>
        <v>112500</v>
      </c>
      <c r="U3782" s="10">
        <f t="shared" ref="U3782" si="2484">T3782*1.12</f>
        <v>126000.00000000001</v>
      </c>
      <c r="V3782" s="1"/>
      <c r="W3782" s="1">
        <v>2015</v>
      </c>
      <c r="X3782" s="67"/>
      <c r="Y3782" s="21"/>
    </row>
    <row r="3783" spans="1:26" s="133" customFormat="1" ht="123" customHeight="1" outlineLevel="1" x14ac:dyDescent="0.2">
      <c r="A3783" s="1" t="s">
        <v>9606</v>
      </c>
      <c r="B3783" s="24" t="s">
        <v>5277</v>
      </c>
      <c r="C3783" s="4" t="s">
        <v>9653</v>
      </c>
      <c r="D3783" s="4" t="s">
        <v>5983</v>
      </c>
      <c r="E3783" s="4" t="s">
        <v>5365</v>
      </c>
      <c r="F3783" s="4" t="s">
        <v>9654</v>
      </c>
      <c r="G3783" s="4" t="s">
        <v>1888</v>
      </c>
      <c r="H3783" s="22">
        <v>0</v>
      </c>
      <c r="I3783" s="4">
        <v>710000000</v>
      </c>
      <c r="J3783" s="4" t="s">
        <v>1931</v>
      </c>
      <c r="K3783" s="4" t="s">
        <v>5390</v>
      </c>
      <c r="L3783" s="4" t="s">
        <v>1889</v>
      </c>
      <c r="M3783" s="8" t="s">
        <v>3195</v>
      </c>
      <c r="N3783" s="4" t="s">
        <v>1890</v>
      </c>
      <c r="O3783" s="8" t="s">
        <v>1935</v>
      </c>
      <c r="P3783" s="8">
        <v>796</v>
      </c>
      <c r="Q3783" s="8" t="s">
        <v>3196</v>
      </c>
      <c r="R3783" s="10">
        <v>4</v>
      </c>
      <c r="S3783" s="10">
        <v>7500</v>
      </c>
      <c r="T3783" s="10">
        <f t="shared" ref="T3783" si="2485">S3783*R3783</f>
        <v>30000</v>
      </c>
      <c r="U3783" s="10">
        <f t="shared" ref="U3783" si="2486">T3783*1.12</f>
        <v>33600</v>
      </c>
      <c r="V3783" s="1"/>
      <c r="W3783" s="1">
        <v>2015</v>
      </c>
      <c r="X3783" s="67"/>
      <c r="Y3783" s="21"/>
    </row>
    <row r="3784" spans="1:26" s="133" customFormat="1" ht="123" customHeight="1" outlineLevel="1" x14ac:dyDescent="0.2">
      <c r="A3784" s="1" t="s">
        <v>9622</v>
      </c>
      <c r="B3784" s="24" t="s">
        <v>5277</v>
      </c>
      <c r="C3784" s="4" t="s">
        <v>9653</v>
      </c>
      <c r="D3784" s="4" t="s">
        <v>5983</v>
      </c>
      <c r="E3784" s="4" t="s">
        <v>5365</v>
      </c>
      <c r="F3784" s="4" t="s">
        <v>9656</v>
      </c>
      <c r="G3784" s="4" t="s">
        <v>1888</v>
      </c>
      <c r="H3784" s="22">
        <v>0</v>
      </c>
      <c r="I3784" s="4">
        <v>710000000</v>
      </c>
      <c r="J3784" s="4" t="s">
        <v>1931</v>
      </c>
      <c r="K3784" s="4" t="s">
        <v>5390</v>
      </c>
      <c r="L3784" s="4" t="s">
        <v>1889</v>
      </c>
      <c r="M3784" s="8" t="s">
        <v>3195</v>
      </c>
      <c r="N3784" s="4" t="s">
        <v>1890</v>
      </c>
      <c r="O3784" s="8" t="s">
        <v>1935</v>
      </c>
      <c r="P3784" s="8">
        <v>796</v>
      </c>
      <c r="Q3784" s="8" t="s">
        <v>3196</v>
      </c>
      <c r="R3784" s="10">
        <v>4</v>
      </c>
      <c r="S3784" s="10">
        <v>12000</v>
      </c>
      <c r="T3784" s="10">
        <f t="shared" ref="T3784" si="2487">S3784*R3784</f>
        <v>48000</v>
      </c>
      <c r="U3784" s="10">
        <f t="shared" ref="U3784" si="2488">T3784*1.12</f>
        <v>53760.000000000007</v>
      </c>
      <c r="V3784" s="1"/>
      <c r="W3784" s="1">
        <v>2015</v>
      </c>
      <c r="X3784" s="67"/>
      <c r="Y3784" s="21"/>
    </row>
    <row r="3785" spans="1:26" s="133" customFormat="1" ht="123" customHeight="1" outlineLevel="1" x14ac:dyDescent="0.2">
      <c r="A3785" s="1" t="s">
        <v>9626</v>
      </c>
      <c r="B3785" s="24" t="s">
        <v>5277</v>
      </c>
      <c r="C3785" s="24" t="s">
        <v>9658</v>
      </c>
      <c r="D3785" s="24" t="s">
        <v>5411</v>
      </c>
      <c r="E3785" s="24" t="s">
        <v>9659</v>
      </c>
      <c r="F3785" s="24" t="s">
        <v>9660</v>
      </c>
      <c r="G3785" s="4" t="s">
        <v>1888</v>
      </c>
      <c r="H3785" s="22">
        <v>0</v>
      </c>
      <c r="I3785" s="4">
        <v>710000000</v>
      </c>
      <c r="J3785" s="4" t="s">
        <v>1931</v>
      </c>
      <c r="K3785" s="4" t="s">
        <v>5390</v>
      </c>
      <c r="L3785" s="4" t="s">
        <v>1889</v>
      </c>
      <c r="M3785" s="8" t="s">
        <v>3195</v>
      </c>
      <c r="N3785" s="4" t="s">
        <v>1890</v>
      </c>
      <c r="O3785" s="8" t="s">
        <v>1935</v>
      </c>
      <c r="P3785" s="8">
        <v>796</v>
      </c>
      <c r="Q3785" s="8" t="s">
        <v>3196</v>
      </c>
      <c r="R3785" s="10">
        <v>20</v>
      </c>
      <c r="S3785" s="10">
        <v>1625</v>
      </c>
      <c r="T3785" s="10">
        <f t="shared" ref="T3785" si="2489">S3785*R3785</f>
        <v>32500</v>
      </c>
      <c r="U3785" s="10">
        <f t="shared" ref="U3785" si="2490">T3785*1.12</f>
        <v>36400</v>
      </c>
      <c r="V3785" s="1"/>
      <c r="W3785" s="1">
        <v>2015</v>
      </c>
      <c r="X3785" s="67"/>
      <c r="Y3785" s="21"/>
    </row>
    <row r="3786" spans="1:26" s="133" customFormat="1" ht="123" customHeight="1" outlineLevel="1" x14ac:dyDescent="0.2">
      <c r="A3786" s="1" t="s">
        <v>9655</v>
      </c>
      <c r="B3786" s="24" t="s">
        <v>5277</v>
      </c>
      <c r="C3786" s="24" t="s">
        <v>2783</v>
      </c>
      <c r="D3786" s="24" t="s">
        <v>1977</v>
      </c>
      <c r="E3786" s="24" t="s">
        <v>5421</v>
      </c>
      <c r="F3786" s="24" t="s">
        <v>9673</v>
      </c>
      <c r="G3786" s="4" t="s">
        <v>1888</v>
      </c>
      <c r="H3786" s="22">
        <v>0</v>
      </c>
      <c r="I3786" s="4">
        <v>710000000</v>
      </c>
      <c r="J3786" s="4" t="s">
        <v>1931</v>
      </c>
      <c r="K3786" s="4" t="s">
        <v>5390</v>
      </c>
      <c r="L3786" s="4" t="s">
        <v>1889</v>
      </c>
      <c r="M3786" s="8" t="s">
        <v>3195</v>
      </c>
      <c r="N3786" s="4" t="s">
        <v>1890</v>
      </c>
      <c r="O3786" s="8" t="s">
        <v>1935</v>
      </c>
      <c r="P3786" s="8">
        <v>796</v>
      </c>
      <c r="Q3786" s="8" t="s">
        <v>3196</v>
      </c>
      <c r="R3786" s="10">
        <v>4</v>
      </c>
      <c r="S3786" s="10">
        <v>5250</v>
      </c>
      <c r="T3786" s="10">
        <f t="shared" ref="T3786" si="2491">S3786*R3786</f>
        <v>21000</v>
      </c>
      <c r="U3786" s="10">
        <f t="shared" ref="U3786" si="2492">T3786*1.12</f>
        <v>23520.000000000004</v>
      </c>
      <c r="V3786" s="1"/>
      <c r="W3786" s="1">
        <v>2015</v>
      </c>
      <c r="X3786" s="67"/>
      <c r="Y3786" s="21"/>
    </row>
    <row r="3787" spans="1:26" s="133" customFormat="1" ht="123" customHeight="1" outlineLevel="1" x14ac:dyDescent="0.2">
      <c r="A3787" s="1" t="s">
        <v>9657</v>
      </c>
      <c r="B3787" s="24" t="s">
        <v>5277</v>
      </c>
      <c r="C3787" s="24" t="s">
        <v>9662</v>
      </c>
      <c r="D3787" s="24" t="s">
        <v>9663</v>
      </c>
      <c r="E3787" s="24" t="s">
        <v>9664</v>
      </c>
      <c r="F3787" s="24" t="s">
        <v>9665</v>
      </c>
      <c r="G3787" s="4" t="s">
        <v>1888</v>
      </c>
      <c r="H3787" s="22">
        <v>0</v>
      </c>
      <c r="I3787" s="4">
        <v>710000000</v>
      </c>
      <c r="J3787" s="4" t="s">
        <v>1931</v>
      </c>
      <c r="K3787" s="4" t="s">
        <v>5390</v>
      </c>
      <c r="L3787" s="4" t="s">
        <v>1889</v>
      </c>
      <c r="M3787" s="8" t="s">
        <v>3195</v>
      </c>
      <c r="N3787" s="4" t="s">
        <v>1890</v>
      </c>
      <c r="O3787" s="8" t="s">
        <v>1935</v>
      </c>
      <c r="P3787" s="8">
        <v>796</v>
      </c>
      <c r="Q3787" s="8" t="s">
        <v>3196</v>
      </c>
      <c r="R3787" s="10">
        <v>2</v>
      </c>
      <c r="S3787" s="10">
        <v>23300</v>
      </c>
      <c r="T3787" s="10">
        <f t="shared" ref="T3787" si="2493">S3787*R3787</f>
        <v>46600</v>
      </c>
      <c r="U3787" s="10">
        <f t="shared" ref="U3787" si="2494">T3787*1.12</f>
        <v>52192.000000000007</v>
      </c>
      <c r="V3787" s="1"/>
      <c r="W3787" s="1">
        <v>2015</v>
      </c>
      <c r="X3787" s="67"/>
      <c r="Y3787" s="21"/>
    </row>
    <row r="3788" spans="1:26" s="133" customFormat="1" ht="123" customHeight="1" outlineLevel="1" x14ac:dyDescent="0.2">
      <c r="A3788" s="1" t="s">
        <v>9661</v>
      </c>
      <c r="B3788" s="24" t="s">
        <v>5277</v>
      </c>
      <c r="C3788" s="24" t="s">
        <v>9668</v>
      </c>
      <c r="D3788" s="24" t="s">
        <v>9669</v>
      </c>
      <c r="E3788" s="24" t="s">
        <v>9670</v>
      </c>
      <c r="F3788" s="24" t="s">
        <v>9671</v>
      </c>
      <c r="G3788" s="4" t="s">
        <v>1888</v>
      </c>
      <c r="H3788" s="22">
        <v>0</v>
      </c>
      <c r="I3788" s="4">
        <v>710000000</v>
      </c>
      <c r="J3788" s="4" t="s">
        <v>1931</v>
      </c>
      <c r="K3788" s="4" t="s">
        <v>5390</v>
      </c>
      <c r="L3788" s="4" t="s">
        <v>1889</v>
      </c>
      <c r="M3788" s="8" t="s">
        <v>3195</v>
      </c>
      <c r="N3788" s="4" t="s">
        <v>1890</v>
      </c>
      <c r="O3788" s="8" t="s">
        <v>1935</v>
      </c>
      <c r="P3788" s="8">
        <v>796</v>
      </c>
      <c r="Q3788" s="8" t="s">
        <v>3196</v>
      </c>
      <c r="R3788" s="10">
        <v>1</v>
      </c>
      <c r="S3788" s="10">
        <v>73000</v>
      </c>
      <c r="T3788" s="10">
        <f t="shared" ref="T3788" si="2495">S3788*R3788</f>
        <v>73000</v>
      </c>
      <c r="U3788" s="10">
        <f t="shared" ref="U3788" si="2496">T3788*1.12</f>
        <v>81760.000000000015</v>
      </c>
      <c r="V3788" s="1"/>
      <c r="W3788" s="1">
        <v>2015</v>
      </c>
      <c r="X3788" s="67"/>
      <c r="Y3788" s="21"/>
    </row>
    <row r="3789" spans="1:26" s="133" customFormat="1" ht="123" customHeight="1" outlineLevel="1" x14ac:dyDescent="0.2">
      <c r="A3789" s="1" t="s">
        <v>9666</v>
      </c>
      <c r="B3789" s="24" t="s">
        <v>5277</v>
      </c>
      <c r="C3789" s="24" t="s">
        <v>2783</v>
      </c>
      <c r="D3789" s="24" t="s">
        <v>1977</v>
      </c>
      <c r="E3789" s="24" t="s">
        <v>5421</v>
      </c>
      <c r="F3789" s="24" t="s">
        <v>9674</v>
      </c>
      <c r="G3789" s="4" t="s">
        <v>1888</v>
      </c>
      <c r="H3789" s="22">
        <v>0</v>
      </c>
      <c r="I3789" s="4">
        <v>710000000</v>
      </c>
      <c r="J3789" s="4" t="s">
        <v>1931</v>
      </c>
      <c r="K3789" s="4" t="s">
        <v>5390</v>
      </c>
      <c r="L3789" s="4" t="s">
        <v>1889</v>
      </c>
      <c r="M3789" s="8" t="s">
        <v>3195</v>
      </c>
      <c r="N3789" s="4" t="s">
        <v>1890</v>
      </c>
      <c r="O3789" s="8" t="s">
        <v>1935</v>
      </c>
      <c r="P3789" s="8">
        <v>796</v>
      </c>
      <c r="Q3789" s="8" t="s">
        <v>3196</v>
      </c>
      <c r="R3789" s="10">
        <v>4</v>
      </c>
      <c r="S3789" s="10">
        <v>4100</v>
      </c>
      <c r="T3789" s="10">
        <f t="shared" ref="T3789" si="2497">S3789*R3789</f>
        <v>16400</v>
      </c>
      <c r="U3789" s="10">
        <f t="shared" ref="U3789" si="2498">T3789*1.12</f>
        <v>18368</v>
      </c>
      <c r="V3789" s="1"/>
      <c r="W3789" s="1">
        <v>2015</v>
      </c>
      <c r="X3789" s="67"/>
      <c r="Y3789" s="21"/>
    </row>
    <row r="3790" spans="1:26" s="133" customFormat="1" ht="123" customHeight="1" outlineLevel="1" x14ac:dyDescent="0.2">
      <c r="A3790" s="1" t="s">
        <v>9667</v>
      </c>
      <c r="B3790" s="24" t="s">
        <v>5277</v>
      </c>
      <c r="C3790" s="24" t="s">
        <v>2123</v>
      </c>
      <c r="D3790" s="24" t="s">
        <v>1952</v>
      </c>
      <c r="E3790" s="24" t="s">
        <v>2124</v>
      </c>
      <c r="F3790" s="24" t="s">
        <v>9676</v>
      </c>
      <c r="G3790" s="4" t="s">
        <v>1888</v>
      </c>
      <c r="H3790" s="22">
        <v>0</v>
      </c>
      <c r="I3790" s="4">
        <v>710000000</v>
      </c>
      <c r="J3790" s="4" t="s">
        <v>1931</v>
      </c>
      <c r="K3790" s="4" t="s">
        <v>5390</v>
      </c>
      <c r="L3790" s="4" t="s">
        <v>1889</v>
      </c>
      <c r="M3790" s="8" t="s">
        <v>3195</v>
      </c>
      <c r="N3790" s="4" t="s">
        <v>1890</v>
      </c>
      <c r="O3790" s="8" t="s">
        <v>1935</v>
      </c>
      <c r="P3790" s="8">
        <v>796</v>
      </c>
      <c r="Q3790" s="8" t="s">
        <v>3196</v>
      </c>
      <c r="R3790" s="10">
        <v>2</v>
      </c>
      <c r="S3790" s="10">
        <v>4000</v>
      </c>
      <c r="T3790" s="10">
        <f t="shared" ref="T3790" si="2499">S3790*R3790</f>
        <v>8000</v>
      </c>
      <c r="U3790" s="10">
        <f t="shared" ref="U3790" si="2500">T3790*1.12</f>
        <v>8960</v>
      </c>
      <c r="V3790" s="1"/>
      <c r="W3790" s="1">
        <v>2015</v>
      </c>
      <c r="X3790" s="67"/>
      <c r="Y3790" s="21"/>
    </row>
    <row r="3791" spans="1:26" s="133" customFormat="1" ht="123" customHeight="1" outlineLevel="1" x14ac:dyDescent="0.2">
      <c r="A3791" s="1" t="s">
        <v>9672</v>
      </c>
      <c r="B3791" s="24" t="s">
        <v>5277</v>
      </c>
      <c r="C3791" s="24" t="s">
        <v>2122</v>
      </c>
      <c r="D3791" s="24" t="s">
        <v>5363</v>
      </c>
      <c r="E3791" s="24" t="s">
        <v>2120</v>
      </c>
      <c r="F3791" s="24" t="s">
        <v>9678</v>
      </c>
      <c r="G3791" s="4" t="s">
        <v>1888</v>
      </c>
      <c r="H3791" s="22">
        <v>0</v>
      </c>
      <c r="I3791" s="4">
        <v>710000000</v>
      </c>
      <c r="J3791" s="4" t="s">
        <v>1931</v>
      </c>
      <c r="K3791" s="4" t="s">
        <v>5390</v>
      </c>
      <c r="L3791" s="4" t="s">
        <v>1889</v>
      </c>
      <c r="M3791" s="8" t="s">
        <v>3195</v>
      </c>
      <c r="N3791" s="4" t="s">
        <v>1890</v>
      </c>
      <c r="O3791" s="8" t="s">
        <v>1935</v>
      </c>
      <c r="P3791" s="8">
        <v>796</v>
      </c>
      <c r="Q3791" s="8" t="s">
        <v>3196</v>
      </c>
      <c r="R3791" s="10">
        <v>2</v>
      </c>
      <c r="S3791" s="10">
        <v>7700</v>
      </c>
      <c r="T3791" s="10">
        <f t="shared" ref="T3791" si="2501">S3791*R3791</f>
        <v>15400</v>
      </c>
      <c r="U3791" s="10">
        <f t="shared" ref="U3791" si="2502">T3791*1.12</f>
        <v>17248</v>
      </c>
      <c r="V3791" s="1"/>
      <c r="W3791" s="1">
        <v>2015</v>
      </c>
      <c r="X3791" s="67"/>
      <c r="Y3791" s="21"/>
    </row>
    <row r="3792" spans="1:26" s="133" customFormat="1" ht="123" customHeight="1" outlineLevel="1" x14ac:dyDescent="0.2">
      <c r="A3792" s="1" t="s">
        <v>9675</v>
      </c>
      <c r="B3792" s="24" t="s">
        <v>5277</v>
      </c>
      <c r="C3792" s="7" t="s">
        <v>9623</v>
      </c>
      <c r="D3792" s="4" t="s">
        <v>5182</v>
      </c>
      <c r="E3792" s="4" t="s">
        <v>9624</v>
      </c>
      <c r="F3792" s="4" t="s">
        <v>9625</v>
      </c>
      <c r="G3792" s="4" t="s">
        <v>3190</v>
      </c>
      <c r="H3792" s="22">
        <v>0</v>
      </c>
      <c r="I3792" s="4">
        <v>710000000</v>
      </c>
      <c r="J3792" s="4" t="s">
        <v>1931</v>
      </c>
      <c r="K3792" s="4" t="s">
        <v>5390</v>
      </c>
      <c r="L3792" s="4" t="s">
        <v>1889</v>
      </c>
      <c r="M3792" s="8" t="s">
        <v>3195</v>
      </c>
      <c r="N3792" s="4" t="s">
        <v>1890</v>
      </c>
      <c r="O3792" s="8" t="s">
        <v>6339</v>
      </c>
      <c r="P3792" s="8">
        <v>113</v>
      </c>
      <c r="Q3792" s="8" t="s">
        <v>7164</v>
      </c>
      <c r="R3792" s="10">
        <v>20</v>
      </c>
      <c r="S3792" s="10">
        <v>10366.071400000001</v>
      </c>
      <c r="T3792" s="10">
        <f>S3792*R3792</f>
        <v>207321.42800000001</v>
      </c>
      <c r="U3792" s="10">
        <f>T3792*1.12</f>
        <v>232199.99936000005</v>
      </c>
      <c r="V3792" s="1"/>
      <c r="W3792" s="1">
        <v>2015</v>
      </c>
      <c r="X3792" s="67"/>
      <c r="Y3792" s="21"/>
      <c r="Z3792" s="134"/>
    </row>
    <row r="3793" spans="1:27" s="133" customFormat="1" ht="123" customHeight="1" outlineLevel="1" x14ac:dyDescent="0.2">
      <c r="A3793" s="1" t="s">
        <v>9677</v>
      </c>
      <c r="B3793" s="24" t="s">
        <v>5277</v>
      </c>
      <c r="C3793" s="4" t="s">
        <v>9627</v>
      </c>
      <c r="D3793" s="4" t="s">
        <v>9628</v>
      </c>
      <c r="E3793" s="4" t="s">
        <v>9629</v>
      </c>
      <c r="F3793" s="4" t="s">
        <v>9631</v>
      </c>
      <c r="G3793" s="4" t="s">
        <v>3190</v>
      </c>
      <c r="H3793" s="22">
        <v>0</v>
      </c>
      <c r="I3793" s="4">
        <v>710000000</v>
      </c>
      <c r="J3793" s="4" t="s">
        <v>1931</v>
      </c>
      <c r="K3793" s="4" t="s">
        <v>5390</v>
      </c>
      <c r="L3793" s="4" t="s">
        <v>1889</v>
      </c>
      <c r="M3793" s="8" t="s">
        <v>3195</v>
      </c>
      <c r="N3793" s="4" t="s">
        <v>1890</v>
      </c>
      <c r="O3793" s="8" t="s">
        <v>6339</v>
      </c>
      <c r="P3793" s="40" t="s">
        <v>3010</v>
      </c>
      <c r="Q3793" s="8" t="s">
        <v>9630</v>
      </c>
      <c r="R3793" s="10">
        <v>20</v>
      </c>
      <c r="S3793" s="10">
        <v>34178.571400000001</v>
      </c>
      <c r="T3793" s="10">
        <f t="shared" ref="T3793" si="2503">S3793*R3793</f>
        <v>683571.42800000007</v>
      </c>
      <c r="U3793" s="10">
        <f t="shared" ref="U3793" si="2504">T3793*1.12</f>
        <v>765599.99936000013</v>
      </c>
      <c r="V3793" s="1"/>
      <c r="W3793" s="1">
        <v>2015</v>
      </c>
      <c r="X3793" s="67"/>
      <c r="Y3793" s="21"/>
    </row>
    <row r="3794" spans="1:27" s="133" customFormat="1" ht="123" customHeight="1" outlineLevel="1" x14ac:dyDescent="0.2">
      <c r="A3794" s="1" t="s">
        <v>9726</v>
      </c>
      <c r="B3794" s="24" t="s">
        <v>5277</v>
      </c>
      <c r="C3794" s="4" t="s">
        <v>9727</v>
      </c>
      <c r="D3794" s="4" t="s">
        <v>9728</v>
      </c>
      <c r="E3794" s="4" t="s">
        <v>9729</v>
      </c>
      <c r="F3794" s="4" t="s">
        <v>9739</v>
      </c>
      <c r="G3794" s="4" t="s">
        <v>3187</v>
      </c>
      <c r="H3794" s="22">
        <v>0</v>
      </c>
      <c r="I3794" s="4">
        <v>710000000</v>
      </c>
      <c r="J3794" s="4" t="s">
        <v>1931</v>
      </c>
      <c r="K3794" s="4" t="s">
        <v>5390</v>
      </c>
      <c r="L3794" s="4" t="s">
        <v>1889</v>
      </c>
      <c r="M3794" s="8" t="s">
        <v>3195</v>
      </c>
      <c r="N3794" s="4" t="s">
        <v>1890</v>
      </c>
      <c r="O3794" s="8" t="s">
        <v>1935</v>
      </c>
      <c r="P3794" s="8">
        <v>796</v>
      </c>
      <c r="Q3794" s="8" t="s">
        <v>3196</v>
      </c>
      <c r="R3794" s="10">
        <v>9</v>
      </c>
      <c r="S3794" s="10">
        <v>387172.62</v>
      </c>
      <c r="T3794" s="10">
        <f t="shared" ref="T3794" si="2505">S3794*R3794</f>
        <v>3484553.58</v>
      </c>
      <c r="U3794" s="10">
        <f t="shared" ref="U3794" si="2506">T3794*1.12</f>
        <v>3902700.0096000005</v>
      </c>
      <c r="V3794" s="1"/>
      <c r="W3794" s="1">
        <v>2015</v>
      </c>
      <c r="X3794" s="67"/>
      <c r="Y3794" s="21"/>
    </row>
    <row r="3795" spans="1:27" s="133" customFormat="1" ht="123" customHeight="1" outlineLevel="1" x14ac:dyDescent="0.2">
      <c r="A3795" s="1" t="s">
        <v>9730</v>
      </c>
      <c r="B3795" s="24" t="s">
        <v>5277</v>
      </c>
      <c r="C3795" s="4" t="s">
        <v>9731</v>
      </c>
      <c r="D3795" s="4" t="s">
        <v>9732</v>
      </c>
      <c r="E3795" s="4" t="s">
        <v>9733</v>
      </c>
      <c r="F3795" s="4" t="s">
        <v>9734</v>
      </c>
      <c r="G3795" s="4" t="s">
        <v>3187</v>
      </c>
      <c r="H3795" s="22">
        <v>0</v>
      </c>
      <c r="I3795" s="4">
        <v>710000000</v>
      </c>
      <c r="J3795" s="4" t="s">
        <v>1931</v>
      </c>
      <c r="K3795" s="4" t="s">
        <v>5390</v>
      </c>
      <c r="L3795" s="4" t="s">
        <v>1889</v>
      </c>
      <c r="M3795" s="8" t="s">
        <v>3195</v>
      </c>
      <c r="N3795" s="4" t="s">
        <v>1890</v>
      </c>
      <c r="O3795" s="8" t="s">
        <v>1935</v>
      </c>
      <c r="P3795" s="8">
        <v>796</v>
      </c>
      <c r="Q3795" s="8" t="s">
        <v>3196</v>
      </c>
      <c r="R3795" s="10">
        <v>4</v>
      </c>
      <c r="S3795" s="10">
        <v>1105650</v>
      </c>
      <c r="T3795" s="10">
        <f t="shared" ref="T3795" si="2507">S3795*R3795</f>
        <v>4422600</v>
      </c>
      <c r="U3795" s="10">
        <f t="shared" ref="U3795" si="2508">T3795*1.12</f>
        <v>4953312.0000000009</v>
      </c>
      <c r="V3795" s="1"/>
      <c r="W3795" s="1">
        <v>2015</v>
      </c>
      <c r="X3795" s="67"/>
      <c r="Y3795" s="21"/>
    </row>
    <row r="3796" spans="1:27" s="133" customFormat="1" ht="123" customHeight="1" outlineLevel="1" x14ac:dyDescent="0.2">
      <c r="A3796" s="1" t="s">
        <v>9735</v>
      </c>
      <c r="B3796" s="24" t="s">
        <v>5277</v>
      </c>
      <c r="C3796" s="4" t="s">
        <v>9736</v>
      </c>
      <c r="D3796" s="4" t="s">
        <v>52</v>
      </c>
      <c r="E3796" s="4" t="s">
        <v>9737</v>
      </c>
      <c r="F3796" s="4" t="s">
        <v>9738</v>
      </c>
      <c r="G3796" s="4" t="s">
        <v>3190</v>
      </c>
      <c r="H3796" s="22">
        <v>0</v>
      </c>
      <c r="I3796" s="4">
        <v>710000000</v>
      </c>
      <c r="J3796" s="4" t="s">
        <v>1931</v>
      </c>
      <c r="K3796" s="4" t="s">
        <v>5390</v>
      </c>
      <c r="L3796" s="4" t="s">
        <v>1889</v>
      </c>
      <c r="M3796" s="8" t="s">
        <v>3195</v>
      </c>
      <c r="N3796" s="4" t="s">
        <v>1890</v>
      </c>
      <c r="O3796" s="8" t="s">
        <v>1935</v>
      </c>
      <c r="P3796" s="8">
        <v>796</v>
      </c>
      <c r="Q3796" s="8" t="s">
        <v>3196</v>
      </c>
      <c r="R3796" s="10">
        <v>2</v>
      </c>
      <c r="S3796" s="10">
        <v>177100</v>
      </c>
      <c r="T3796" s="10">
        <f t="shared" ref="T3796:T3797" si="2509">S3796*R3796</f>
        <v>354200</v>
      </c>
      <c r="U3796" s="10">
        <f t="shared" ref="U3796:U3797" si="2510">T3796*1.12</f>
        <v>396704.00000000006</v>
      </c>
      <c r="V3796" s="1"/>
      <c r="W3796" s="1">
        <v>2015</v>
      </c>
      <c r="X3796" s="67"/>
      <c r="Y3796" s="21"/>
    </row>
    <row r="3797" spans="1:27" s="13" customFormat="1" ht="76.5" customHeight="1" outlineLevel="1" x14ac:dyDescent="0.2">
      <c r="A3797" s="1" t="s">
        <v>9747</v>
      </c>
      <c r="B3797" s="52" t="s">
        <v>5277</v>
      </c>
      <c r="C3797" s="52" t="s">
        <v>9748</v>
      </c>
      <c r="D3797" s="52" t="s">
        <v>9749</v>
      </c>
      <c r="E3797" s="52" t="s">
        <v>9750</v>
      </c>
      <c r="F3797" s="52" t="s">
        <v>9751</v>
      </c>
      <c r="G3797" s="4" t="s">
        <v>3190</v>
      </c>
      <c r="H3797" s="5">
        <v>0</v>
      </c>
      <c r="I3797" s="6">
        <v>710000000</v>
      </c>
      <c r="J3797" s="4" t="s">
        <v>1931</v>
      </c>
      <c r="K3797" s="4" t="s">
        <v>5390</v>
      </c>
      <c r="L3797" s="3" t="s">
        <v>1708</v>
      </c>
      <c r="M3797" s="8" t="s">
        <v>3195</v>
      </c>
      <c r="N3797" s="3" t="s">
        <v>1890</v>
      </c>
      <c r="O3797" s="8" t="s">
        <v>1935</v>
      </c>
      <c r="P3797" s="8">
        <v>796</v>
      </c>
      <c r="Q3797" s="8" t="s">
        <v>3196</v>
      </c>
      <c r="R3797" s="69">
        <v>2000</v>
      </c>
      <c r="S3797" s="69">
        <v>234.82142999999999</v>
      </c>
      <c r="T3797" s="10">
        <f t="shared" si="2509"/>
        <v>469642.86</v>
      </c>
      <c r="U3797" s="10">
        <f t="shared" si="2510"/>
        <v>526000.00320000004</v>
      </c>
      <c r="V3797" s="7"/>
      <c r="W3797" s="1">
        <v>2015</v>
      </c>
      <c r="X3797" s="62"/>
      <c r="Z3797" s="141"/>
      <c r="AA3797" s="137"/>
    </row>
    <row r="3798" spans="1:27" s="13" customFormat="1" ht="76.5" customHeight="1" outlineLevel="1" x14ac:dyDescent="0.2">
      <c r="A3798" s="1" t="s">
        <v>9752</v>
      </c>
      <c r="B3798" s="52" t="s">
        <v>5277</v>
      </c>
      <c r="C3798" s="52" t="s">
        <v>9753</v>
      </c>
      <c r="D3798" s="52" t="s">
        <v>9754</v>
      </c>
      <c r="E3798" s="52" t="s">
        <v>9755</v>
      </c>
      <c r="F3798" s="52" t="s">
        <v>9756</v>
      </c>
      <c r="G3798" s="4" t="s">
        <v>3190</v>
      </c>
      <c r="H3798" s="5">
        <v>0</v>
      </c>
      <c r="I3798" s="6">
        <v>710000000</v>
      </c>
      <c r="J3798" s="4" t="s">
        <v>1931</v>
      </c>
      <c r="K3798" s="4" t="s">
        <v>5390</v>
      </c>
      <c r="L3798" s="3" t="s">
        <v>1708</v>
      </c>
      <c r="M3798" s="8" t="s">
        <v>3195</v>
      </c>
      <c r="N3798" s="3" t="s">
        <v>1890</v>
      </c>
      <c r="O3798" s="8" t="s">
        <v>1935</v>
      </c>
      <c r="P3798" s="8">
        <v>796</v>
      </c>
      <c r="Q3798" s="8" t="s">
        <v>3196</v>
      </c>
      <c r="R3798" s="69">
        <v>2</v>
      </c>
      <c r="S3798" s="69">
        <v>11375</v>
      </c>
      <c r="T3798" s="10">
        <f t="shared" ref="T3798" si="2511">S3798*R3798</f>
        <v>22750</v>
      </c>
      <c r="U3798" s="10">
        <f t="shared" ref="U3798" si="2512">T3798*1.12</f>
        <v>25480.000000000004</v>
      </c>
      <c r="V3798" s="7"/>
      <c r="W3798" s="1">
        <v>2015</v>
      </c>
      <c r="X3798" s="62"/>
      <c r="Z3798" s="136"/>
      <c r="AA3798" s="137"/>
    </row>
    <row r="3799" spans="1:27" s="13" customFormat="1" ht="76.5" customHeight="1" outlineLevel="1" x14ac:dyDescent="0.2">
      <c r="A3799" s="1" t="s">
        <v>9757</v>
      </c>
      <c r="B3799" s="52" t="s">
        <v>5277</v>
      </c>
      <c r="C3799" s="52" t="s">
        <v>9759</v>
      </c>
      <c r="D3799" s="52" t="s">
        <v>9754</v>
      </c>
      <c r="E3799" s="52" t="s">
        <v>9758</v>
      </c>
      <c r="F3799" s="52" t="s">
        <v>9760</v>
      </c>
      <c r="G3799" s="4" t="s">
        <v>3190</v>
      </c>
      <c r="H3799" s="5">
        <v>0</v>
      </c>
      <c r="I3799" s="6">
        <v>710000000</v>
      </c>
      <c r="J3799" s="4" t="s">
        <v>1931</v>
      </c>
      <c r="K3799" s="4" t="s">
        <v>5390</v>
      </c>
      <c r="L3799" s="3" t="s">
        <v>1708</v>
      </c>
      <c r="M3799" s="8" t="s">
        <v>3195</v>
      </c>
      <c r="N3799" s="3" t="s">
        <v>1890</v>
      </c>
      <c r="O3799" s="8" t="s">
        <v>1935</v>
      </c>
      <c r="P3799" s="8">
        <v>796</v>
      </c>
      <c r="Q3799" s="8" t="s">
        <v>3196</v>
      </c>
      <c r="R3799" s="69">
        <v>2</v>
      </c>
      <c r="S3799" s="69">
        <v>12901.7857</v>
      </c>
      <c r="T3799" s="10">
        <f t="shared" ref="T3799" si="2513">S3799*R3799</f>
        <v>25803.571400000001</v>
      </c>
      <c r="U3799" s="10">
        <f t="shared" ref="U3799" si="2514">T3799*1.12</f>
        <v>28899.999968000004</v>
      </c>
      <c r="V3799" s="7"/>
      <c r="W3799" s="1">
        <v>2015</v>
      </c>
      <c r="X3799" s="62"/>
      <c r="Z3799" s="136"/>
      <c r="AA3799" s="137"/>
    </row>
    <row r="3800" spans="1:27" s="13" customFormat="1" ht="76.5" customHeight="1" outlineLevel="1" x14ac:dyDescent="0.2">
      <c r="A3800" s="1" t="s">
        <v>9761</v>
      </c>
      <c r="B3800" s="52" t="s">
        <v>5277</v>
      </c>
      <c r="C3800" s="52" t="s">
        <v>9762</v>
      </c>
      <c r="D3800" s="52" t="s">
        <v>9754</v>
      </c>
      <c r="E3800" s="52" t="s">
        <v>9763</v>
      </c>
      <c r="F3800" s="52" t="s">
        <v>9764</v>
      </c>
      <c r="G3800" s="4" t="s">
        <v>3190</v>
      </c>
      <c r="H3800" s="5">
        <v>0</v>
      </c>
      <c r="I3800" s="6">
        <v>710000000</v>
      </c>
      <c r="J3800" s="4" t="s">
        <v>1931</v>
      </c>
      <c r="K3800" s="4" t="s">
        <v>5390</v>
      </c>
      <c r="L3800" s="3" t="s">
        <v>1708</v>
      </c>
      <c r="M3800" s="8" t="s">
        <v>3195</v>
      </c>
      <c r="N3800" s="3" t="s">
        <v>1890</v>
      </c>
      <c r="O3800" s="8" t="s">
        <v>1935</v>
      </c>
      <c r="P3800" s="8">
        <v>796</v>
      </c>
      <c r="Q3800" s="8" t="s">
        <v>3196</v>
      </c>
      <c r="R3800" s="69">
        <v>3</v>
      </c>
      <c r="S3800" s="69">
        <v>15758.928599999999</v>
      </c>
      <c r="T3800" s="10">
        <f t="shared" ref="T3800" si="2515">S3800*R3800</f>
        <v>47276.785799999998</v>
      </c>
      <c r="U3800" s="10">
        <f t="shared" ref="U3800" si="2516">T3800*1.12</f>
        <v>52950.000096000003</v>
      </c>
      <c r="V3800" s="7"/>
      <c r="W3800" s="1">
        <v>2015</v>
      </c>
      <c r="X3800" s="62"/>
      <c r="Z3800" s="136"/>
      <c r="AA3800" s="137"/>
    </row>
    <row r="3801" spans="1:27" s="13" customFormat="1" ht="76.5" customHeight="1" outlineLevel="1" x14ac:dyDescent="0.2">
      <c r="A3801" s="1" t="s">
        <v>9765</v>
      </c>
      <c r="B3801" s="52" t="s">
        <v>5277</v>
      </c>
      <c r="C3801" s="52" t="s">
        <v>9766</v>
      </c>
      <c r="D3801" s="52" t="s">
        <v>9754</v>
      </c>
      <c r="E3801" s="52" t="s">
        <v>9767</v>
      </c>
      <c r="F3801" s="52" t="s">
        <v>9768</v>
      </c>
      <c r="G3801" s="4" t="s">
        <v>3190</v>
      </c>
      <c r="H3801" s="5">
        <v>0</v>
      </c>
      <c r="I3801" s="6">
        <v>710000000</v>
      </c>
      <c r="J3801" s="4" t="s">
        <v>1931</v>
      </c>
      <c r="K3801" s="4" t="s">
        <v>5390</v>
      </c>
      <c r="L3801" s="3" t="s">
        <v>1708</v>
      </c>
      <c r="M3801" s="8" t="s">
        <v>3195</v>
      </c>
      <c r="N3801" s="3" t="s">
        <v>1890</v>
      </c>
      <c r="O3801" s="8" t="s">
        <v>1935</v>
      </c>
      <c r="P3801" s="8">
        <v>796</v>
      </c>
      <c r="Q3801" s="8" t="s">
        <v>3196</v>
      </c>
      <c r="R3801" s="69">
        <v>2</v>
      </c>
      <c r="S3801" s="69">
        <v>55357.142899999999</v>
      </c>
      <c r="T3801" s="10">
        <f t="shared" ref="T3801:T3802" si="2517">S3801*R3801</f>
        <v>110714.2858</v>
      </c>
      <c r="U3801" s="10">
        <f t="shared" ref="U3801:U3802" si="2518">T3801*1.12</f>
        <v>124000.000096</v>
      </c>
      <c r="V3801" s="7"/>
      <c r="W3801" s="1">
        <v>2015</v>
      </c>
      <c r="X3801" s="62"/>
      <c r="Z3801" s="136"/>
      <c r="AA3801" s="137"/>
    </row>
    <row r="3802" spans="1:27" s="133" customFormat="1" ht="123" customHeight="1" outlineLevel="1" x14ac:dyDescent="0.2">
      <c r="A3802" s="1" t="s">
        <v>9769</v>
      </c>
      <c r="B3802" s="24" t="s">
        <v>5277</v>
      </c>
      <c r="C3802" s="4" t="s">
        <v>9770</v>
      </c>
      <c r="D3802" s="4" t="s">
        <v>9771</v>
      </c>
      <c r="E3802" s="4" t="s">
        <v>120</v>
      </c>
      <c r="F3802" s="4"/>
      <c r="G3802" s="4" t="s">
        <v>3190</v>
      </c>
      <c r="H3802" s="22">
        <v>0</v>
      </c>
      <c r="I3802" s="4">
        <v>710000000</v>
      </c>
      <c r="J3802" s="4" t="s">
        <v>1931</v>
      </c>
      <c r="K3802" s="4" t="s">
        <v>5390</v>
      </c>
      <c r="L3802" s="4" t="s">
        <v>1889</v>
      </c>
      <c r="M3802" s="8" t="s">
        <v>3195</v>
      </c>
      <c r="N3802" s="4" t="s">
        <v>1890</v>
      </c>
      <c r="O3802" s="8" t="s">
        <v>1935</v>
      </c>
      <c r="P3802" s="8">
        <v>796</v>
      </c>
      <c r="Q3802" s="8" t="s">
        <v>3196</v>
      </c>
      <c r="R3802" s="10">
        <v>1</v>
      </c>
      <c r="S3802" s="10">
        <v>50000</v>
      </c>
      <c r="T3802" s="10">
        <f t="shared" si="2517"/>
        <v>50000</v>
      </c>
      <c r="U3802" s="10">
        <f t="shared" si="2518"/>
        <v>56000.000000000007</v>
      </c>
      <c r="V3802" s="1"/>
      <c r="W3802" s="1">
        <v>2015</v>
      </c>
      <c r="X3802" s="67"/>
      <c r="Y3802" s="21"/>
    </row>
    <row r="3803" spans="1:27" s="133" customFormat="1" ht="123" customHeight="1" outlineLevel="1" x14ac:dyDescent="0.2">
      <c r="A3803" s="1" t="s">
        <v>9772</v>
      </c>
      <c r="B3803" s="24" t="s">
        <v>5277</v>
      </c>
      <c r="C3803" s="4" t="s">
        <v>9773</v>
      </c>
      <c r="D3803" s="4" t="s">
        <v>1187</v>
      </c>
      <c r="E3803" s="4" t="s">
        <v>9774</v>
      </c>
      <c r="F3803" s="4"/>
      <c r="G3803" s="4" t="s">
        <v>3190</v>
      </c>
      <c r="H3803" s="22">
        <v>0</v>
      </c>
      <c r="I3803" s="4">
        <v>710000000</v>
      </c>
      <c r="J3803" s="4" t="s">
        <v>1931</v>
      </c>
      <c r="K3803" s="4" t="s">
        <v>5390</v>
      </c>
      <c r="L3803" s="4" t="s">
        <v>1889</v>
      </c>
      <c r="M3803" s="8" t="s">
        <v>3195</v>
      </c>
      <c r="N3803" s="4" t="s">
        <v>1890</v>
      </c>
      <c r="O3803" s="8" t="s">
        <v>1935</v>
      </c>
      <c r="P3803" s="8">
        <v>796</v>
      </c>
      <c r="Q3803" s="8" t="s">
        <v>3196</v>
      </c>
      <c r="R3803" s="10">
        <v>1</v>
      </c>
      <c r="S3803" s="10">
        <v>23000</v>
      </c>
      <c r="T3803" s="10">
        <f t="shared" ref="T3803" si="2519">S3803*R3803</f>
        <v>23000</v>
      </c>
      <c r="U3803" s="10">
        <f t="shared" ref="U3803" si="2520">T3803*1.12</f>
        <v>25760.000000000004</v>
      </c>
      <c r="V3803" s="1"/>
      <c r="W3803" s="1">
        <v>2015</v>
      </c>
      <c r="X3803" s="67"/>
      <c r="Y3803" s="21"/>
    </row>
    <row r="3804" spans="1:27" s="133" customFormat="1" ht="123" customHeight="1" outlineLevel="1" x14ac:dyDescent="0.2">
      <c r="A3804" s="1" t="s">
        <v>9775</v>
      </c>
      <c r="B3804" s="24" t="s">
        <v>5277</v>
      </c>
      <c r="C3804" s="4" t="s">
        <v>9776</v>
      </c>
      <c r="D3804" s="4" t="s">
        <v>1182</v>
      </c>
      <c r="E3804" s="4" t="s">
        <v>9777</v>
      </c>
      <c r="F3804" s="4" t="s">
        <v>9778</v>
      </c>
      <c r="G3804" s="4" t="s">
        <v>3190</v>
      </c>
      <c r="H3804" s="22">
        <v>0</v>
      </c>
      <c r="I3804" s="4">
        <v>710000000</v>
      </c>
      <c r="J3804" s="4" t="s">
        <v>1931</v>
      </c>
      <c r="K3804" s="4" t="s">
        <v>5390</v>
      </c>
      <c r="L3804" s="4" t="s">
        <v>1889</v>
      </c>
      <c r="M3804" s="8" t="s">
        <v>3195</v>
      </c>
      <c r="N3804" s="4" t="s">
        <v>1890</v>
      </c>
      <c r="O3804" s="8" t="s">
        <v>1935</v>
      </c>
      <c r="P3804" s="8">
        <v>796</v>
      </c>
      <c r="Q3804" s="8" t="s">
        <v>3196</v>
      </c>
      <c r="R3804" s="10">
        <v>1</v>
      </c>
      <c r="S3804" s="10">
        <v>22000</v>
      </c>
      <c r="T3804" s="10">
        <f t="shared" ref="T3804" si="2521">S3804*R3804</f>
        <v>22000</v>
      </c>
      <c r="U3804" s="10">
        <f t="shared" ref="U3804" si="2522">T3804*1.12</f>
        <v>24640.000000000004</v>
      </c>
      <c r="V3804" s="1"/>
      <c r="W3804" s="1">
        <v>2015</v>
      </c>
      <c r="X3804" s="67"/>
      <c r="Y3804" s="21"/>
    </row>
    <row r="3805" spans="1:27" s="133" customFormat="1" ht="123" customHeight="1" outlineLevel="1" x14ac:dyDescent="0.2">
      <c r="A3805" s="1" t="s">
        <v>9779</v>
      </c>
      <c r="B3805" s="24" t="s">
        <v>5277</v>
      </c>
      <c r="C3805" s="4" t="s">
        <v>9780</v>
      </c>
      <c r="D3805" s="4" t="s">
        <v>9781</v>
      </c>
      <c r="E3805" s="4" t="s">
        <v>9782</v>
      </c>
      <c r="F3805" s="4" t="s">
        <v>9783</v>
      </c>
      <c r="G3805" s="4" t="s">
        <v>3190</v>
      </c>
      <c r="H3805" s="22">
        <v>0</v>
      </c>
      <c r="I3805" s="4">
        <v>710000000</v>
      </c>
      <c r="J3805" s="4" t="s">
        <v>1931</v>
      </c>
      <c r="K3805" s="4" t="s">
        <v>5390</v>
      </c>
      <c r="L3805" s="4" t="s">
        <v>1889</v>
      </c>
      <c r="M3805" s="8" t="s">
        <v>3195</v>
      </c>
      <c r="N3805" s="4" t="s">
        <v>1890</v>
      </c>
      <c r="O3805" s="8" t="s">
        <v>1935</v>
      </c>
      <c r="P3805" s="8">
        <v>796</v>
      </c>
      <c r="Q3805" s="8" t="s">
        <v>3196</v>
      </c>
      <c r="R3805" s="10">
        <v>1</v>
      </c>
      <c r="S3805" s="10">
        <v>14000</v>
      </c>
      <c r="T3805" s="10">
        <f t="shared" ref="T3805:T3806" si="2523">S3805*R3805</f>
        <v>14000</v>
      </c>
      <c r="U3805" s="10">
        <f t="shared" ref="U3805:U3806" si="2524">T3805*1.12</f>
        <v>15680.000000000002</v>
      </c>
      <c r="V3805" s="1"/>
      <c r="W3805" s="1">
        <v>2015</v>
      </c>
      <c r="X3805" s="67"/>
      <c r="Y3805" s="21"/>
    </row>
    <row r="3806" spans="1:27" s="13" customFormat="1" ht="86.25" customHeight="1" outlineLevel="1" x14ac:dyDescent="0.2">
      <c r="A3806" s="1" t="s">
        <v>9784</v>
      </c>
      <c r="B3806" s="52" t="s">
        <v>5277</v>
      </c>
      <c r="C3806" s="52" t="s">
        <v>9785</v>
      </c>
      <c r="D3806" s="52" t="s">
        <v>9786</v>
      </c>
      <c r="E3806" s="52" t="s">
        <v>9787</v>
      </c>
      <c r="F3806" s="52" t="s">
        <v>9788</v>
      </c>
      <c r="G3806" s="4" t="s">
        <v>3190</v>
      </c>
      <c r="H3806" s="5">
        <v>0</v>
      </c>
      <c r="I3806" s="6">
        <v>710000000</v>
      </c>
      <c r="J3806" s="4" t="s">
        <v>1931</v>
      </c>
      <c r="K3806" s="4" t="s">
        <v>5390</v>
      </c>
      <c r="L3806" s="3" t="s">
        <v>1708</v>
      </c>
      <c r="M3806" s="8" t="s">
        <v>3195</v>
      </c>
      <c r="N3806" s="3" t="s">
        <v>1890</v>
      </c>
      <c r="O3806" s="8" t="s">
        <v>1935</v>
      </c>
      <c r="P3806" s="8">
        <v>796</v>
      </c>
      <c r="Q3806" s="8" t="s">
        <v>3196</v>
      </c>
      <c r="R3806" s="69">
        <v>400</v>
      </c>
      <c r="S3806" s="69">
        <v>650</v>
      </c>
      <c r="T3806" s="10">
        <f t="shared" si="2523"/>
        <v>260000</v>
      </c>
      <c r="U3806" s="10">
        <f t="shared" si="2524"/>
        <v>291200</v>
      </c>
      <c r="V3806" s="7"/>
      <c r="W3806" s="1">
        <v>2015</v>
      </c>
      <c r="X3806" s="62"/>
      <c r="Z3806" s="136"/>
      <c r="AA3806" s="137"/>
    </row>
    <row r="3807" spans="1:27" s="13" customFormat="1" ht="86.25" customHeight="1" outlineLevel="1" x14ac:dyDescent="0.2">
      <c r="A3807" s="1" t="s">
        <v>9789</v>
      </c>
      <c r="B3807" s="52" t="s">
        <v>5277</v>
      </c>
      <c r="C3807" s="52" t="s">
        <v>9790</v>
      </c>
      <c r="D3807" s="52" t="s">
        <v>9791</v>
      </c>
      <c r="E3807" s="52" t="s">
        <v>9792</v>
      </c>
      <c r="F3807" s="52" t="s">
        <v>9793</v>
      </c>
      <c r="G3807" s="4" t="s">
        <v>3190</v>
      </c>
      <c r="H3807" s="5">
        <v>0</v>
      </c>
      <c r="I3807" s="6">
        <v>710000000</v>
      </c>
      <c r="J3807" s="4" t="s">
        <v>1931</v>
      </c>
      <c r="K3807" s="4" t="s">
        <v>5390</v>
      </c>
      <c r="L3807" s="3" t="s">
        <v>1708</v>
      </c>
      <c r="M3807" s="8" t="s">
        <v>3195</v>
      </c>
      <c r="N3807" s="3" t="s">
        <v>1890</v>
      </c>
      <c r="O3807" s="8" t="s">
        <v>1935</v>
      </c>
      <c r="P3807" s="8">
        <v>796</v>
      </c>
      <c r="Q3807" s="8" t="s">
        <v>3196</v>
      </c>
      <c r="R3807" s="69">
        <v>35</v>
      </c>
      <c r="S3807" s="69">
        <v>1607.142857</v>
      </c>
      <c r="T3807" s="10">
        <f t="shared" ref="T3807" si="2525">S3807*R3807</f>
        <v>56249.999994999998</v>
      </c>
      <c r="U3807" s="10">
        <f t="shared" ref="U3807" si="2526">T3807*1.12</f>
        <v>62999.999994400001</v>
      </c>
      <c r="V3807" s="7"/>
      <c r="W3807" s="1">
        <v>2015</v>
      </c>
      <c r="X3807" s="62"/>
      <c r="Z3807" s="136"/>
      <c r="AA3807" s="137"/>
    </row>
    <row r="3808" spans="1:27" s="13" customFormat="1" ht="86.25" customHeight="1" outlineLevel="1" x14ac:dyDescent="0.2">
      <c r="A3808" s="1" t="s">
        <v>9794</v>
      </c>
      <c r="B3808" s="52" t="s">
        <v>5277</v>
      </c>
      <c r="C3808" s="52" t="s">
        <v>9795</v>
      </c>
      <c r="D3808" s="52" t="s">
        <v>9796</v>
      </c>
      <c r="E3808" s="52" t="s">
        <v>9797</v>
      </c>
      <c r="F3808" s="52" t="s">
        <v>9798</v>
      </c>
      <c r="G3808" s="4" t="s">
        <v>3190</v>
      </c>
      <c r="H3808" s="5">
        <v>0</v>
      </c>
      <c r="I3808" s="6">
        <v>710000000</v>
      </c>
      <c r="J3808" s="4" t="s">
        <v>1931</v>
      </c>
      <c r="K3808" s="4" t="s">
        <v>5390</v>
      </c>
      <c r="L3808" s="3" t="s">
        <v>1708</v>
      </c>
      <c r="M3808" s="8" t="s">
        <v>3195</v>
      </c>
      <c r="N3808" s="3" t="s">
        <v>1890</v>
      </c>
      <c r="O3808" s="8" t="s">
        <v>1935</v>
      </c>
      <c r="P3808" s="8">
        <v>796</v>
      </c>
      <c r="Q3808" s="8" t="s">
        <v>3196</v>
      </c>
      <c r="R3808" s="69">
        <v>35</v>
      </c>
      <c r="S3808" s="69">
        <v>4285.7142860000004</v>
      </c>
      <c r="T3808" s="10">
        <f t="shared" ref="T3808" si="2527">S3808*R3808</f>
        <v>150000.00001000002</v>
      </c>
      <c r="U3808" s="10">
        <f t="shared" ref="U3808" si="2528">T3808*1.12</f>
        <v>168000.00001120003</v>
      </c>
      <c r="V3808" s="7"/>
      <c r="W3808" s="1">
        <v>2015</v>
      </c>
      <c r="X3808" s="62"/>
      <c r="Z3808" s="136"/>
      <c r="AA3808" s="137"/>
    </row>
    <row r="3809" spans="1:27" s="13" customFormat="1" ht="86.25" customHeight="1" outlineLevel="1" x14ac:dyDescent="0.2">
      <c r="A3809" s="1" t="s">
        <v>9799</v>
      </c>
      <c r="B3809" s="52" t="s">
        <v>5277</v>
      </c>
      <c r="C3809" s="52" t="s">
        <v>9802</v>
      </c>
      <c r="D3809" s="52" t="s">
        <v>9800</v>
      </c>
      <c r="E3809" s="52" t="s">
        <v>9801</v>
      </c>
      <c r="F3809" s="52" t="s">
        <v>9803</v>
      </c>
      <c r="G3809" s="4" t="s">
        <v>3190</v>
      </c>
      <c r="H3809" s="5">
        <v>0</v>
      </c>
      <c r="I3809" s="6">
        <v>710000000</v>
      </c>
      <c r="J3809" s="4" t="s">
        <v>1931</v>
      </c>
      <c r="K3809" s="4" t="s">
        <v>5390</v>
      </c>
      <c r="L3809" s="3" t="s">
        <v>1940</v>
      </c>
      <c r="M3809" s="8" t="s">
        <v>3195</v>
      </c>
      <c r="N3809" s="3" t="s">
        <v>1890</v>
      </c>
      <c r="O3809" s="8" t="s">
        <v>1935</v>
      </c>
      <c r="P3809" s="8">
        <v>796</v>
      </c>
      <c r="Q3809" s="8" t="s">
        <v>3196</v>
      </c>
      <c r="R3809" s="69">
        <v>2</v>
      </c>
      <c r="S3809" s="69">
        <v>352678.57140000002</v>
      </c>
      <c r="T3809" s="10">
        <f t="shared" ref="T3809" si="2529">S3809*R3809</f>
        <v>705357.14280000003</v>
      </c>
      <c r="U3809" s="10">
        <f t="shared" ref="U3809" si="2530">T3809*1.12</f>
        <v>789999.99993600009</v>
      </c>
      <c r="V3809" s="7"/>
      <c r="W3809" s="1">
        <v>2015</v>
      </c>
      <c r="X3809" s="62"/>
      <c r="Z3809" s="136"/>
      <c r="AA3809" s="137"/>
    </row>
    <row r="3810" spans="1:27" s="13" customFormat="1" ht="86.25" customHeight="1" outlineLevel="1" x14ac:dyDescent="0.2">
      <c r="A3810" s="1" t="s">
        <v>9804</v>
      </c>
      <c r="B3810" s="52" t="s">
        <v>5277</v>
      </c>
      <c r="C3810" s="52" t="s">
        <v>2194</v>
      </c>
      <c r="D3810" s="52" t="s">
        <v>2195</v>
      </c>
      <c r="E3810" s="52" t="s">
        <v>2196</v>
      </c>
      <c r="F3810" s="52"/>
      <c r="G3810" s="4" t="s">
        <v>3190</v>
      </c>
      <c r="H3810" s="5">
        <v>0</v>
      </c>
      <c r="I3810" s="6">
        <v>710000000</v>
      </c>
      <c r="J3810" s="4" t="s">
        <v>1931</v>
      </c>
      <c r="K3810" s="4" t="s">
        <v>5390</v>
      </c>
      <c r="L3810" s="3" t="s">
        <v>1940</v>
      </c>
      <c r="M3810" s="8" t="s">
        <v>3195</v>
      </c>
      <c r="N3810" s="3" t="s">
        <v>1890</v>
      </c>
      <c r="O3810" s="8" t="s">
        <v>1935</v>
      </c>
      <c r="P3810" s="8">
        <v>704</v>
      </c>
      <c r="Q3810" s="8" t="s">
        <v>5196</v>
      </c>
      <c r="R3810" s="69">
        <v>2</v>
      </c>
      <c r="S3810" s="69">
        <v>41071.428599999999</v>
      </c>
      <c r="T3810" s="10">
        <f t="shared" ref="T3810:T3811" si="2531">S3810*R3810</f>
        <v>82142.857199999999</v>
      </c>
      <c r="U3810" s="10">
        <f t="shared" ref="U3810:U3811" si="2532">T3810*1.12</f>
        <v>92000.000064000007</v>
      </c>
      <c r="V3810" s="7"/>
      <c r="W3810" s="1">
        <v>2015</v>
      </c>
      <c r="X3810" s="62"/>
      <c r="Z3810" s="136"/>
      <c r="AA3810" s="137"/>
    </row>
    <row r="3811" spans="1:27" ht="76.5" customHeight="1" outlineLevel="1" x14ac:dyDescent="0.2">
      <c r="A3811" s="1" t="s">
        <v>9815</v>
      </c>
      <c r="B3811" s="25" t="s">
        <v>5277</v>
      </c>
      <c r="C3811" s="25" t="s">
        <v>9816</v>
      </c>
      <c r="D3811" s="25" t="s">
        <v>9817</v>
      </c>
      <c r="E3811" s="25" t="s">
        <v>9818</v>
      </c>
      <c r="F3811" s="25" t="s">
        <v>9820</v>
      </c>
      <c r="G3811" s="1" t="s">
        <v>1888</v>
      </c>
      <c r="H3811" s="17">
        <v>0</v>
      </c>
      <c r="I3811" s="18">
        <v>710000000</v>
      </c>
      <c r="J3811" s="4" t="s">
        <v>1931</v>
      </c>
      <c r="K3811" s="4" t="s">
        <v>5390</v>
      </c>
      <c r="L3811" s="3" t="s">
        <v>1708</v>
      </c>
      <c r="M3811" s="8" t="s">
        <v>3195</v>
      </c>
      <c r="N3811" s="8" t="s">
        <v>1890</v>
      </c>
      <c r="O3811" s="8" t="s">
        <v>1935</v>
      </c>
      <c r="P3811" s="8">
        <v>796</v>
      </c>
      <c r="Q3811" s="8" t="s">
        <v>3196</v>
      </c>
      <c r="R3811" s="10">
        <v>4</v>
      </c>
      <c r="S3811" s="10">
        <v>6160.7142000000003</v>
      </c>
      <c r="T3811" s="10">
        <f t="shared" si="2531"/>
        <v>24642.856800000001</v>
      </c>
      <c r="U3811" s="10">
        <f t="shared" si="2532"/>
        <v>27599.999616000005</v>
      </c>
      <c r="V3811" s="8"/>
      <c r="W3811" s="11">
        <v>2015</v>
      </c>
      <c r="X3811" s="20"/>
    </row>
    <row r="3812" spans="1:27" ht="76.5" customHeight="1" outlineLevel="1" x14ac:dyDescent="0.2">
      <c r="A3812" s="1" t="s">
        <v>9819</v>
      </c>
      <c r="B3812" s="25" t="s">
        <v>5277</v>
      </c>
      <c r="C3812" s="25" t="s">
        <v>9816</v>
      </c>
      <c r="D3812" s="25" t="s">
        <v>9817</v>
      </c>
      <c r="E3812" s="25" t="s">
        <v>9818</v>
      </c>
      <c r="F3812" s="25" t="s">
        <v>9821</v>
      </c>
      <c r="G3812" s="1" t="s">
        <v>1888</v>
      </c>
      <c r="H3812" s="17">
        <v>0</v>
      </c>
      <c r="I3812" s="18">
        <v>710000000</v>
      </c>
      <c r="J3812" s="4" t="s">
        <v>1931</v>
      </c>
      <c r="K3812" s="4" t="s">
        <v>5390</v>
      </c>
      <c r="L3812" s="3" t="s">
        <v>1708</v>
      </c>
      <c r="M3812" s="8" t="s">
        <v>3195</v>
      </c>
      <c r="N3812" s="8" t="s">
        <v>1890</v>
      </c>
      <c r="O3812" s="8" t="s">
        <v>1935</v>
      </c>
      <c r="P3812" s="8">
        <v>796</v>
      </c>
      <c r="Q3812" s="8" t="s">
        <v>3196</v>
      </c>
      <c r="R3812" s="10">
        <v>4</v>
      </c>
      <c r="S3812" s="10">
        <v>5446.4285</v>
      </c>
      <c r="T3812" s="10">
        <f t="shared" ref="T3812" si="2533">S3812*R3812</f>
        <v>21785.714</v>
      </c>
      <c r="U3812" s="10">
        <f t="shared" ref="U3812" si="2534">T3812*1.12</f>
        <v>24399.999680000001</v>
      </c>
      <c r="V3812" s="8"/>
      <c r="W3812" s="11">
        <v>2015</v>
      </c>
      <c r="X3812" s="20"/>
    </row>
    <row r="3813" spans="1:27" ht="76.5" customHeight="1" outlineLevel="1" x14ac:dyDescent="0.2">
      <c r="A3813" s="1" t="s">
        <v>9822</v>
      </c>
      <c r="B3813" s="25" t="s">
        <v>5277</v>
      </c>
      <c r="C3813" s="25" t="s">
        <v>9816</v>
      </c>
      <c r="D3813" s="25" t="s">
        <v>9817</v>
      </c>
      <c r="E3813" s="25" t="s">
        <v>9818</v>
      </c>
      <c r="F3813" s="25" t="s">
        <v>9823</v>
      </c>
      <c r="G3813" s="1" t="s">
        <v>1888</v>
      </c>
      <c r="H3813" s="17">
        <v>0</v>
      </c>
      <c r="I3813" s="18">
        <v>710000000</v>
      </c>
      <c r="J3813" s="4" t="s">
        <v>1931</v>
      </c>
      <c r="K3813" s="4" t="s">
        <v>5390</v>
      </c>
      <c r="L3813" s="3" t="s">
        <v>1708</v>
      </c>
      <c r="M3813" s="8" t="s">
        <v>3195</v>
      </c>
      <c r="N3813" s="8" t="s">
        <v>1890</v>
      </c>
      <c r="O3813" s="8" t="s">
        <v>1935</v>
      </c>
      <c r="P3813" s="8">
        <v>796</v>
      </c>
      <c r="Q3813" s="8" t="s">
        <v>3196</v>
      </c>
      <c r="R3813" s="10">
        <v>4</v>
      </c>
      <c r="S3813" s="10">
        <v>6008.9285</v>
      </c>
      <c r="T3813" s="10">
        <f t="shared" ref="T3813" si="2535">S3813*R3813</f>
        <v>24035.714</v>
      </c>
      <c r="U3813" s="10">
        <f t="shared" ref="U3813" si="2536">T3813*1.12</f>
        <v>26919.999680000001</v>
      </c>
      <c r="V3813" s="8"/>
      <c r="W3813" s="11">
        <v>2015</v>
      </c>
      <c r="X3813" s="20"/>
    </row>
    <row r="3814" spans="1:27" ht="76.5" customHeight="1" outlineLevel="1" x14ac:dyDescent="0.2">
      <c r="A3814" s="1" t="s">
        <v>9824</v>
      </c>
      <c r="B3814" s="25" t="s">
        <v>5277</v>
      </c>
      <c r="C3814" s="25" t="s">
        <v>9825</v>
      </c>
      <c r="D3814" s="25" t="s">
        <v>9826</v>
      </c>
      <c r="E3814" s="25" t="s">
        <v>9827</v>
      </c>
      <c r="F3814" s="25" t="s">
        <v>9828</v>
      </c>
      <c r="G3814" s="1" t="s">
        <v>1888</v>
      </c>
      <c r="H3814" s="17">
        <v>0</v>
      </c>
      <c r="I3814" s="18">
        <v>710000000</v>
      </c>
      <c r="J3814" s="4" t="s">
        <v>1931</v>
      </c>
      <c r="K3814" s="4" t="s">
        <v>5390</v>
      </c>
      <c r="L3814" s="3" t="s">
        <v>1708</v>
      </c>
      <c r="M3814" s="8" t="s">
        <v>3195</v>
      </c>
      <c r="N3814" s="8" t="s">
        <v>1890</v>
      </c>
      <c r="O3814" s="8" t="s">
        <v>1935</v>
      </c>
      <c r="P3814" s="8">
        <v>796</v>
      </c>
      <c r="Q3814" s="8" t="s">
        <v>3196</v>
      </c>
      <c r="R3814" s="10">
        <v>4</v>
      </c>
      <c r="S3814" s="10">
        <v>7946.4285</v>
      </c>
      <c r="T3814" s="10">
        <f t="shared" ref="T3814" si="2537">S3814*R3814</f>
        <v>31785.714</v>
      </c>
      <c r="U3814" s="10">
        <f t="shared" ref="U3814" si="2538">T3814*1.12</f>
        <v>35599.999680000001</v>
      </c>
      <c r="V3814" s="8"/>
      <c r="W3814" s="11">
        <v>2015</v>
      </c>
      <c r="X3814" s="20"/>
    </row>
    <row r="3815" spans="1:27" ht="76.5" customHeight="1" outlineLevel="1" x14ac:dyDescent="0.2">
      <c r="A3815" s="1" t="s">
        <v>9829</v>
      </c>
      <c r="B3815" s="25" t="s">
        <v>5277</v>
      </c>
      <c r="C3815" s="25" t="s">
        <v>9825</v>
      </c>
      <c r="D3815" s="25" t="s">
        <v>9826</v>
      </c>
      <c r="E3815" s="25" t="s">
        <v>9827</v>
      </c>
      <c r="F3815" s="25" t="s">
        <v>9830</v>
      </c>
      <c r="G3815" s="1" t="s">
        <v>1888</v>
      </c>
      <c r="H3815" s="17">
        <v>0</v>
      </c>
      <c r="I3815" s="18">
        <v>710000000</v>
      </c>
      <c r="J3815" s="4" t="s">
        <v>1931</v>
      </c>
      <c r="K3815" s="4" t="s">
        <v>5390</v>
      </c>
      <c r="L3815" s="3" t="s">
        <v>1708</v>
      </c>
      <c r="M3815" s="8" t="s">
        <v>3195</v>
      </c>
      <c r="N3815" s="8" t="s">
        <v>1890</v>
      </c>
      <c r="O3815" s="8" t="s">
        <v>1935</v>
      </c>
      <c r="P3815" s="8">
        <v>796</v>
      </c>
      <c r="Q3815" s="8" t="s">
        <v>3196</v>
      </c>
      <c r="R3815" s="10">
        <v>4</v>
      </c>
      <c r="S3815" s="10">
        <v>7946.4285</v>
      </c>
      <c r="T3815" s="10">
        <f t="shared" ref="T3815" si="2539">S3815*R3815</f>
        <v>31785.714</v>
      </c>
      <c r="U3815" s="10">
        <f t="shared" ref="U3815" si="2540">T3815*1.12</f>
        <v>35599.999680000001</v>
      </c>
      <c r="V3815" s="8"/>
      <c r="W3815" s="11">
        <v>2015</v>
      </c>
      <c r="X3815" s="20"/>
    </row>
    <row r="3816" spans="1:27" ht="76.5" customHeight="1" outlineLevel="1" x14ac:dyDescent="0.2">
      <c r="A3816" s="1" t="s">
        <v>9831</v>
      </c>
      <c r="B3816" s="25" t="s">
        <v>5277</v>
      </c>
      <c r="C3816" s="25" t="s">
        <v>9832</v>
      </c>
      <c r="D3816" s="25" t="s">
        <v>9833</v>
      </c>
      <c r="E3816" s="25" t="s">
        <v>9834</v>
      </c>
      <c r="F3816" s="25" t="s">
        <v>9846</v>
      </c>
      <c r="G3816" s="1" t="s">
        <v>1888</v>
      </c>
      <c r="H3816" s="17">
        <v>0</v>
      </c>
      <c r="I3816" s="18">
        <v>710000000</v>
      </c>
      <c r="J3816" s="4" t="s">
        <v>1931</v>
      </c>
      <c r="K3816" s="4" t="s">
        <v>5390</v>
      </c>
      <c r="L3816" s="3" t="s">
        <v>1708</v>
      </c>
      <c r="M3816" s="8" t="s">
        <v>3195</v>
      </c>
      <c r="N3816" s="8" t="s">
        <v>1890</v>
      </c>
      <c r="O3816" s="8" t="s">
        <v>1935</v>
      </c>
      <c r="P3816" s="8">
        <v>796</v>
      </c>
      <c r="Q3816" s="8" t="s">
        <v>3196</v>
      </c>
      <c r="R3816" s="10">
        <v>1</v>
      </c>
      <c r="S3816" s="10">
        <v>2232.1428000000001</v>
      </c>
      <c r="T3816" s="10">
        <f t="shared" ref="T3816" si="2541">S3816*R3816</f>
        <v>2232.1428000000001</v>
      </c>
      <c r="U3816" s="10">
        <f t="shared" ref="U3816" si="2542">T3816*1.12</f>
        <v>2499.9999360000002</v>
      </c>
      <c r="V3816" s="8"/>
      <c r="W3816" s="11">
        <v>2015</v>
      </c>
      <c r="X3816" s="20"/>
      <c r="Z3816" s="142"/>
    </row>
    <row r="3817" spans="1:27" ht="76.5" customHeight="1" outlineLevel="1" x14ac:dyDescent="0.2">
      <c r="A3817" s="1" t="s">
        <v>9835</v>
      </c>
      <c r="B3817" s="25" t="s">
        <v>5277</v>
      </c>
      <c r="C3817" s="25" t="s">
        <v>9836</v>
      </c>
      <c r="D3817" s="25" t="s">
        <v>9833</v>
      </c>
      <c r="E3817" s="25" t="s">
        <v>9837</v>
      </c>
      <c r="F3817" s="25" t="s">
        <v>9846</v>
      </c>
      <c r="G3817" s="1" t="s">
        <v>1888</v>
      </c>
      <c r="H3817" s="17">
        <v>0</v>
      </c>
      <c r="I3817" s="18">
        <v>710000000</v>
      </c>
      <c r="J3817" s="4" t="s">
        <v>1931</v>
      </c>
      <c r="K3817" s="4" t="s">
        <v>5390</v>
      </c>
      <c r="L3817" s="3" t="s">
        <v>1708</v>
      </c>
      <c r="M3817" s="8" t="s">
        <v>3195</v>
      </c>
      <c r="N3817" s="8" t="s">
        <v>1890</v>
      </c>
      <c r="O3817" s="8" t="s">
        <v>1935</v>
      </c>
      <c r="P3817" s="8">
        <v>796</v>
      </c>
      <c r="Q3817" s="8" t="s">
        <v>3196</v>
      </c>
      <c r="R3817" s="10">
        <v>1</v>
      </c>
      <c r="S3817" s="10">
        <v>2232.1428000000001</v>
      </c>
      <c r="T3817" s="10">
        <f t="shared" ref="T3817" si="2543">S3817*R3817</f>
        <v>2232.1428000000001</v>
      </c>
      <c r="U3817" s="10">
        <f t="shared" ref="U3817" si="2544">T3817*1.12</f>
        <v>2499.9999360000002</v>
      </c>
      <c r="V3817" s="8"/>
      <c r="W3817" s="11">
        <v>2015</v>
      </c>
      <c r="X3817" s="20"/>
      <c r="Z3817" s="142"/>
    </row>
    <row r="3818" spans="1:27" ht="76.5" customHeight="1" outlineLevel="1" x14ac:dyDescent="0.2">
      <c r="A3818" s="1" t="s">
        <v>9838</v>
      </c>
      <c r="B3818" s="25" t="s">
        <v>5277</v>
      </c>
      <c r="C3818" s="25" t="s">
        <v>9839</v>
      </c>
      <c r="D3818" s="25" t="s">
        <v>6078</v>
      </c>
      <c r="E3818" s="25" t="s">
        <v>9840</v>
      </c>
      <c r="F3818" s="25" t="s">
        <v>9842</v>
      </c>
      <c r="G3818" s="1" t="s">
        <v>1888</v>
      </c>
      <c r="H3818" s="17">
        <v>0</v>
      </c>
      <c r="I3818" s="18">
        <v>710000000</v>
      </c>
      <c r="J3818" s="4" t="s">
        <v>1931</v>
      </c>
      <c r="K3818" s="4" t="s">
        <v>5390</v>
      </c>
      <c r="L3818" s="3" t="s">
        <v>1708</v>
      </c>
      <c r="M3818" s="8" t="s">
        <v>3195</v>
      </c>
      <c r="N3818" s="8" t="s">
        <v>1890</v>
      </c>
      <c r="O3818" s="8" t="s">
        <v>1935</v>
      </c>
      <c r="P3818" s="8">
        <v>796</v>
      </c>
      <c r="Q3818" s="8" t="s">
        <v>3196</v>
      </c>
      <c r="R3818" s="10">
        <v>1</v>
      </c>
      <c r="S3818" s="10">
        <v>7410.7142000000003</v>
      </c>
      <c r="T3818" s="10">
        <f t="shared" ref="T3818" si="2545">S3818*R3818</f>
        <v>7410.7142000000003</v>
      </c>
      <c r="U3818" s="10">
        <f t="shared" ref="U3818" si="2546">T3818*1.12</f>
        <v>8299.9999040000021</v>
      </c>
      <c r="V3818" s="8"/>
      <c r="W3818" s="11">
        <v>2015</v>
      </c>
      <c r="X3818" s="20"/>
      <c r="Z3818" s="142"/>
    </row>
    <row r="3819" spans="1:27" ht="76.5" customHeight="1" outlineLevel="1" x14ac:dyDescent="0.2">
      <c r="A3819" s="1" t="s">
        <v>9841</v>
      </c>
      <c r="B3819" s="25" t="s">
        <v>5277</v>
      </c>
      <c r="C3819" s="4" t="s">
        <v>9843</v>
      </c>
      <c r="D3819" s="4" t="s">
        <v>6078</v>
      </c>
      <c r="E3819" s="4" t="s">
        <v>9844</v>
      </c>
      <c r="F3819" s="25" t="s">
        <v>9845</v>
      </c>
      <c r="G3819" s="1" t="s">
        <v>1888</v>
      </c>
      <c r="H3819" s="17">
        <v>0</v>
      </c>
      <c r="I3819" s="18">
        <v>710000000</v>
      </c>
      <c r="J3819" s="4" t="s">
        <v>1931</v>
      </c>
      <c r="K3819" s="4" t="s">
        <v>5390</v>
      </c>
      <c r="L3819" s="3" t="s">
        <v>1708</v>
      </c>
      <c r="M3819" s="8" t="s">
        <v>3195</v>
      </c>
      <c r="N3819" s="8" t="s">
        <v>1890</v>
      </c>
      <c r="O3819" s="8" t="s">
        <v>1935</v>
      </c>
      <c r="P3819" s="8">
        <v>796</v>
      </c>
      <c r="Q3819" s="8" t="s">
        <v>3196</v>
      </c>
      <c r="R3819" s="10">
        <v>1</v>
      </c>
      <c r="S3819" s="10">
        <v>6517.8571400000001</v>
      </c>
      <c r="T3819" s="10">
        <f t="shared" ref="T3819" si="2547">S3819*R3819</f>
        <v>6517.8571400000001</v>
      </c>
      <c r="U3819" s="10">
        <f t="shared" ref="U3819" si="2548">T3819*1.12</f>
        <v>7299.9999968000011</v>
      </c>
      <c r="V3819" s="8"/>
      <c r="W3819" s="11">
        <v>2015</v>
      </c>
      <c r="X3819" s="20"/>
      <c r="Z3819" s="143"/>
    </row>
    <row r="3820" spans="1:27" ht="76.5" customHeight="1" outlineLevel="1" x14ac:dyDescent="0.2">
      <c r="A3820" s="1" t="s">
        <v>9847</v>
      </c>
      <c r="B3820" s="25" t="s">
        <v>5277</v>
      </c>
      <c r="C3820" s="25" t="s">
        <v>2758</v>
      </c>
      <c r="D3820" s="25" t="s">
        <v>5403</v>
      </c>
      <c r="E3820" s="25" t="s">
        <v>5404</v>
      </c>
      <c r="F3820" s="25" t="s">
        <v>9848</v>
      </c>
      <c r="G3820" s="1" t="s">
        <v>1888</v>
      </c>
      <c r="H3820" s="17">
        <v>0</v>
      </c>
      <c r="I3820" s="18">
        <v>710000000</v>
      </c>
      <c r="J3820" s="4" t="s">
        <v>1931</v>
      </c>
      <c r="K3820" s="4" t="s">
        <v>5390</v>
      </c>
      <c r="L3820" s="3" t="s">
        <v>1708</v>
      </c>
      <c r="M3820" s="8" t="s">
        <v>3195</v>
      </c>
      <c r="N3820" s="8" t="s">
        <v>1890</v>
      </c>
      <c r="O3820" s="8" t="s">
        <v>1935</v>
      </c>
      <c r="P3820" s="8">
        <v>796</v>
      </c>
      <c r="Q3820" s="8" t="s">
        <v>3196</v>
      </c>
      <c r="R3820" s="10">
        <v>1</v>
      </c>
      <c r="S3820" s="10">
        <v>6964.2857000000004</v>
      </c>
      <c r="T3820" s="10">
        <f t="shared" ref="T3820" si="2549">S3820*R3820</f>
        <v>6964.2857000000004</v>
      </c>
      <c r="U3820" s="10">
        <f t="shared" ref="U3820" si="2550">T3820*1.12</f>
        <v>7799.9999840000009</v>
      </c>
      <c r="V3820" s="8"/>
      <c r="W3820" s="11">
        <v>2015</v>
      </c>
      <c r="X3820" s="20"/>
      <c r="Z3820" s="143"/>
    </row>
    <row r="3821" spans="1:27" ht="76.5" customHeight="1" outlineLevel="1" x14ac:dyDescent="0.2">
      <c r="A3821" s="1" t="s">
        <v>9849</v>
      </c>
      <c r="B3821" s="25" t="s">
        <v>5277</v>
      </c>
      <c r="C3821" s="25" t="s">
        <v>9850</v>
      </c>
      <c r="D3821" s="25" t="s">
        <v>2784</v>
      </c>
      <c r="E3821" s="25" t="s">
        <v>9851</v>
      </c>
      <c r="F3821" s="25" t="s">
        <v>9852</v>
      </c>
      <c r="G3821" s="1" t="s">
        <v>1888</v>
      </c>
      <c r="H3821" s="17">
        <v>0</v>
      </c>
      <c r="I3821" s="18">
        <v>710000000</v>
      </c>
      <c r="J3821" s="4" t="s">
        <v>1931</v>
      </c>
      <c r="K3821" s="4" t="s">
        <v>5390</v>
      </c>
      <c r="L3821" s="3" t="s">
        <v>1708</v>
      </c>
      <c r="M3821" s="8" t="s">
        <v>3195</v>
      </c>
      <c r="N3821" s="8" t="s">
        <v>1890</v>
      </c>
      <c r="O3821" s="8" t="s">
        <v>1935</v>
      </c>
      <c r="P3821" s="8">
        <v>796</v>
      </c>
      <c r="Q3821" s="8" t="s">
        <v>3196</v>
      </c>
      <c r="R3821" s="10">
        <v>4</v>
      </c>
      <c r="S3821" s="10">
        <v>28571.428500000002</v>
      </c>
      <c r="T3821" s="10">
        <f t="shared" ref="T3821:T3822" si="2551">S3821*R3821</f>
        <v>114285.71400000001</v>
      </c>
      <c r="U3821" s="10">
        <f t="shared" ref="U3821:U3822" si="2552">T3821*1.12</f>
        <v>127999.99968000002</v>
      </c>
      <c r="V3821" s="8"/>
      <c r="W3821" s="11">
        <v>2015</v>
      </c>
      <c r="X3821" s="20"/>
      <c r="Z3821" s="143"/>
    </row>
    <row r="3822" spans="1:27" s="13" customFormat="1" ht="86.25" customHeight="1" outlineLevel="1" x14ac:dyDescent="0.2">
      <c r="A3822" s="1" t="s">
        <v>9853</v>
      </c>
      <c r="B3822" s="52" t="s">
        <v>5277</v>
      </c>
      <c r="C3822" s="25" t="s">
        <v>9854</v>
      </c>
      <c r="D3822" s="25" t="s">
        <v>9855</v>
      </c>
      <c r="E3822" s="25" t="s">
        <v>9856</v>
      </c>
      <c r="F3822" s="52" t="s">
        <v>9858</v>
      </c>
      <c r="G3822" s="4" t="s">
        <v>3190</v>
      </c>
      <c r="H3822" s="5">
        <v>0</v>
      </c>
      <c r="I3822" s="6">
        <v>710000000</v>
      </c>
      <c r="J3822" s="4" t="s">
        <v>1931</v>
      </c>
      <c r="K3822" s="4" t="s">
        <v>5390</v>
      </c>
      <c r="L3822" s="3" t="s">
        <v>2140</v>
      </c>
      <c r="M3822" s="8" t="s">
        <v>3195</v>
      </c>
      <c r="N3822" s="3" t="s">
        <v>1890</v>
      </c>
      <c r="O3822" s="8" t="s">
        <v>1935</v>
      </c>
      <c r="P3822" s="8">
        <v>796</v>
      </c>
      <c r="Q3822" s="8" t="s">
        <v>3196</v>
      </c>
      <c r="R3822" s="69">
        <v>1</v>
      </c>
      <c r="S3822" s="69">
        <v>29910.7143</v>
      </c>
      <c r="T3822" s="10">
        <f t="shared" si="2551"/>
        <v>29910.7143</v>
      </c>
      <c r="U3822" s="10">
        <f t="shared" si="2552"/>
        <v>33500.000016000005</v>
      </c>
      <c r="V3822" s="7"/>
      <c r="W3822" s="1">
        <v>2015</v>
      </c>
      <c r="X3822" s="62"/>
      <c r="Z3822" s="136"/>
      <c r="AA3822" s="137"/>
    </row>
    <row r="3823" spans="1:27" s="13" customFormat="1" ht="86.25" customHeight="1" outlineLevel="1" x14ac:dyDescent="0.2">
      <c r="A3823" s="1" t="s">
        <v>9857</v>
      </c>
      <c r="B3823" s="52" t="s">
        <v>5277</v>
      </c>
      <c r="C3823" s="25" t="s">
        <v>9854</v>
      </c>
      <c r="D3823" s="25" t="s">
        <v>9855</v>
      </c>
      <c r="E3823" s="25" t="s">
        <v>9856</v>
      </c>
      <c r="F3823" s="52" t="s">
        <v>9859</v>
      </c>
      <c r="G3823" s="4" t="s">
        <v>3190</v>
      </c>
      <c r="H3823" s="5">
        <v>0</v>
      </c>
      <c r="I3823" s="6">
        <v>710000000</v>
      </c>
      <c r="J3823" s="4" t="s">
        <v>1931</v>
      </c>
      <c r="K3823" s="4" t="s">
        <v>5390</v>
      </c>
      <c r="L3823" s="3" t="s">
        <v>2140</v>
      </c>
      <c r="M3823" s="8" t="s">
        <v>3195</v>
      </c>
      <c r="N3823" s="3" t="s">
        <v>1890</v>
      </c>
      <c r="O3823" s="8" t="s">
        <v>1935</v>
      </c>
      <c r="P3823" s="8">
        <v>796</v>
      </c>
      <c r="Q3823" s="8" t="s">
        <v>3196</v>
      </c>
      <c r="R3823" s="69">
        <v>1</v>
      </c>
      <c r="S3823" s="69">
        <v>44791.9643</v>
      </c>
      <c r="T3823" s="10">
        <f t="shared" ref="T3823:T3824" si="2553">S3823*R3823</f>
        <v>44791.9643</v>
      </c>
      <c r="U3823" s="10">
        <f t="shared" ref="U3823:U3824" si="2554">T3823*1.12</f>
        <v>50167.000016000005</v>
      </c>
      <c r="V3823" s="7"/>
      <c r="W3823" s="1">
        <v>2015</v>
      </c>
      <c r="X3823" s="62"/>
      <c r="Z3823" s="136"/>
      <c r="AA3823" s="137"/>
    </row>
    <row r="3824" spans="1:27" s="13" customFormat="1" ht="86.25" customHeight="1" outlineLevel="1" x14ac:dyDescent="0.2">
      <c r="A3824" s="1" t="s">
        <v>9877</v>
      </c>
      <c r="B3824" s="52" t="s">
        <v>5277</v>
      </c>
      <c r="C3824" s="52" t="s">
        <v>9879</v>
      </c>
      <c r="D3824" s="52" t="s">
        <v>9796</v>
      </c>
      <c r="E3824" s="52" t="s">
        <v>9880</v>
      </c>
      <c r="F3824" s="52" t="s">
        <v>9878</v>
      </c>
      <c r="G3824" s="4" t="s">
        <v>3190</v>
      </c>
      <c r="H3824" s="5">
        <v>0</v>
      </c>
      <c r="I3824" s="6">
        <v>710000000</v>
      </c>
      <c r="J3824" s="4" t="s">
        <v>1931</v>
      </c>
      <c r="K3824" s="4" t="s">
        <v>5390</v>
      </c>
      <c r="L3824" s="3" t="s">
        <v>1724</v>
      </c>
      <c r="M3824" s="8" t="s">
        <v>3195</v>
      </c>
      <c r="N3824" s="3" t="s">
        <v>1890</v>
      </c>
      <c r="O3824" s="8" t="s">
        <v>1935</v>
      </c>
      <c r="P3824" s="8">
        <v>796</v>
      </c>
      <c r="Q3824" s="8" t="s">
        <v>3196</v>
      </c>
      <c r="R3824" s="144">
        <v>120</v>
      </c>
      <c r="S3824" s="144">
        <v>2053.5713999999998</v>
      </c>
      <c r="T3824" s="10">
        <f t="shared" si="2553"/>
        <v>246428.56799999997</v>
      </c>
      <c r="U3824" s="10">
        <f t="shared" si="2554"/>
        <v>275999.99615999998</v>
      </c>
      <c r="V3824" s="7"/>
      <c r="W3824" s="1">
        <v>2015</v>
      </c>
      <c r="X3824" s="62"/>
      <c r="Z3824" s="136"/>
      <c r="AA3824" s="137"/>
    </row>
    <row r="3825" spans="1:27" s="13" customFormat="1" ht="86.25" customHeight="1" outlineLevel="1" x14ac:dyDescent="0.2">
      <c r="A3825" s="1" t="s">
        <v>9915</v>
      </c>
      <c r="B3825" s="52" t="s">
        <v>5277</v>
      </c>
      <c r="C3825" s="52" t="s">
        <v>9916</v>
      </c>
      <c r="D3825" s="52" t="s">
        <v>9917</v>
      </c>
      <c r="E3825" s="52" t="s">
        <v>9918</v>
      </c>
      <c r="F3825" s="52" t="s">
        <v>9921</v>
      </c>
      <c r="G3825" s="4" t="s">
        <v>3190</v>
      </c>
      <c r="H3825" s="5">
        <v>0</v>
      </c>
      <c r="I3825" s="6">
        <v>710000000</v>
      </c>
      <c r="J3825" s="4" t="s">
        <v>1931</v>
      </c>
      <c r="K3825" s="4" t="s">
        <v>9683</v>
      </c>
      <c r="L3825" s="3" t="s">
        <v>1724</v>
      </c>
      <c r="M3825" s="8" t="s">
        <v>3195</v>
      </c>
      <c r="N3825" s="3" t="s">
        <v>1890</v>
      </c>
      <c r="O3825" s="8" t="s">
        <v>6339</v>
      </c>
      <c r="P3825" s="8">
        <v>796</v>
      </c>
      <c r="Q3825" s="8" t="s">
        <v>3196</v>
      </c>
      <c r="R3825" s="144">
        <v>1</v>
      </c>
      <c r="S3825" s="144">
        <v>75000</v>
      </c>
      <c r="T3825" s="10">
        <f t="shared" ref="T3825:T3826" si="2555">S3825*R3825</f>
        <v>75000</v>
      </c>
      <c r="U3825" s="10">
        <f t="shared" ref="U3825:U3826" si="2556">T3825*1.12</f>
        <v>84000.000000000015</v>
      </c>
      <c r="V3825" s="7"/>
      <c r="W3825" s="1">
        <v>2015</v>
      </c>
      <c r="X3825" s="62"/>
      <c r="Z3825" s="136"/>
      <c r="AA3825" s="137"/>
    </row>
    <row r="3826" spans="1:27" ht="76.5" customHeight="1" outlineLevel="1" x14ac:dyDescent="0.2">
      <c r="A3826" s="1" t="s">
        <v>9934</v>
      </c>
      <c r="B3826" s="25" t="s">
        <v>5277</v>
      </c>
      <c r="C3826" s="52" t="s">
        <v>9935</v>
      </c>
      <c r="D3826" s="52" t="s">
        <v>9936</v>
      </c>
      <c r="E3826" s="52" t="s">
        <v>9937</v>
      </c>
      <c r="F3826" s="25" t="s">
        <v>9938</v>
      </c>
      <c r="G3826" s="4" t="s">
        <v>3190</v>
      </c>
      <c r="H3826" s="17">
        <v>0</v>
      </c>
      <c r="I3826" s="18">
        <v>710000000</v>
      </c>
      <c r="J3826" s="4" t="s">
        <v>1931</v>
      </c>
      <c r="K3826" s="4" t="s">
        <v>9683</v>
      </c>
      <c r="L3826" s="3" t="s">
        <v>1708</v>
      </c>
      <c r="M3826" s="8" t="s">
        <v>3195</v>
      </c>
      <c r="N3826" s="8" t="s">
        <v>1890</v>
      </c>
      <c r="O3826" s="8" t="s">
        <v>1935</v>
      </c>
      <c r="P3826" s="8">
        <v>796</v>
      </c>
      <c r="Q3826" s="8" t="s">
        <v>3196</v>
      </c>
      <c r="R3826" s="10">
        <v>4</v>
      </c>
      <c r="S3826" s="10">
        <v>53571.428569999996</v>
      </c>
      <c r="T3826" s="10">
        <f t="shared" si="2555"/>
        <v>214285.71427999999</v>
      </c>
      <c r="U3826" s="10">
        <f t="shared" si="2556"/>
        <v>239999.99999360001</v>
      </c>
      <c r="V3826" s="8"/>
      <c r="W3826" s="11">
        <v>2015</v>
      </c>
      <c r="X3826" s="20"/>
      <c r="Z3826" s="143"/>
    </row>
    <row r="3827" spans="1:27" ht="76.5" customHeight="1" outlineLevel="1" x14ac:dyDescent="0.2">
      <c r="A3827" s="1" t="s">
        <v>9939</v>
      </c>
      <c r="B3827" s="25" t="s">
        <v>5277</v>
      </c>
      <c r="C3827" s="25" t="s">
        <v>290</v>
      </c>
      <c r="D3827" s="25" t="s">
        <v>5492</v>
      </c>
      <c r="E3827" s="25" t="s">
        <v>5493</v>
      </c>
      <c r="F3827" s="25" t="s">
        <v>9940</v>
      </c>
      <c r="G3827" s="4" t="s">
        <v>3190</v>
      </c>
      <c r="H3827" s="17">
        <v>0</v>
      </c>
      <c r="I3827" s="18">
        <v>710000000</v>
      </c>
      <c r="J3827" s="4" t="s">
        <v>1931</v>
      </c>
      <c r="K3827" s="4" t="s">
        <v>9683</v>
      </c>
      <c r="L3827" s="3" t="s">
        <v>1708</v>
      </c>
      <c r="M3827" s="8" t="s">
        <v>3195</v>
      </c>
      <c r="N3827" s="8" t="s">
        <v>1890</v>
      </c>
      <c r="O3827" s="8" t="s">
        <v>1935</v>
      </c>
      <c r="P3827" s="8">
        <v>5108</v>
      </c>
      <c r="Q3827" s="8" t="s">
        <v>9369</v>
      </c>
      <c r="R3827" s="10">
        <v>344</v>
      </c>
      <c r="S3827" s="10">
        <v>2008.92857</v>
      </c>
      <c r="T3827" s="10">
        <f t="shared" ref="T3827:T3828" si="2557">S3827*R3827</f>
        <v>691071.42807999998</v>
      </c>
      <c r="U3827" s="10">
        <f t="shared" ref="U3827" si="2558">T3827*1.12</f>
        <v>773999.9994496</v>
      </c>
      <c r="V3827" s="8"/>
      <c r="W3827" s="11">
        <v>2015</v>
      </c>
      <c r="X3827" s="20"/>
      <c r="Z3827" s="143"/>
    </row>
    <row r="3828" spans="1:27" ht="76.5" customHeight="1" outlineLevel="1" x14ac:dyDescent="0.2">
      <c r="A3828" s="1" t="s">
        <v>9942</v>
      </c>
      <c r="B3828" s="25" t="s">
        <v>5277</v>
      </c>
      <c r="C3828" s="25" t="s">
        <v>6923</v>
      </c>
      <c r="D3828" s="25" t="s">
        <v>6924</v>
      </c>
      <c r="E3828" s="25" t="s">
        <v>6925</v>
      </c>
      <c r="F3828" s="25" t="s">
        <v>9941</v>
      </c>
      <c r="G3828" s="4" t="s">
        <v>3190</v>
      </c>
      <c r="H3828" s="17">
        <v>0</v>
      </c>
      <c r="I3828" s="18">
        <v>710000000</v>
      </c>
      <c r="J3828" s="4" t="s">
        <v>1931</v>
      </c>
      <c r="K3828" s="4" t="s">
        <v>9683</v>
      </c>
      <c r="L3828" s="3" t="s">
        <v>1708</v>
      </c>
      <c r="M3828" s="8" t="s">
        <v>3195</v>
      </c>
      <c r="N3828" s="8" t="s">
        <v>1890</v>
      </c>
      <c r="O3828" s="8" t="s">
        <v>1935</v>
      </c>
      <c r="P3828" s="8">
        <v>796</v>
      </c>
      <c r="Q3828" s="8" t="s">
        <v>3196</v>
      </c>
      <c r="R3828" s="10">
        <v>2</v>
      </c>
      <c r="S3828" s="10">
        <v>48214.2857</v>
      </c>
      <c r="T3828" s="10">
        <f t="shared" si="2557"/>
        <v>96428.571400000001</v>
      </c>
      <c r="U3828" s="10">
        <f t="shared" ref="U3828:U3829" si="2559">T3828*1.12</f>
        <v>107999.99996800002</v>
      </c>
      <c r="V3828" s="8"/>
      <c r="W3828" s="11">
        <v>2015</v>
      </c>
      <c r="X3828" s="20"/>
      <c r="Z3828" s="143"/>
    </row>
    <row r="3829" spans="1:27" ht="76.5" customHeight="1" outlineLevel="1" x14ac:dyDescent="0.2">
      <c r="A3829" s="1" t="s">
        <v>9943</v>
      </c>
      <c r="B3829" s="24" t="s">
        <v>5277</v>
      </c>
      <c r="C3829" s="25" t="s">
        <v>9558</v>
      </c>
      <c r="D3829" s="25" t="s">
        <v>1235</v>
      </c>
      <c r="E3829" s="25" t="s">
        <v>9559</v>
      </c>
      <c r="F3829" s="25"/>
      <c r="G3829" s="1" t="s">
        <v>3190</v>
      </c>
      <c r="H3829" s="17">
        <v>0</v>
      </c>
      <c r="I3829" s="18">
        <v>710000000</v>
      </c>
      <c r="J3829" s="4" t="s">
        <v>1931</v>
      </c>
      <c r="K3829" s="4" t="s">
        <v>9683</v>
      </c>
      <c r="L3829" s="7" t="s">
        <v>9112</v>
      </c>
      <c r="M3829" s="8" t="s">
        <v>3195</v>
      </c>
      <c r="N3829" s="8" t="s">
        <v>1890</v>
      </c>
      <c r="O3829" s="8" t="s">
        <v>1935</v>
      </c>
      <c r="P3829" s="8">
        <v>796</v>
      </c>
      <c r="Q3829" s="8" t="s">
        <v>3196</v>
      </c>
      <c r="R3829" s="10">
        <v>100</v>
      </c>
      <c r="S3829" s="10">
        <v>80.357100000000003</v>
      </c>
      <c r="T3829" s="10">
        <f t="shared" ref="T3829" si="2560">R3829*S3829</f>
        <v>8035.71</v>
      </c>
      <c r="U3829" s="10">
        <f t="shared" si="2559"/>
        <v>8999.9952000000012</v>
      </c>
      <c r="V3829" s="8"/>
      <c r="W3829" s="11">
        <v>2015</v>
      </c>
      <c r="X3829" s="8"/>
    </row>
    <row r="3830" spans="1:27" ht="76.5" customHeight="1" outlineLevel="1" x14ac:dyDescent="0.2">
      <c r="A3830" s="1" t="s">
        <v>9944</v>
      </c>
      <c r="B3830" s="24" t="s">
        <v>5277</v>
      </c>
      <c r="C3830" s="25" t="s">
        <v>9945</v>
      </c>
      <c r="D3830" s="25" t="s">
        <v>9946</v>
      </c>
      <c r="E3830" s="25" t="s">
        <v>9947</v>
      </c>
      <c r="F3830" s="25"/>
      <c r="G3830" s="1" t="s">
        <v>3190</v>
      </c>
      <c r="H3830" s="17">
        <v>0</v>
      </c>
      <c r="I3830" s="18">
        <v>710000000</v>
      </c>
      <c r="J3830" s="4" t="s">
        <v>1931</v>
      </c>
      <c r="K3830" s="4" t="s">
        <v>9683</v>
      </c>
      <c r="L3830" s="7" t="s">
        <v>9112</v>
      </c>
      <c r="M3830" s="8" t="s">
        <v>3195</v>
      </c>
      <c r="N3830" s="8" t="s">
        <v>1890</v>
      </c>
      <c r="O3830" s="8" t="s">
        <v>1935</v>
      </c>
      <c r="P3830" s="8">
        <v>796</v>
      </c>
      <c r="Q3830" s="8" t="s">
        <v>3196</v>
      </c>
      <c r="R3830" s="10">
        <v>200</v>
      </c>
      <c r="S3830" s="10">
        <v>142.85713999999999</v>
      </c>
      <c r="T3830" s="10">
        <f t="shared" ref="T3830" si="2561">R3830*S3830</f>
        <v>28571.427999999996</v>
      </c>
      <c r="U3830" s="10">
        <f t="shared" ref="U3830" si="2562">T3830*1.12</f>
        <v>31999.999359999998</v>
      </c>
      <c r="V3830" s="8"/>
      <c r="W3830" s="11">
        <v>2015</v>
      </c>
      <c r="X3830" s="8"/>
    </row>
    <row r="3831" spans="1:27" ht="76.5" customHeight="1" outlineLevel="1" x14ac:dyDescent="0.2">
      <c r="A3831" s="1" t="s">
        <v>9959</v>
      </c>
      <c r="B3831" s="24" t="s">
        <v>5277</v>
      </c>
      <c r="C3831" s="25" t="s">
        <v>9960</v>
      </c>
      <c r="D3831" s="25" t="s">
        <v>9961</v>
      </c>
      <c r="E3831" s="25" t="s">
        <v>9962</v>
      </c>
      <c r="F3831" s="25" t="s">
        <v>9963</v>
      </c>
      <c r="G3831" s="1" t="s">
        <v>3190</v>
      </c>
      <c r="H3831" s="17">
        <v>0</v>
      </c>
      <c r="I3831" s="18">
        <v>710000000</v>
      </c>
      <c r="J3831" s="4" t="s">
        <v>1931</v>
      </c>
      <c r="K3831" s="4" t="s">
        <v>9683</v>
      </c>
      <c r="L3831" s="3" t="s">
        <v>1708</v>
      </c>
      <c r="M3831" s="8" t="s">
        <v>3195</v>
      </c>
      <c r="N3831" s="8" t="s">
        <v>1890</v>
      </c>
      <c r="O3831" s="8" t="s">
        <v>1935</v>
      </c>
      <c r="P3831" s="8">
        <v>796</v>
      </c>
      <c r="Q3831" s="8" t="s">
        <v>3196</v>
      </c>
      <c r="R3831" s="10">
        <v>20</v>
      </c>
      <c r="S3831" s="10">
        <v>2464.2857140000001</v>
      </c>
      <c r="T3831" s="10">
        <f t="shared" ref="T3831" si="2563">R3831*S3831</f>
        <v>49285.71428</v>
      </c>
      <c r="U3831" s="10">
        <f t="shared" ref="U3831" si="2564">T3831*1.12</f>
        <v>55199.999993600002</v>
      </c>
      <c r="V3831" s="8"/>
      <c r="W3831" s="11">
        <v>2015</v>
      </c>
      <c r="X3831" s="8"/>
    </row>
    <row r="3832" spans="1:27" ht="76.5" customHeight="1" outlineLevel="1" x14ac:dyDescent="0.2">
      <c r="A3832" s="1" t="s">
        <v>9964</v>
      </c>
      <c r="B3832" s="24" t="s">
        <v>5277</v>
      </c>
      <c r="C3832" s="25" t="s">
        <v>9965</v>
      </c>
      <c r="D3832" s="25" t="s">
        <v>9966</v>
      </c>
      <c r="E3832" s="25" t="s">
        <v>9967</v>
      </c>
      <c r="F3832" s="25" t="s">
        <v>9968</v>
      </c>
      <c r="G3832" s="1" t="s">
        <v>3190</v>
      </c>
      <c r="H3832" s="17">
        <v>0</v>
      </c>
      <c r="I3832" s="18">
        <v>710000000</v>
      </c>
      <c r="J3832" s="4" t="s">
        <v>1931</v>
      </c>
      <c r="K3832" s="4" t="s">
        <v>9683</v>
      </c>
      <c r="L3832" s="3" t="s">
        <v>1708</v>
      </c>
      <c r="M3832" s="8" t="s">
        <v>3195</v>
      </c>
      <c r="N3832" s="8" t="s">
        <v>1890</v>
      </c>
      <c r="O3832" s="8" t="s">
        <v>1935</v>
      </c>
      <c r="P3832" s="8">
        <v>796</v>
      </c>
      <c r="Q3832" s="8" t="s">
        <v>3196</v>
      </c>
      <c r="R3832" s="10">
        <v>10</v>
      </c>
      <c r="S3832" s="10">
        <v>8002.67857</v>
      </c>
      <c r="T3832" s="10">
        <f t="shared" ref="T3832" si="2565">R3832*S3832</f>
        <v>80026.785700000008</v>
      </c>
      <c r="U3832" s="10">
        <f t="shared" ref="U3832" si="2566">T3832*1.12</f>
        <v>89629.999984000024</v>
      </c>
      <c r="V3832" s="8"/>
      <c r="W3832" s="11">
        <v>2015</v>
      </c>
      <c r="X3832" s="8"/>
    </row>
    <row r="3833" spans="1:27" ht="76.5" customHeight="1" outlineLevel="1" x14ac:dyDescent="0.2">
      <c r="A3833" s="1" t="s">
        <v>9969</v>
      </c>
      <c r="B3833" s="24" t="s">
        <v>5277</v>
      </c>
      <c r="C3833" s="25" t="s">
        <v>9965</v>
      </c>
      <c r="D3833" s="25" t="s">
        <v>9966</v>
      </c>
      <c r="E3833" s="25" t="s">
        <v>9967</v>
      </c>
      <c r="F3833" s="25" t="s">
        <v>9970</v>
      </c>
      <c r="G3833" s="1" t="s">
        <v>3190</v>
      </c>
      <c r="H3833" s="17">
        <v>0</v>
      </c>
      <c r="I3833" s="18">
        <v>710000000</v>
      </c>
      <c r="J3833" s="4" t="s">
        <v>1931</v>
      </c>
      <c r="K3833" s="4" t="s">
        <v>9683</v>
      </c>
      <c r="L3833" s="3" t="s">
        <v>1708</v>
      </c>
      <c r="M3833" s="8" t="s">
        <v>3195</v>
      </c>
      <c r="N3833" s="8" t="s">
        <v>1890</v>
      </c>
      <c r="O3833" s="8" t="s">
        <v>1935</v>
      </c>
      <c r="P3833" s="8">
        <v>796</v>
      </c>
      <c r="Q3833" s="8" t="s">
        <v>3196</v>
      </c>
      <c r="R3833" s="10">
        <v>20</v>
      </c>
      <c r="S3833" s="10">
        <v>15581.25</v>
      </c>
      <c r="T3833" s="10">
        <f t="shared" ref="T3833" si="2567">R3833*S3833</f>
        <v>311625</v>
      </c>
      <c r="U3833" s="10">
        <f t="shared" ref="U3833" si="2568">T3833*1.12</f>
        <v>349020.00000000006</v>
      </c>
      <c r="V3833" s="8"/>
      <c r="W3833" s="11">
        <v>2015</v>
      </c>
      <c r="X3833" s="8"/>
    </row>
    <row r="3834" spans="1:27" ht="76.5" customHeight="1" outlineLevel="1" x14ac:dyDescent="0.2">
      <c r="A3834" s="1" t="s">
        <v>9971</v>
      </c>
      <c r="B3834" s="24" t="s">
        <v>5277</v>
      </c>
      <c r="C3834" s="25" t="s">
        <v>9972</v>
      </c>
      <c r="D3834" s="25" t="s">
        <v>9973</v>
      </c>
      <c r="E3834" s="25" t="s">
        <v>9974</v>
      </c>
      <c r="F3834" s="25" t="s">
        <v>9975</v>
      </c>
      <c r="G3834" s="1" t="s">
        <v>3190</v>
      </c>
      <c r="H3834" s="17">
        <v>0</v>
      </c>
      <c r="I3834" s="18">
        <v>710000000</v>
      </c>
      <c r="J3834" s="4" t="s">
        <v>1931</v>
      </c>
      <c r="K3834" s="4" t="s">
        <v>9683</v>
      </c>
      <c r="L3834" s="3" t="s">
        <v>1708</v>
      </c>
      <c r="M3834" s="8" t="s">
        <v>3195</v>
      </c>
      <c r="N3834" s="8" t="s">
        <v>1890</v>
      </c>
      <c r="O3834" s="8" t="s">
        <v>1935</v>
      </c>
      <c r="P3834" s="10" t="s">
        <v>3010</v>
      </c>
      <c r="Q3834" s="10" t="s">
        <v>5142</v>
      </c>
      <c r="R3834" s="10">
        <v>100</v>
      </c>
      <c r="S3834" s="10">
        <v>312.5</v>
      </c>
      <c r="T3834" s="10">
        <f t="shared" ref="T3834" si="2569">R3834*S3834</f>
        <v>31250</v>
      </c>
      <c r="U3834" s="10">
        <f t="shared" ref="U3834" si="2570">T3834*1.12</f>
        <v>35000</v>
      </c>
      <c r="V3834" s="8"/>
      <c r="W3834" s="11">
        <v>2015</v>
      </c>
      <c r="X3834" s="8"/>
    </row>
    <row r="3835" spans="1:27" ht="76.5" customHeight="1" outlineLevel="1" x14ac:dyDescent="0.2">
      <c r="A3835" s="1" t="s">
        <v>9976</v>
      </c>
      <c r="B3835" s="24" t="s">
        <v>5277</v>
      </c>
      <c r="C3835" s="25" t="s">
        <v>9977</v>
      </c>
      <c r="D3835" s="25" t="s">
        <v>9978</v>
      </c>
      <c r="E3835" s="25" t="s">
        <v>9979</v>
      </c>
      <c r="F3835" s="25" t="s">
        <v>9980</v>
      </c>
      <c r="G3835" s="1" t="s">
        <v>3190</v>
      </c>
      <c r="H3835" s="17">
        <v>0</v>
      </c>
      <c r="I3835" s="18">
        <v>710000000</v>
      </c>
      <c r="J3835" s="4" t="s">
        <v>1931</v>
      </c>
      <c r="K3835" s="4" t="s">
        <v>9683</v>
      </c>
      <c r="L3835" s="3" t="s">
        <v>1708</v>
      </c>
      <c r="M3835" s="8" t="s">
        <v>3195</v>
      </c>
      <c r="N3835" s="8" t="s">
        <v>1890</v>
      </c>
      <c r="O3835" s="8" t="s">
        <v>1935</v>
      </c>
      <c r="P3835" s="8">
        <v>796</v>
      </c>
      <c r="Q3835" s="8" t="s">
        <v>3196</v>
      </c>
      <c r="R3835" s="10">
        <v>40</v>
      </c>
      <c r="S3835" s="10">
        <v>58.928570999999998</v>
      </c>
      <c r="T3835" s="10">
        <f t="shared" ref="T3835" si="2571">R3835*S3835</f>
        <v>2357.14284</v>
      </c>
      <c r="U3835" s="10">
        <f t="shared" ref="U3835" si="2572">T3835*1.12</f>
        <v>2639.9999808000002</v>
      </c>
      <c r="V3835" s="8"/>
      <c r="W3835" s="11">
        <v>2015</v>
      </c>
      <c r="X3835" s="8"/>
    </row>
    <row r="3836" spans="1:27" ht="76.5" customHeight="1" outlineLevel="1" x14ac:dyDescent="0.2">
      <c r="A3836" s="1" t="s">
        <v>9981</v>
      </c>
      <c r="B3836" s="24" t="s">
        <v>5277</v>
      </c>
      <c r="C3836" s="25" t="s">
        <v>9982</v>
      </c>
      <c r="D3836" s="25" t="s">
        <v>9983</v>
      </c>
      <c r="E3836" s="25" t="s">
        <v>9984</v>
      </c>
      <c r="F3836" s="25" t="s">
        <v>9985</v>
      </c>
      <c r="G3836" s="1" t="s">
        <v>3190</v>
      </c>
      <c r="H3836" s="17">
        <v>0</v>
      </c>
      <c r="I3836" s="18">
        <v>710000000</v>
      </c>
      <c r="J3836" s="4" t="s">
        <v>1931</v>
      </c>
      <c r="K3836" s="4" t="s">
        <v>9683</v>
      </c>
      <c r="L3836" s="3" t="s">
        <v>1708</v>
      </c>
      <c r="M3836" s="8" t="s">
        <v>3195</v>
      </c>
      <c r="N3836" s="8" t="s">
        <v>1890</v>
      </c>
      <c r="O3836" s="8" t="s">
        <v>1935</v>
      </c>
      <c r="P3836" s="8">
        <v>796</v>
      </c>
      <c r="Q3836" s="8" t="s">
        <v>3196</v>
      </c>
      <c r="R3836" s="10">
        <v>1</v>
      </c>
      <c r="S3836" s="10">
        <v>947260.71429999999</v>
      </c>
      <c r="T3836" s="10">
        <f t="shared" ref="T3836" si="2573">R3836*S3836</f>
        <v>947260.71429999999</v>
      </c>
      <c r="U3836" s="10">
        <f t="shared" ref="U3836" si="2574">T3836*1.12</f>
        <v>1060932.0000160001</v>
      </c>
      <c r="V3836" s="8"/>
      <c r="W3836" s="11">
        <v>2015</v>
      </c>
      <c r="X3836" s="8"/>
    </row>
    <row r="3837" spans="1:27" ht="76.5" customHeight="1" outlineLevel="1" x14ac:dyDescent="0.2">
      <c r="A3837" s="1" t="s">
        <v>9992</v>
      </c>
      <c r="B3837" s="24" t="s">
        <v>5277</v>
      </c>
      <c r="C3837" s="25" t="s">
        <v>9993</v>
      </c>
      <c r="D3837" s="25" t="s">
        <v>270</v>
      </c>
      <c r="E3837" s="25" t="s">
        <v>9994</v>
      </c>
      <c r="F3837" s="28" t="s">
        <v>9997</v>
      </c>
      <c r="G3837" s="1" t="s">
        <v>3190</v>
      </c>
      <c r="H3837" s="17">
        <v>0</v>
      </c>
      <c r="I3837" s="18">
        <v>710000000</v>
      </c>
      <c r="J3837" s="4" t="s">
        <v>1931</v>
      </c>
      <c r="K3837" s="4" t="s">
        <v>9683</v>
      </c>
      <c r="L3837" s="3" t="s">
        <v>1708</v>
      </c>
      <c r="M3837" s="8" t="s">
        <v>3195</v>
      </c>
      <c r="N3837" s="8" t="s">
        <v>1890</v>
      </c>
      <c r="O3837" s="8" t="s">
        <v>1935</v>
      </c>
      <c r="P3837" s="40" t="s">
        <v>3334</v>
      </c>
      <c r="Q3837" s="120" t="s">
        <v>5517</v>
      </c>
      <c r="R3837" s="10">
        <v>60.75</v>
      </c>
      <c r="S3837" s="10">
        <v>2678.5713999999998</v>
      </c>
      <c r="T3837" s="10">
        <f t="shared" ref="T3837" si="2575">R3837*S3837</f>
        <v>162723.21255</v>
      </c>
      <c r="U3837" s="10">
        <f t="shared" ref="U3837" si="2576">T3837*1.12</f>
        <v>182249.99805600001</v>
      </c>
      <c r="V3837" s="8"/>
      <c r="W3837" s="11">
        <v>2015</v>
      </c>
      <c r="X3837" s="8"/>
    </row>
    <row r="3838" spans="1:27" ht="76.5" customHeight="1" outlineLevel="1" x14ac:dyDescent="0.2">
      <c r="A3838" s="1" t="s">
        <v>9996</v>
      </c>
      <c r="B3838" s="24" t="s">
        <v>5277</v>
      </c>
      <c r="C3838" s="25" t="s">
        <v>7600</v>
      </c>
      <c r="D3838" s="25" t="s">
        <v>270</v>
      </c>
      <c r="E3838" s="25" t="s">
        <v>7601</v>
      </c>
      <c r="F3838" s="25" t="s">
        <v>9995</v>
      </c>
      <c r="G3838" s="1" t="s">
        <v>3190</v>
      </c>
      <c r="H3838" s="17">
        <v>0</v>
      </c>
      <c r="I3838" s="18">
        <v>710000000</v>
      </c>
      <c r="J3838" s="4" t="s">
        <v>1931</v>
      </c>
      <c r="K3838" s="4" t="s">
        <v>9683</v>
      </c>
      <c r="L3838" s="3" t="s">
        <v>1708</v>
      </c>
      <c r="M3838" s="8" t="s">
        <v>3195</v>
      </c>
      <c r="N3838" s="8" t="s">
        <v>1890</v>
      </c>
      <c r="O3838" s="8" t="s">
        <v>1935</v>
      </c>
      <c r="P3838" s="40" t="s">
        <v>3334</v>
      </c>
      <c r="Q3838" s="120" t="s">
        <v>5517</v>
      </c>
      <c r="R3838" s="10">
        <v>15.84</v>
      </c>
      <c r="S3838" s="10">
        <v>6785.7142860000004</v>
      </c>
      <c r="T3838" s="10">
        <f t="shared" ref="T3838" si="2577">R3838*S3838</f>
        <v>107485.71429024001</v>
      </c>
      <c r="U3838" s="10">
        <f t="shared" ref="U3838" si="2578">T3838*1.12</f>
        <v>120384.00000506882</v>
      </c>
      <c r="V3838" s="8"/>
      <c r="W3838" s="11">
        <v>2015</v>
      </c>
      <c r="X3838" s="8"/>
    </row>
    <row r="3839" spans="1:27" ht="76.5" customHeight="1" outlineLevel="1" x14ac:dyDescent="0.2">
      <c r="A3839" s="204" t="s">
        <v>10010</v>
      </c>
      <c r="B3839" s="202" t="s">
        <v>5277</v>
      </c>
      <c r="C3839" s="203" t="s">
        <v>10011</v>
      </c>
      <c r="D3839" s="203" t="s">
        <v>10012</v>
      </c>
      <c r="E3839" s="203" t="s">
        <v>10013</v>
      </c>
      <c r="F3839" s="203" t="s">
        <v>10014</v>
      </c>
      <c r="G3839" s="204" t="s">
        <v>3190</v>
      </c>
      <c r="H3839" s="205">
        <v>0</v>
      </c>
      <c r="I3839" s="206">
        <v>710000000</v>
      </c>
      <c r="J3839" s="207" t="s">
        <v>1931</v>
      </c>
      <c r="K3839" s="207" t="s">
        <v>9683</v>
      </c>
      <c r="L3839" s="207" t="s">
        <v>1889</v>
      </c>
      <c r="M3839" s="209" t="s">
        <v>3195</v>
      </c>
      <c r="N3839" s="209" t="s">
        <v>1890</v>
      </c>
      <c r="O3839" s="209" t="s">
        <v>1935</v>
      </c>
      <c r="P3839" s="224" t="s">
        <v>10015</v>
      </c>
      <c r="Q3839" s="225" t="s">
        <v>3139</v>
      </c>
      <c r="R3839" s="210">
        <v>9</v>
      </c>
      <c r="S3839" s="210">
        <v>5000</v>
      </c>
      <c r="T3839" s="210">
        <f t="shared" ref="T3839:T3840" si="2579">R3839*S3839</f>
        <v>45000</v>
      </c>
      <c r="U3839" s="210">
        <f t="shared" ref="U3839:U3840" si="2580">T3839*1.12</f>
        <v>50400.000000000007</v>
      </c>
      <c r="V3839" s="209"/>
      <c r="W3839" s="211">
        <v>2015</v>
      </c>
      <c r="X3839" s="209"/>
    </row>
    <row r="3840" spans="1:27" ht="155.25" customHeight="1" outlineLevel="1" x14ac:dyDescent="0.2">
      <c r="A3840" s="1" t="s">
        <v>10016</v>
      </c>
      <c r="B3840" s="16" t="s">
        <v>5277</v>
      </c>
      <c r="C3840" s="25" t="s">
        <v>10017</v>
      </c>
      <c r="D3840" s="25" t="s">
        <v>500</v>
      </c>
      <c r="E3840" s="25" t="s">
        <v>10018</v>
      </c>
      <c r="F3840" s="4" t="s">
        <v>10019</v>
      </c>
      <c r="G3840" s="1" t="s">
        <v>3190</v>
      </c>
      <c r="H3840" s="17">
        <v>0</v>
      </c>
      <c r="I3840" s="18">
        <v>710000000</v>
      </c>
      <c r="J3840" s="4" t="s">
        <v>1931</v>
      </c>
      <c r="K3840" s="4" t="s">
        <v>9683</v>
      </c>
      <c r="L3840" s="3" t="s">
        <v>1708</v>
      </c>
      <c r="M3840" s="8" t="s">
        <v>3195</v>
      </c>
      <c r="N3840" s="8" t="s">
        <v>1890</v>
      </c>
      <c r="O3840" s="8" t="s">
        <v>1935</v>
      </c>
      <c r="P3840" s="8">
        <v>796</v>
      </c>
      <c r="Q3840" s="8" t="s">
        <v>3196</v>
      </c>
      <c r="R3840" s="10">
        <v>6</v>
      </c>
      <c r="S3840" s="10">
        <v>30000</v>
      </c>
      <c r="T3840" s="10">
        <f t="shared" si="2579"/>
        <v>180000</v>
      </c>
      <c r="U3840" s="10">
        <f t="shared" si="2580"/>
        <v>201600.00000000003</v>
      </c>
      <c r="V3840" s="8"/>
      <c r="W3840" s="1">
        <v>2015</v>
      </c>
      <c r="X3840" s="8"/>
    </row>
    <row r="3841" spans="1:25" ht="97.5" customHeight="1" outlineLevel="1" x14ac:dyDescent="0.2">
      <c r="A3841" s="1" t="s">
        <v>10020</v>
      </c>
      <c r="B3841" s="25" t="s">
        <v>5277</v>
      </c>
      <c r="C3841" s="25" t="s">
        <v>10021</v>
      </c>
      <c r="D3841" s="25" t="s">
        <v>10022</v>
      </c>
      <c r="E3841" s="25" t="s">
        <v>10023</v>
      </c>
      <c r="F3841" s="4" t="s">
        <v>10024</v>
      </c>
      <c r="G3841" s="1" t="s">
        <v>3190</v>
      </c>
      <c r="H3841" s="17">
        <v>0</v>
      </c>
      <c r="I3841" s="18">
        <v>710000000</v>
      </c>
      <c r="J3841" s="4" t="s">
        <v>1931</v>
      </c>
      <c r="K3841" s="4" t="s">
        <v>9683</v>
      </c>
      <c r="L3841" s="3" t="s">
        <v>1708</v>
      </c>
      <c r="M3841" s="8" t="s">
        <v>3195</v>
      </c>
      <c r="N3841" s="8" t="s">
        <v>1890</v>
      </c>
      <c r="O3841" s="8" t="s">
        <v>1935</v>
      </c>
      <c r="P3841" s="8">
        <v>796</v>
      </c>
      <c r="Q3841" s="8" t="s">
        <v>3196</v>
      </c>
      <c r="R3841" s="10">
        <v>20</v>
      </c>
      <c r="S3841" s="10">
        <v>2850</v>
      </c>
      <c r="T3841" s="10">
        <f t="shared" ref="T3841" si="2581">R3841*S3841</f>
        <v>57000</v>
      </c>
      <c r="U3841" s="10">
        <f t="shared" ref="U3841" si="2582">T3841*1.12</f>
        <v>63840.000000000007</v>
      </c>
      <c r="V3841" s="8"/>
      <c r="W3841" s="1">
        <v>2015</v>
      </c>
      <c r="X3841" s="8"/>
    </row>
    <row r="3842" spans="1:25" ht="97.5" customHeight="1" outlineLevel="1" x14ac:dyDescent="0.2">
      <c r="A3842" s="1" t="s">
        <v>10025</v>
      </c>
      <c r="B3842" s="25" t="s">
        <v>5277</v>
      </c>
      <c r="C3842" s="25" t="s">
        <v>10021</v>
      </c>
      <c r="D3842" s="25" t="s">
        <v>10022</v>
      </c>
      <c r="E3842" s="25" t="s">
        <v>10023</v>
      </c>
      <c r="F3842" s="4" t="s">
        <v>10026</v>
      </c>
      <c r="G3842" s="1" t="s">
        <v>3190</v>
      </c>
      <c r="H3842" s="17">
        <v>0</v>
      </c>
      <c r="I3842" s="18">
        <v>710000000</v>
      </c>
      <c r="J3842" s="4" t="s">
        <v>1931</v>
      </c>
      <c r="K3842" s="4" t="s">
        <v>9683</v>
      </c>
      <c r="L3842" s="3" t="s">
        <v>1708</v>
      </c>
      <c r="M3842" s="8" t="s">
        <v>3195</v>
      </c>
      <c r="N3842" s="8" t="s">
        <v>1890</v>
      </c>
      <c r="O3842" s="8" t="s">
        <v>1935</v>
      </c>
      <c r="P3842" s="8">
        <v>796</v>
      </c>
      <c r="Q3842" s="8" t="s">
        <v>3196</v>
      </c>
      <c r="R3842" s="10">
        <v>20</v>
      </c>
      <c r="S3842" s="10">
        <v>2500</v>
      </c>
      <c r="T3842" s="10">
        <f t="shared" ref="T3842" si="2583">R3842*S3842</f>
        <v>50000</v>
      </c>
      <c r="U3842" s="10">
        <f t="shared" ref="U3842" si="2584">T3842*1.12</f>
        <v>56000.000000000007</v>
      </c>
      <c r="V3842" s="8"/>
      <c r="W3842" s="1">
        <v>2015</v>
      </c>
      <c r="X3842" s="8"/>
    </row>
    <row r="3843" spans="1:25" ht="97.5" customHeight="1" outlineLevel="1" x14ac:dyDescent="0.2">
      <c r="A3843" s="1" t="s">
        <v>10028</v>
      </c>
      <c r="B3843" s="24" t="s">
        <v>5277</v>
      </c>
      <c r="C3843" s="4" t="s">
        <v>10029</v>
      </c>
      <c r="D3843" s="4" t="s">
        <v>10030</v>
      </c>
      <c r="E3843" s="4" t="s">
        <v>10031</v>
      </c>
      <c r="F3843" s="4" t="s">
        <v>10032</v>
      </c>
      <c r="G3843" s="4" t="s">
        <v>3187</v>
      </c>
      <c r="H3843" s="22">
        <v>0.3</v>
      </c>
      <c r="I3843" s="18">
        <v>710000000</v>
      </c>
      <c r="J3843" s="4" t="s">
        <v>8683</v>
      </c>
      <c r="K3843" s="4" t="s">
        <v>10033</v>
      </c>
      <c r="L3843" s="7" t="s">
        <v>1708</v>
      </c>
      <c r="M3843" s="8" t="s">
        <v>3195</v>
      </c>
      <c r="N3843" s="8" t="s">
        <v>1408</v>
      </c>
      <c r="O3843" s="8" t="s">
        <v>2146</v>
      </c>
      <c r="P3843" s="8">
        <v>796</v>
      </c>
      <c r="Q3843" s="8" t="s">
        <v>3196</v>
      </c>
      <c r="R3843" s="117">
        <v>1</v>
      </c>
      <c r="S3843" s="118">
        <v>5382933.04</v>
      </c>
      <c r="T3843" s="118">
        <f>R3843*S3843</f>
        <v>5382933.04</v>
      </c>
      <c r="U3843" s="118">
        <f>T3843*1.12</f>
        <v>6028885.0048000002</v>
      </c>
      <c r="V3843" s="11" t="s">
        <v>3027</v>
      </c>
      <c r="W3843" s="11">
        <v>2015</v>
      </c>
      <c r="X3843" s="4"/>
    </row>
    <row r="3844" spans="1:25" ht="97.5" customHeight="1" outlineLevel="1" x14ac:dyDescent="0.2">
      <c r="A3844" s="1" t="s">
        <v>10034</v>
      </c>
      <c r="B3844" s="24" t="s">
        <v>5277</v>
      </c>
      <c r="C3844" s="4" t="s">
        <v>1440</v>
      </c>
      <c r="D3844" s="4" t="s">
        <v>1441</v>
      </c>
      <c r="E3844" s="4" t="s">
        <v>1442</v>
      </c>
      <c r="F3844" s="4" t="s">
        <v>10035</v>
      </c>
      <c r="G3844" s="4" t="s">
        <v>3190</v>
      </c>
      <c r="H3844" s="22">
        <v>0</v>
      </c>
      <c r="I3844" s="18">
        <v>710000000</v>
      </c>
      <c r="J3844" s="4" t="s">
        <v>8683</v>
      </c>
      <c r="K3844" s="4" t="s">
        <v>10033</v>
      </c>
      <c r="L3844" s="207" t="s">
        <v>1889</v>
      </c>
      <c r="M3844" s="8" t="s">
        <v>3195</v>
      </c>
      <c r="N3844" s="8" t="s">
        <v>1408</v>
      </c>
      <c r="O3844" s="8" t="s">
        <v>1935</v>
      </c>
      <c r="P3844" s="8">
        <v>796</v>
      </c>
      <c r="Q3844" s="8" t="s">
        <v>3196</v>
      </c>
      <c r="R3844" s="117">
        <v>100</v>
      </c>
      <c r="S3844" s="118">
        <v>196.42857140000001</v>
      </c>
      <c r="T3844" s="118">
        <f>R3844*S3844</f>
        <v>19642.85714</v>
      </c>
      <c r="U3844" s="118">
        <f>T3844*1.12</f>
        <v>21999.999996800001</v>
      </c>
      <c r="V3844" s="11"/>
      <c r="W3844" s="11">
        <v>2015</v>
      </c>
      <c r="X3844" s="4"/>
    </row>
    <row r="3845" spans="1:25" ht="174.75" customHeight="1" outlineLevel="1" x14ac:dyDescent="0.2">
      <c r="A3845" s="1" t="s">
        <v>10052</v>
      </c>
      <c r="B3845" s="24" t="s">
        <v>5277</v>
      </c>
      <c r="C3845" s="4" t="s">
        <v>10058</v>
      </c>
      <c r="D3845" s="4" t="s">
        <v>10059</v>
      </c>
      <c r="E3845" s="4" t="s">
        <v>10059</v>
      </c>
      <c r="F3845" s="4" t="s">
        <v>10060</v>
      </c>
      <c r="G3845" s="4" t="s">
        <v>3190</v>
      </c>
      <c r="H3845" s="22">
        <v>0</v>
      </c>
      <c r="I3845" s="4">
        <v>710000000</v>
      </c>
      <c r="J3845" s="4" t="s">
        <v>1931</v>
      </c>
      <c r="K3845" s="4" t="s">
        <v>10033</v>
      </c>
      <c r="L3845" s="4" t="s">
        <v>1889</v>
      </c>
      <c r="M3845" s="8" t="s">
        <v>3195</v>
      </c>
      <c r="N3845" s="4" t="s">
        <v>1890</v>
      </c>
      <c r="O3845" s="8" t="s">
        <v>1935</v>
      </c>
      <c r="P3845" s="8">
        <v>166</v>
      </c>
      <c r="Q3845" s="8" t="s">
        <v>3324</v>
      </c>
      <c r="R3845" s="117">
        <v>2.4</v>
      </c>
      <c r="S3845" s="118">
        <v>17175</v>
      </c>
      <c r="T3845" s="118">
        <f t="shared" ref="T3845:T3851" si="2585">R3845*S3845</f>
        <v>41220</v>
      </c>
      <c r="U3845" s="118">
        <f t="shared" ref="U3845:U3851" si="2586">T3845*1.12</f>
        <v>46166.400000000001</v>
      </c>
      <c r="V3845" s="11"/>
      <c r="W3845" s="11">
        <v>2015</v>
      </c>
      <c r="X3845" s="4"/>
    </row>
    <row r="3846" spans="1:25" ht="76.5" outlineLevel="1" x14ac:dyDescent="0.2">
      <c r="A3846" s="1" t="s">
        <v>10053</v>
      </c>
      <c r="B3846" s="24" t="s">
        <v>5277</v>
      </c>
      <c r="C3846" s="4" t="s">
        <v>820</v>
      </c>
      <c r="D3846" s="4" t="s">
        <v>821</v>
      </c>
      <c r="E3846" s="4" t="s">
        <v>822</v>
      </c>
      <c r="F3846" s="4" t="s">
        <v>10061</v>
      </c>
      <c r="G3846" s="4" t="s">
        <v>3190</v>
      </c>
      <c r="H3846" s="22">
        <v>0</v>
      </c>
      <c r="I3846" s="4">
        <v>710000000</v>
      </c>
      <c r="J3846" s="4" t="s">
        <v>1931</v>
      </c>
      <c r="K3846" s="4" t="s">
        <v>10033</v>
      </c>
      <c r="L3846" s="4" t="s">
        <v>1889</v>
      </c>
      <c r="M3846" s="8" t="s">
        <v>3195</v>
      </c>
      <c r="N3846" s="4" t="s">
        <v>1890</v>
      </c>
      <c r="O3846" s="8" t="s">
        <v>1935</v>
      </c>
      <c r="P3846" s="8">
        <v>778</v>
      </c>
      <c r="Q3846" s="8" t="s">
        <v>3327</v>
      </c>
      <c r="R3846" s="117">
        <v>5</v>
      </c>
      <c r="S3846" s="118">
        <v>3664</v>
      </c>
      <c r="T3846" s="118">
        <f t="shared" si="2585"/>
        <v>18320</v>
      </c>
      <c r="U3846" s="118">
        <f t="shared" si="2586"/>
        <v>20518.400000000001</v>
      </c>
      <c r="V3846" s="11"/>
      <c r="W3846" s="11">
        <v>2015</v>
      </c>
      <c r="X3846" s="4"/>
    </row>
    <row r="3847" spans="1:25" ht="140.25" outlineLevel="1" x14ac:dyDescent="0.2">
      <c r="A3847" s="1" t="s">
        <v>10054</v>
      </c>
      <c r="B3847" s="24" t="s">
        <v>5277</v>
      </c>
      <c r="C3847" s="4" t="s">
        <v>10062</v>
      </c>
      <c r="D3847" s="4" t="s">
        <v>802</v>
      </c>
      <c r="E3847" s="4" t="s">
        <v>803</v>
      </c>
      <c r="F3847" s="25" t="s">
        <v>10063</v>
      </c>
      <c r="G3847" s="4" t="s">
        <v>3190</v>
      </c>
      <c r="H3847" s="22">
        <v>0</v>
      </c>
      <c r="I3847" s="4">
        <v>710000000</v>
      </c>
      <c r="J3847" s="4" t="s">
        <v>1931</v>
      </c>
      <c r="K3847" s="4" t="s">
        <v>10033</v>
      </c>
      <c r="L3847" s="4" t="s">
        <v>1889</v>
      </c>
      <c r="M3847" s="8" t="s">
        <v>3195</v>
      </c>
      <c r="N3847" s="4" t="s">
        <v>1890</v>
      </c>
      <c r="O3847" s="8" t="s">
        <v>1935</v>
      </c>
      <c r="P3847" s="8">
        <v>112</v>
      </c>
      <c r="Q3847" s="8" t="s">
        <v>3026</v>
      </c>
      <c r="R3847" s="117">
        <v>15</v>
      </c>
      <c r="S3847" s="118">
        <v>802</v>
      </c>
      <c r="T3847" s="118">
        <f t="shared" si="2585"/>
        <v>12030</v>
      </c>
      <c r="U3847" s="118">
        <f t="shared" si="2586"/>
        <v>13473.600000000002</v>
      </c>
      <c r="V3847" s="11"/>
      <c r="W3847" s="11">
        <v>2015</v>
      </c>
      <c r="X3847" s="4"/>
    </row>
    <row r="3848" spans="1:25" ht="76.5" outlineLevel="1" x14ac:dyDescent="0.2">
      <c r="A3848" s="1" t="s">
        <v>10055</v>
      </c>
      <c r="B3848" s="24" t="s">
        <v>5277</v>
      </c>
      <c r="C3848" s="25" t="s">
        <v>820</v>
      </c>
      <c r="D3848" s="25" t="s">
        <v>821</v>
      </c>
      <c r="E3848" s="25" t="s">
        <v>822</v>
      </c>
      <c r="F3848" s="25" t="s">
        <v>10064</v>
      </c>
      <c r="G3848" s="4" t="s">
        <v>3190</v>
      </c>
      <c r="H3848" s="22">
        <v>0</v>
      </c>
      <c r="I3848" s="4">
        <v>710000000</v>
      </c>
      <c r="J3848" s="4" t="s">
        <v>1931</v>
      </c>
      <c r="K3848" s="4" t="s">
        <v>10033</v>
      </c>
      <c r="L3848" s="4" t="s">
        <v>1889</v>
      </c>
      <c r="M3848" s="8" t="s">
        <v>3195</v>
      </c>
      <c r="N3848" s="4" t="s">
        <v>1890</v>
      </c>
      <c r="O3848" s="8" t="s">
        <v>1935</v>
      </c>
      <c r="P3848" s="8">
        <v>778</v>
      </c>
      <c r="Q3848" s="8" t="s">
        <v>3327</v>
      </c>
      <c r="R3848" s="117">
        <v>5</v>
      </c>
      <c r="S3848" s="118">
        <v>343</v>
      </c>
      <c r="T3848" s="118">
        <f t="shared" si="2585"/>
        <v>1715</v>
      </c>
      <c r="U3848" s="118">
        <f t="shared" si="2586"/>
        <v>1920.8000000000002</v>
      </c>
      <c r="V3848" s="11"/>
      <c r="W3848" s="11">
        <v>2015</v>
      </c>
      <c r="X3848" s="4"/>
    </row>
    <row r="3849" spans="1:25" ht="76.5" outlineLevel="1" x14ac:dyDescent="0.2">
      <c r="A3849" s="1" t="s">
        <v>10056</v>
      </c>
      <c r="B3849" s="24" t="s">
        <v>5277</v>
      </c>
      <c r="C3849" s="4" t="s">
        <v>10065</v>
      </c>
      <c r="D3849" s="4" t="s">
        <v>806</v>
      </c>
      <c r="E3849" s="4" t="s">
        <v>10066</v>
      </c>
      <c r="F3849" s="4" t="s">
        <v>10067</v>
      </c>
      <c r="G3849" s="4" t="s">
        <v>3190</v>
      </c>
      <c r="H3849" s="22">
        <v>0</v>
      </c>
      <c r="I3849" s="4">
        <v>710000000</v>
      </c>
      <c r="J3849" s="4" t="s">
        <v>1931</v>
      </c>
      <c r="K3849" s="4" t="s">
        <v>10033</v>
      </c>
      <c r="L3849" s="4" t="s">
        <v>1889</v>
      </c>
      <c r="M3849" s="8" t="s">
        <v>3195</v>
      </c>
      <c r="N3849" s="4" t="s">
        <v>1890</v>
      </c>
      <c r="O3849" s="8" t="s">
        <v>1935</v>
      </c>
      <c r="P3849" s="8">
        <v>778</v>
      </c>
      <c r="Q3849" s="8" t="s">
        <v>3327</v>
      </c>
      <c r="R3849" s="117">
        <v>20</v>
      </c>
      <c r="S3849" s="118">
        <v>137</v>
      </c>
      <c r="T3849" s="118">
        <f t="shared" si="2585"/>
        <v>2740</v>
      </c>
      <c r="U3849" s="118">
        <f t="shared" si="2586"/>
        <v>3068.8</v>
      </c>
      <c r="V3849" s="11"/>
      <c r="W3849" s="11">
        <v>2015</v>
      </c>
      <c r="X3849" s="4"/>
    </row>
    <row r="3850" spans="1:25" ht="76.5" outlineLevel="1" x14ac:dyDescent="0.2">
      <c r="A3850" s="1" t="s">
        <v>10057</v>
      </c>
      <c r="B3850" s="24" t="s">
        <v>5277</v>
      </c>
      <c r="C3850" s="4" t="s">
        <v>10068</v>
      </c>
      <c r="D3850" s="4" t="s">
        <v>10069</v>
      </c>
      <c r="E3850" s="4" t="s">
        <v>10070</v>
      </c>
      <c r="F3850" s="4" t="s">
        <v>10071</v>
      </c>
      <c r="G3850" s="4" t="s">
        <v>3190</v>
      </c>
      <c r="H3850" s="22">
        <v>0</v>
      </c>
      <c r="I3850" s="4">
        <v>710000000</v>
      </c>
      <c r="J3850" s="4" t="s">
        <v>1931</v>
      </c>
      <c r="K3850" s="4" t="s">
        <v>10033</v>
      </c>
      <c r="L3850" s="4" t="s">
        <v>1889</v>
      </c>
      <c r="M3850" s="8" t="s">
        <v>3195</v>
      </c>
      <c r="N3850" s="4" t="s">
        <v>1890</v>
      </c>
      <c r="O3850" s="8" t="s">
        <v>1935</v>
      </c>
      <c r="P3850" s="8">
        <v>796</v>
      </c>
      <c r="Q3850" s="8" t="s">
        <v>3196</v>
      </c>
      <c r="R3850" s="117">
        <v>3</v>
      </c>
      <c r="S3850" s="118">
        <v>2290</v>
      </c>
      <c r="T3850" s="118">
        <f t="shared" si="2585"/>
        <v>6870</v>
      </c>
      <c r="U3850" s="118">
        <f t="shared" si="2586"/>
        <v>7694.4000000000005</v>
      </c>
      <c r="V3850" s="11"/>
      <c r="W3850" s="11">
        <v>2015</v>
      </c>
      <c r="X3850" s="4"/>
    </row>
    <row r="3851" spans="1:25" ht="162" customHeight="1" outlineLevel="1" x14ac:dyDescent="0.2">
      <c r="A3851" s="204" t="s">
        <v>10072</v>
      </c>
      <c r="B3851" s="202" t="s">
        <v>5277</v>
      </c>
      <c r="C3851" s="207" t="s">
        <v>9539</v>
      </c>
      <c r="D3851" s="207" t="s">
        <v>9540</v>
      </c>
      <c r="E3851" s="207" t="s">
        <v>9541</v>
      </c>
      <c r="F3851" s="207" t="s">
        <v>10073</v>
      </c>
      <c r="G3851" s="207" t="s">
        <v>3190</v>
      </c>
      <c r="H3851" s="226">
        <v>0</v>
      </c>
      <c r="I3851" s="207">
        <v>710000000</v>
      </c>
      <c r="J3851" s="207" t="s">
        <v>1931</v>
      </c>
      <c r="K3851" s="207" t="s">
        <v>10033</v>
      </c>
      <c r="L3851" s="227" t="s">
        <v>1940</v>
      </c>
      <c r="M3851" s="209" t="s">
        <v>3195</v>
      </c>
      <c r="N3851" s="207" t="s">
        <v>1890</v>
      </c>
      <c r="O3851" s="209" t="s">
        <v>1935</v>
      </c>
      <c r="P3851" s="209">
        <v>796</v>
      </c>
      <c r="Q3851" s="209" t="s">
        <v>3196</v>
      </c>
      <c r="R3851" s="228">
        <v>1</v>
      </c>
      <c r="S3851" s="229">
        <v>28714.29</v>
      </c>
      <c r="T3851" s="229">
        <f t="shared" si="2585"/>
        <v>28714.29</v>
      </c>
      <c r="U3851" s="229">
        <f t="shared" si="2586"/>
        <v>32160.004800000002</v>
      </c>
      <c r="V3851" s="211"/>
      <c r="W3851" s="211">
        <v>2015</v>
      </c>
      <c r="X3851" s="207"/>
    </row>
    <row r="3852" spans="1:25" ht="76.5" outlineLevel="1" x14ac:dyDescent="0.2">
      <c r="A3852" s="1" t="s">
        <v>10074</v>
      </c>
      <c r="B3852" s="24" t="s">
        <v>5277</v>
      </c>
      <c r="C3852" s="4" t="s">
        <v>10075</v>
      </c>
      <c r="D3852" s="4" t="s">
        <v>10076</v>
      </c>
      <c r="E3852" s="4" t="s">
        <v>10077</v>
      </c>
      <c r="F3852" s="4" t="s">
        <v>10078</v>
      </c>
      <c r="G3852" s="4" t="s">
        <v>3187</v>
      </c>
      <c r="H3852" s="22">
        <v>0</v>
      </c>
      <c r="I3852" s="4">
        <v>710000000</v>
      </c>
      <c r="J3852" s="4" t="s">
        <v>1931</v>
      </c>
      <c r="K3852" s="4" t="s">
        <v>10033</v>
      </c>
      <c r="L3852" s="4" t="s">
        <v>1940</v>
      </c>
      <c r="M3852" s="8" t="s">
        <v>3195</v>
      </c>
      <c r="N3852" s="4" t="s">
        <v>1890</v>
      </c>
      <c r="O3852" s="8" t="s">
        <v>1935</v>
      </c>
      <c r="P3852" s="8">
        <v>796</v>
      </c>
      <c r="Q3852" s="8" t="s">
        <v>3196</v>
      </c>
      <c r="R3852" s="117">
        <v>1</v>
      </c>
      <c r="S3852" s="118">
        <v>6734375</v>
      </c>
      <c r="T3852" s="118">
        <v>6734375</v>
      </c>
      <c r="U3852" s="118">
        <v>7542500</v>
      </c>
      <c r="V3852" s="11"/>
      <c r="W3852" s="11">
        <v>2015</v>
      </c>
      <c r="X3852" s="4"/>
    </row>
    <row r="3853" spans="1:25" s="61" customFormat="1" ht="127.5" customHeight="1" outlineLevel="1" x14ac:dyDescent="0.2">
      <c r="A3853" s="1" t="s">
        <v>10092</v>
      </c>
      <c r="B3853" s="38" t="s">
        <v>5277</v>
      </c>
      <c r="C3853" s="18" t="s">
        <v>9736</v>
      </c>
      <c r="D3853" s="18" t="s">
        <v>52</v>
      </c>
      <c r="E3853" s="18" t="s">
        <v>9737</v>
      </c>
      <c r="F3853" s="18" t="s">
        <v>10093</v>
      </c>
      <c r="G3853" s="4" t="s">
        <v>3190</v>
      </c>
      <c r="H3853" s="5">
        <v>0</v>
      </c>
      <c r="I3853" s="6">
        <v>710000000</v>
      </c>
      <c r="J3853" s="4" t="s">
        <v>1931</v>
      </c>
      <c r="K3853" s="53" t="s">
        <v>10033</v>
      </c>
      <c r="L3853" s="18" t="s">
        <v>1708</v>
      </c>
      <c r="M3853" s="53" t="s">
        <v>3195</v>
      </c>
      <c r="N3853" s="53" t="s">
        <v>1890</v>
      </c>
      <c r="O3853" s="8" t="s">
        <v>1935</v>
      </c>
      <c r="P3853" s="1">
        <v>796</v>
      </c>
      <c r="Q3853" s="53" t="s">
        <v>3196</v>
      </c>
      <c r="R3853" s="9">
        <v>3</v>
      </c>
      <c r="S3853" s="10">
        <v>64727.68</v>
      </c>
      <c r="T3853" s="10">
        <f t="shared" ref="T3853:T3854" si="2587">S3853*R3853</f>
        <v>194183.04000000001</v>
      </c>
      <c r="U3853" s="10">
        <f t="shared" ref="U3853:U3861" si="2588">T3853*1.12</f>
        <v>217485.00480000002</v>
      </c>
      <c r="V3853" s="19"/>
      <c r="W3853" s="11">
        <v>2015</v>
      </c>
      <c r="X3853" s="12"/>
      <c r="Y3853" s="21"/>
    </row>
    <row r="3854" spans="1:25" s="61" customFormat="1" ht="242.25" customHeight="1" outlineLevel="1" x14ac:dyDescent="0.2">
      <c r="A3854" s="1" t="s">
        <v>10094</v>
      </c>
      <c r="B3854" s="38" t="s">
        <v>5277</v>
      </c>
      <c r="C3854" s="18" t="s">
        <v>9736</v>
      </c>
      <c r="D3854" s="18" t="s">
        <v>52</v>
      </c>
      <c r="E3854" s="18" t="s">
        <v>9737</v>
      </c>
      <c r="F3854" s="18" t="s">
        <v>10095</v>
      </c>
      <c r="G3854" s="4" t="s">
        <v>3190</v>
      </c>
      <c r="H3854" s="5">
        <v>0</v>
      </c>
      <c r="I3854" s="6">
        <v>710000000</v>
      </c>
      <c r="J3854" s="4" t="s">
        <v>1931</v>
      </c>
      <c r="K3854" s="53" t="s">
        <v>10033</v>
      </c>
      <c r="L3854" s="3" t="s">
        <v>1889</v>
      </c>
      <c r="M3854" s="53" t="s">
        <v>3195</v>
      </c>
      <c r="N3854" s="53" t="s">
        <v>1890</v>
      </c>
      <c r="O3854" s="8" t="s">
        <v>1935</v>
      </c>
      <c r="P3854" s="1">
        <v>796</v>
      </c>
      <c r="Q3854" s="53" t="s">
        <v>3196</v>
      </c>
      <c r="R3854" s="9">
        <v>2</v>
      </c>
      <c r="S3854" s="10">
        <v>182008.93</v>
      </c>
      <c r="T3854" s="10">
        <f t="shared" si="2587"/>
        <v>364017.86</v>
      </c>
      <c r="U3854" s="10">
        <f t="shared" si="2588"/>
        <v>407700.00320000004</v>
      </c>
      <c r="V3854" s="19"/>
      <c r="W3854" s="11">
        <v>2015</v>
      </c>
      <c r="X3854" s="12"/>
      <c r="Y3854" s="21"/>
    </row>
    <row r="3855" spans="1:25" s="28" customFormat="1" ht="242.25" customHeight="1" x14ac:dyDescent="0.2">
      <c r="A3855" s="1" t="s">
        <v>10096</v>
      </c>
      <c r="B3855" s="4" t="s">
        <v>5277</v>
      </c>
      <c r="C3855" s="4" t="s">
        <v>10097</v>
      </c>
      <c r="D3855" s="4" t="s">
        <v>10098</v>
      </c>
      <c r="E3855" s="4" t="s">
        <v>10099</v>
      </c>
      <c r="F3855" s="4" t="s">
        <v>10100</v>
      </c>
      <c r="G3855" s="4" t="s">
        <v>3190</v>
      </c>
      <c r="H3855" s="5">
        <v>0</v>
      </c>
      <c r="I3855" s="6">
        <v>710000000</v>
      </c>
      <c r="J3855" s="4" t="s">
        <v>1931</v>
      </c>
      <c r="K3855" s="144" t="s">
        <v>10033</v>
      </c>
      <c r="L3855" s="18" t="s">
        <v>1708</v>
      </c>
      <c r="M3855" s="144" t="s">
        <v>3195</v>
      </c>
      <c r="N3855" s="144" t="s">
        <v>1890</v>
      </c>
      <c r="O3855" s="8" t="s">
        <v>1935</v>
      </c>
      <c r="P3855" s="1">
        <v>796</v>
      </c>
      <c r="Q3855" s="144" t="s">
        <v>3196</v>
      </c>
      <c r="R3855" s="26">
        <v>1</v>
      </c>
      <c r="S3855" s="26">
        <v>29241.071</v>
      </c>
      <c r="T3855" s="26">
        <f t="shared" ref="T3855:T3861" si="2589">R3855*S3855</f>
        <v>29241.071</v>
      </c>
      <c r="U3855" s="26">
        <f t="shared" si="2588"/>
        <v>32749.999520000001</v>
      </c>
      <c r="V3855" s="26"/>
      <c r="W3855" s="1">
        <v>2015</v>
      </c>
      <c r="X3855" s="27"/>
    </row>
    <row r="3856" spans="1:25" s="28" customFormat="1" ht="140.25" customHeight="1" x14ac:dyDescent="0.2">
      <c r="A3856" s="1" t="s">
        <v>10101</v>
      </c>
      <c r="B3856" s="4" t="s">
        <v>5277</v>
      </c>
      <c r="C3856" s="4" t="s">
        <v>10097</v>
      </c>
      <c r="D3856" s="4" t="s">
        <v>10098</v>
      </c>
      <c r="E3856" s="4" t="s">
        <v>10099</v>
      </c>
      <c r="F3856" s="4" t="s">
        <v>10102</v>
      </c>
      <c r="G3856" s="4" t="s">
        <v>3190</v>
      </c>
      <c r="H3856" s="5">
        <v>0</v>
      </c>
      <c r="I3856" s="6">
        <v>710000000</v>
      </c>
      <c r="J3856" s="4" t="s">
        <v>1931</v>
      </c>
      <c r="K3856" s="144" t="s">
        <v>10033</v>
      </c>
      <c r="L3856" s="18" t="s">
        <v>1708</v>
      </c>
      <c r="M3856" s="144" t="s">
        <v>3195</v>
      </c>
      <c r="N3856" s="144" t="s">
        <v>1890</v>
      </c>
      <c r="O3856" s="8" t="s">
        <v>1935</v>
      </c>
      <c r="P3856" s="1">
        <v>796</v>
      </c>
      <c r="Q3856" s="144" t="s">
        <v>3196</v>
      </c>
      <c r="R3856" s="26">
        <v>1</v>
      </c>
      <c r="S3856" s="26">
        <v>198303.571</v>
      </c>
      <c r="T3856" s="26">
        <f t="shared" si="2589"/>
        <v>198303.571</v>
      </c>
      <c r="U3856" s="26">
        <f t="shared" si="2588"/>
        <v>222099.99952000001</v>
      </c>
      <c r="V3856" s="26"/>
      <c r="W3856" s="1">
        <v>2015</v>
      </c>
      <c r="X3856" s="27"/>
    </row>
    <row r="3857" spans="1:27" s="28" customFormat="1" ht="140.25" customHeight="1" x14ac:dyDescent="0.2">
      <c r="A3857" s="1" t="s">
        <v>10103</v>
      </c>
      <c r="B3857" s="4" t="s">
        <v>5277</v>
      </c>
      <c r="C3857" s="4" t="s">
        <v>239</v>
      </c>
      <c r="D3857" s="4" t="s">
        <v>238</v>
      </c>
      <c r="E3857" s="4" t="s">
        <v>237</v>
      </c>
      <c r="F3857" s="4" t="s">
        <v>10104</v>
      </c>
      <c r="G3857" s="4" t="s">
        <v>3190</v>
      </c>
      <c r="H3857" s="5">
        <v>0</v>
      </c>
      <c r="I3857" s="6">
        <v>710000000</v>
      </c>
      <c r="J3857" s="4" t="s">
        <v>1931</v>
      </c>
      <c r="K3857" s="144" t="s">
        <v>10033</v>
      </c>
      <c r="L3857" s="18" t="s">
        <v>1708</v>
      </c>
      <c r="M3857" s="144" t="s">
        <v>3195</v>
      </c>
      <c r="N3857" s="144" t="s">
        <v>1890</v>
      </c>
      <c r="O3857" s="8" t="s">
        <v>1935</v>
      </c>
      <c r="P3857" s="1">
        <v>796</v>
      </c>
      <c r="Q3857" s="144" t="s">
        <v>3196</v>
      </c>
      <c r="R3857" s="26">
        <v>1</v>
      </c>
      <c r="S3857" s="26">
        <v>36383.93</v>
      </c>
      <c r="T3857" s="26">
        <f t="shared" si="2589"/>
        <v>36383.93</v>
      </c>
      <c r="U3857" s="26">
        <f t="shared" si="2588"/>
        <v>40750.001600000003</v>
      </c>
      <c r="V3857" s="8"/>
      <c r="W3857" s="1">
        <v>2015</v>
      </c>
      <c r="X3857" s="27"/>
    </row>
    <row r="3858" spans="1:27" s="61" customFormat="1" ht="114.75" customHeight="1" x14ac:dyDescent="0.2">
      <c r="A3858" s="1" t="s">
        <v>10105</v>
      </c>
      <c r="B3858" s="4" t="s">
        <v>5277</v>
      </c>
      <c r="C3858" s="4" t="s">
        <v>239</v>
      </c>
      <c r="D3858" s="4" t="s">
        <v>238</v>
      </c>
      <c r="E3858" s="4" t="s">
        <v>237</v>
      </c>
      <c r="F3858" s="4" t="s">
        <v>10106</v>
      </c>
      <c r="G3858" s="4" t="s">
        <v>3190</v>
      </c>
      <c r="H3858" s="5">
        <v>0</v>
      </c>
      <c r="I3858" s="6">
        <v>710000000</v>
      </c>
      <c r="J3858" s="4" t="s">
        <v>1931</v>
      </c>
      <c r="K3858" s="144" t="s">
        <v>10033</v>
      </c>
      <c r="L3858" s="18" t="s">
        <v>1708</v>
      </c>
      <c r="M3858" s="144" t="s">
        <v>3195</v>
      </c>
      <c r="N3858" s="144" t="s">
        <v>1890</v>
      </c>
      <c r="O3858" s="8" t="s">
        <v>1935</v>
      </c>
      <c r="P3858" s="1">
        <v>796</v>
      </c>
      <c r="Q3858" s="144" t="s">
        <v>3196</v>
      </c>
      <c r="R3858" s="26">
        <v>1</v>
      </c>
      <c r="S3858" s="26">
        <v>57008.93</v>
      </c>
      <c r="T3858" s="26">
        <f t="shared" si="2589"/>
        <v>57008.93</v>
      </c>
      <c r="U3858" s="26">
        <f t="shared" si="2588"/>
        <v>63850.001600000003</v>
      </c>
      <c r="V3858" s="26"/>
      <c r="W3858" s="1">
        <v>2015</v>
      </c>
      <c r="X3858" s="243"/>
    </row>
    <row r="3859" spans="1:27" s="245" customFormat="1" ht="114.75" customHeight="1" x14ac:dyDescent="0.2">
      <c r="A3859" s="1" t="s">
        <v>10107</v>
      </c>
      <c r="B3859" s="4" t="s">
        <v>5277</v>
      </c>
      <c r="C3859" s="4" t="s">
        <v>10108</v>
      </c>
      <c r="D3859" s="4" t="s">
        <v>10109</v>
      </c>
      <c r="E3859" s="4" t="s">
        <v>10110</v>
      </c>
      <c r="F3859" s="4" t="s">
        <v>10111</v>
      </c>
      <c r="G3859" s="4" t="s">
        <v>3190</v>
      </c>
      <c r="H3859" s="5">
        <v>0</v>
      </c>
      <c r="I3859" s="6">
        <v>710000000</v>
      </c>
      <c r="J3859" s="4" t="s">
        <v>1931</v>
      </c>
      <c r="K3859" s="144" t="s">
        <v>10033</v>
      </c>
      <c r="L3859" s="18" t="s">
        <v>1708</v>
      </c>
      <c r="M3859" s="144" t="s">
        <v>3195</v>
      </c>
      <c r="N3859" s="144" t="s">
        <v>1890</v>
      </c>
      <c r="O3859" s="8" t="s">
        <v>1935</v>
      </c>
      <c r="P3859" s="1">
        <v>796</v>
      </c>
      <c r="Q3859" s="144" t="s">
        <v>3196</v>
      </c>
      <c r="R3859" s="26">
        <v>3</v>
      </c>
      <c r="S3859" s="26">
        <v>70491.070000000007</v>
      </c>
      <c r="T3859" s="26">
        <f t="shared" si="2589"/>
        <v>211473.21000000002</v>
      </c>
      <c r="U3859" s="26">
        <f t="shared" si="2588"/>
        <v>236849.99520000003</v>
      </c>
      <c r="V3859" s="26"/>
      <c r="W3859" s="1">
        <v>2015</v>
      </c>
      <c r="X3859" s="244"/>
    </row>
    <row r="3860" spans="1:27" s="245" customFormat="1" ht="76.5" customHeight="1" x14ac:dyDescent="0.2">
      <c r="A3860" s="1" t="s">
        <v>10112</v>
      </c>
      <c r="B3860" s="4" t="s">
        <v>5277</v>
      </c>
      <c r="C3860" s="4" t="s">
        <v>2268</v>
      </c>
      <c r="D3860" s="4" t="s">
        <v>5529</v>
      </c>
      <c r="E3860" s="4" t="s">
        <v>5561</v>
      </c>
      <c r="F3860" s="4" t="s">
        <v>10113</v>
      </c>
      <c r="G3860" s="4" t="s">
        <v>3190</v>
      </c>
      <c r="H3860" s="5">
        <v>0</v>
      </c>
      <c r="I3860" s="6">
        <v>710000000</v>
      </c>
      <c r="J3860" s="4" t="s">
        <v>1931</v>
      </c>
      <c r="K3860" s="144" t="s">
        <v>10033</v>
      </c>
      <c r="L3860" s="18" t="s">
        <v>1708</v>
      </c>
      <c r="M3860" s="144" t="s">
        <v>3195</v>
      </c>
      <c r="N3860" s="144" t="s">
        <v>1890</v>
      </c>
      <c r="O3860" s="8" t="s">
        <v>1935</v>
      </c>
      <c r="P3860" s="1">
        <v>796</v>
      </c>
      <c r="Q3860" s="144" t="s">
        <v>3196</v>
      </c>
      <c r="R3860" s="26">
        <v>10</v>
      </c>
      <c r="S3860" s="26">
        <v>7857.143</v>
      </c>
      <c r="T3860" s="26">
        <f t="shared" si="2589"/>
        <v>78571.429999999993</v>
      </c>
      <c r="U3860" s="26">
        <f t="shared" si="2588"/>
        <v>88000.001600000003</v>
      </c>
      <c r="V3860" s="8"/>
      <c r="W3860" s="1">
        <v>2015</v>
      </c>
      <c r="X3860" s="244"/>
    </row>
    <row r="3861" spans="1:27" s="245" customFormat="1" ht="111" customHeight="1" x14ac:dyDescent="0.2">
      <c r="A3861" s="1" t="s">
        <v>10114</v>
      </c>
      <c r="B3861" s="4" t="s">
        <v>5277</v>
      </c>
      <c r="C3861" s="4" t="s">
        <v>10115</v>
      </c>
      <c r="D3861" s="4" t="s">
        <v>10116</v>
      </c>
      <c r="E3861" s="4" t="s">
        <v>10117</v>
      </c>
      <c r="F3861" s="4" t="s">
        <v>10118</v>
      </c>
      <c r="G3861" s="4" t="s">
        <v>3190</v>
      </c>
      <c r="H3861" s="5">
        <v>0</v>
      </c>
      <c r="I3861" s="6">
        <v>710000000</v>
      </c>
      <c r="J3861" s="4" t="s">
        <v>1931</v>
      </c>
      <c r="K3861" s="144" t="s">
        <v>10033</v>
      </c>
      <c r="L3861" s="18" t="s">
        <v>1708</v>
      </c>
      <c r="M3861" s="144" t="s">
        <v>3195</v>
      </c>
      <c r="N3861" s="144" t="s">
        <v>1890</v>
      </c>
      <c r="O3861" s="8" t="s">
        <v>1935</v>
      </c>
      <c r="P3861" s="1">
        <v>55</v>
      </c>
      <c r="Q3861" s="144" t="s">
        <v>5517</v>
      </c>
      <c r="R3861" s="26">
        <v>150</v>
      </c>
      <c r="S3861" s="26">
        <v>11666.4881</v>
      </c>
      <c r="T3861" s="26">
        <f t="shared" si="2589"/>
        <v>1749973.2150000001</v>
      </c>
      <c r="U3861" s="26">
        <f t="shared" si="2588"/>
        <v>1959970.0008000003</v>
      </c>
      <c r="V3861" s="8"/>
      <c r="W3861" s="1">
        <v>2015</v>
      </c>
      <c r="X3861" s="244"/>
      <c r="AA3861" s="246"/>
    </row>
    <row r="3862" spans="1:27" s="23" customFormat="1" ht="162" customHeight="1" x14ac:dyDescent="0.2">
      <c r="A3862" s="1" t="s">
        <v>10119</v>
      </c>
      <c r="B3862" s="38" t="s">
        <v>5277</v>
      </c>
      <c r="C3862" s="3" t="s">
        <v>6923</v>
      </c>
      <c r="D3862" s="3" t="s">
        <v>6924</v>
      </c>
      <c r="E3862" s="3" t="s">
        <v>6925</v>
      </c>
      <c r="F3862" s="3" t="s">
        <v>10120</v>
      </c>
      <c r="G3862" s="4" t="s">
        <v>3190</v>
      </c>
      <c r="H3862" s="5">
        <v>0</v>
      </c>
      <c r="I3862" s="6">
        <v>710000000</v>
      </c>
      <c r="J3862" s="4" t="s">
        <v>1931</v>
      </c>
      <c r="K3862" s="144" t="s">
        <v>10033</v>
      </c>
      <c r="L3862" s="7" t="s">
        <v>1708</v>
      </c>
      <c r="M3862" s="8" t="s">
        <v>3195</v>
      </c>
      <c r="N3862" s="3" t="s">
        <v>1890</v>
      </c>
      <c r="O3862" s="8" t="s">
        <v>1935</v>
      </c>
      <c r="P3862" s="8">
        <v>796</v>
      </c>
      <c r="Q3862" s="8" t="s">
        <v>3196</v>
      </c>
      <c r="R3862" s="9">
        <v>3</v>
      </c>
      <c r="S3862" s="9">
        <v>71428.570999999996</v>
      </c>
      <c r="T3862" s="10">
        <f>R3862*S3862</f>
        <v>214285.71299999999</v>
      </c>
      <c r="U3862" s="10">
        <f>T3862*1.12</f>
        <v>239999.99856000001</v>
      </c>
      <c r="V3862" s="8"/>
      <c r="W3862" s="11">
        <v>2015</v>
      </c>
      <c r="X3862" s="12"/>
    </row>
    <row r="3863" spans="1:27" s="23" customFormat="1" ht="162" customHeight="1" x14ac:dyDescent="0.2">
      <c r="A3863" s="1" t="s">
        <v>10121</v>
      </c>
      <c r="B3863" s="38" t="s">
        <v>5277</v>
      </c>
      <c r="C3863" s="3" t="s">
        <v>6923</v>
      </c>
      <c r="D3863" s="3" t="s">
        <v>6924</v>
      </c>
      <c r="E3863" s="3" t="s">
        <v>6925</v>
      </c>
      <c r="F3863" s="3" t="s">
        <v>10122</v>
      </c>
      <c r="G3863" s="4" t="s">
        <v>3190</v>
      </c>
      <c r="H3863" s="5">
        <v>0</v>
      </c>
      <c r="I3863" s="6">
        <v>710000000</v>
      </c>
      <c r="J3863" s="4" t="s">
        <v>1931</v>
      </c>
      <c r="K3863" s="4" t="s">
        <v>10033</v>
      </c>
      <c r="L3863" s="7" t="s">
        <v>1708</v>
      </c>
      <c r="M3863" s="8" t="s">
        <v>3195</v>
      </c>
      <c r="N3863" s="3" t="s">
        <v>1890</v>
      </c>
      <c r="O3863" s="8" t="s">
        <v>1935</v>
      </c>
      <c r="P3863" s="8">
        <v>796</v>
      </c>
      <c r="Q3863" s="8" t="s">
        <v>3196</v>
      </c>
      <c r="R3863" s="9">
        <v>3</v>
      </c>
      <c r="S3863" s="9">
        <v>48214.286</v>
      </c>
      <c r="T3863" s="10">
        <f>R3863*S3863</f>
        <v>144642.85800000001</v>
      </c>
      <c r="U3863" s="10">
        <f>T3863*1.12</f>
        <v>162000.00096000003</v>
      </c>
      <c r="V3863" s="56"/>
      <c r="W3863" s="11">
        <v>2015</v>
      </c>
      <c r="X3863" s="12"/>
    </row>
    <row r="3864" spans="1:27" ht="202.5" customHeight="1" outlineLevel="1" x14ac:dyDescent="0.2">
      <c r="A3864" s="1" t="s">
        <v>10123</v>
      </c>
      <c r="B3864" s="15" t="s">
        <v>5277</v>
      </c>
      <c r="C3864" s="18" t="s">
        <v>6759</v>
      </c>
      <c r="D3864" s="18" t="s">
        <v>6760</v>
      </c>
      <c r="E3864" s="18" t="s">
        <v>6761</v>
      </c>
      <c r="F3864" s="18" t="s">
        <v>10124</v>
      </c>
      <c r="G3864" s="4" t="s">
        <v>1888</v>
      </c>
      <c r="H3864" s="17">
        <v>0.4</v>
      </c>
      <c r="I3864" s="18">
        <v>710000000</v>
      </c>
      <c r="J3864" s="4" t="s">
        <v>1931</v>
      </c>
      <c r="K3864" s="4" t="s">
        <v>10033</v>
      </c>
      <c r="L3864" s="7" t="s">
        <v>5668</v>
      </c>
      <c r="M3864" s="8" t="s">
        <v>3195</v>
      </c>
      <c r="N3864" s="4" t="s">
        <v>1890</v>
      </c>
      <c r="O3864" s="16" t="s">
        <v>1935</v>
      </c>
      <c r="P3864" s="8">
        <v>796</v>
      </c>
      <c r="Q3864" s="8" t="s">
        <v>3196</v>
      </c>
      <c r="R3864" s="26">
        <v>33</v>
      </c>
      <c r="S3864" s="19">
        <v>14499.86</v>
      </c>
      <c r="T3864" s="10">
        <f t="shared" ref="T3864:T3865" si="2590">S3864*R3864</f>
        <v>478495.38</v>
      </c>
      <c r="U3864" s="10">
        <f t="shared" ref="U3864:U3866" si="2591">T3864*1.12</f>
        <v>535914.8256000001</v>
      </c>
      <c r="V3864" s="56"/>
      <c r="W3864" s="11">
        <v>2015</v>
      </c>
      <c r="X3864" s="20"/>
    </row>
    <row r="3865" spans="1:27" ht="202.5" customHeight="1" outlineLevel="1" x14ac:dyDescent="0.2">
      <c r="A3865" s="1" t="s">
        <v>10125</v>
      </c>
      <c r="B3865" s="15" t="s">
        <v>5277</v>
      </c>
      <c r="C3865" s="18" t="s">
        <v>1375</v>
      </c>
      <c r="D3865" s="18" t="s">
        <v>6466</v>
      </c>
      <c r="E3865" s="18" t="s">
        <v>6467</v>
      </c>
      <c r="F3865" s="18" t="s">
        <v>10126</v>
      </c>
      <c r="G3865" s="4" t="s">
        <v>1888</v>
      </c>
      <c r="H3865" s="17">
        <v>0.4</v>
      </c>
      <c r="I3865" s="18">
        <v>710000000</v>
      </c>
      <c r="J3865" s="4" t="s">
        <v>1931</v>
      </c>
      <c r="K3865" s="4" t="s">
        <v>10033</v>
      </c>
      <c r="L3865" s="7" t="s">
        <v>5668</v>
      </c>
      <c r="M3865" s="8" t="s">
        <v>3195</v>
      </c>
      <c r="N3865" s="4" t="s">
        <v>1890</v>
      </c>
      <c r="O3865" s="16" t="s">
        <v>1935</v>
      </c>
      <c r="P3865" s="8">
        <v>839</v>
      </c>
      <c r="Q3865" s="8" t="s">
        <v>5413</v>
      </c>
      <c r="R3865" s="26">
        <v>3</v>
      </c>
      <c r="S3865" s="19">
        <v>15000</v>
      </c>
      <c r="T3865" s="10">
        <f t="shared" si="2590"/>
        <v>45000</v>
      </c>
      <c r="U3865" s="10">
        <f t="shared" si="2591"/>
        <v>50400.000000000007</v>
      </c>
      <c r="V3865" s="56"/>
      <c r="W3865" s="11">
        <v>2015</v>
      </c>
      <c r="X3865" s="20"/>
    </row>
    <row r="3866" spans="1:27" s="61" customFormat="1" ht="76.5" customHeight="1" outlineLevel="1" x14ac:dyDescent="0.2">
      <c r="A3866" s="1" t="s">
        <v>10170</v>
      </c>
      <c r="B3866" s="24" t="s">
        <v>5277</v>
      </c>
      <c r="C3866" s="22" t="s">
        <v>8361</v>
      </c>
      <c r="D3866" s="22" t="s">
        <v>2789</v>
      </c>
      <c r="E3866" s="22" t="s">
        <v>8362</v>
      </c>
      <c r="F3866" s="22" t="s">
        <v>10172</v>
      </c>
      <c r="G3866" s="1" t="s">
        <v>3190</v>
      </c>
      <c r="H3866" s="17">
        <v>0</v>
      </c>
      <c r="I3866" s="18">
        <v>710000000</v>
      </c>
      <c r="J3866" s="4" t="s">
        <v>1931</v>
      </c>
      <c r="K3866" s="8" t="s">
        <v>10033</v>
      </c>
      <c r="L3866" s="3" t="s">
        <v>1940</v>
      </c>
      <c r="M3866" s="8" t="s">
        <v>3195</v>
      </c>
      <c r="N3866" s="8" t="s">
        <v>7635</v>
      </c>
      <c r="O3866" s="8" t="s">
        <v>1935</v>
      </c>
      <c r="P3866" s="1">
        <v>796</v>
      </c>
      <c r="Q3866" s="4" t="s">
        <v>3196</v>
      </c>
      <c r="R3866" s="10">
        <v>3</v>
      </c>
      <c r="S3866" s="10">
        <v>163392.85709999999</v>
      </c>
      <c r="T3866" s="10">
        <f t="shared" ref="T3866" si="2592">R3866*S3866</f>
        <v>490178.57129999995</v>
      </c>
      <c r="U3866" s="10">
        <f t="shared" si="2591"/>
        <v>548999.99985599995</v>
      </c>
      <c r="V3866" s="8"/>
      <c r="W3866" s="1">
        <v>2015</v>
      </c>
      <c r="X3866" s="8"/>
      <c r="Y3866" s="21"/>
    </row>
    <row r="3867" spans="1:27" s="61" customFormat="1" ht="76.5" customHeight="1" outlineLevel="1" x14ac:dyDescent="0.2">
      <c r="A3867" s="1" t="s">
        <v>10171</v>
      </c>
      <c r="B3867" s="24" t="s">
        <v>5277</v>
      </c>
      <c r="C3867" s="22" t="s">
        <v>10156</v>
      </c>
      <c r="D3867" s="22" t="s">
        <v>10157</v>
      </c>
      <c r="E3867" s="22" t="s">
        <v>10157</v>
      </c>
      <c r="F3867" s="22" t="s">
        <v>10158</v>
      </c>
      <c r="G3867" s="1" t="s">
        <v>3190</v>
      </c>
      <c r="H3867" s="17">
        <v>0</v>
      </c>
      <c r="I3867" s="18">
        <v>710000000</v>
      </c>
      <c r="J3867" s="4" t="s">
        <v>1931</v>
      </c>
      <c r="K3867" s="8" t="s">
        <v>10033</v>
      </c>
      <c r="L3867" s="3" t="s">
        <v>1940</v>
      </c>
      <c r="M3867" s="8" t="s">
        <v>3195</v>
      </c>
      <c r="N3867" s="8" t="s">
        <v>7635</v>
      </c>
      <c r="O3867" s="8" t="s">
        <v>1935</v>
      </c>
      <c r="P3867" s="1">
        <v>796</v>
      </c>
      <c r="Q3867" s="4" t="s">
        <v>3196</v>
      </c>
      <c r="R3867" s="10">
        <v>1</v>
      </c>
      <c r="S3867" s="10">
        <v>21428.57143</v>
      </c>
      <c r="T3867" s="10">
        <v>21428.57143</v>
      </c>
      <c r="U3867" s="10">
        <f t="shared" ref="U3867" si="2593">T3867*1.12</f>
        <v>24000.000001600001</v>
      </c>
      <c r="V3867" s="8"/>
      <c r="W3867" s="1">
        <v>2015</v>
      </c>
      <c r="X3867" s="8"/>
      <c r="Y3867" s="21"/>
    </row>
    <row r="3868" spans="1:27" s="61" customFormat="1" ht="76.5" customHeight="1" outlineLevel="1" x14ac:dyDescent="0.2">
      <c r="A3868" s="1" t="s">
        <v>10177</v>
      </c>
      <c r="B3868" s="24" t="s">
        <v>5277</v>
      </c>
      <c r="C3868" s="22" t="s">
        <v>10178</v>
      </c>
      <c r="D3868" s="22" t="s">
        <v>270</v>
      </c>
      <c r="E3868" s="22" t="s">
        <v>10179</v>
      </c>
      <c r="F3868" s="22" t="s">
        <v>10180</v>
      </c>
      <c r="G3868" s="1" t="s">
        <v>3190</v>
      </c>
      <c r="H3868" s="17">
        <v>0</v>
      </c>
      <c r="I3868" s="18">
        <v>710000000</v>
      </c>
      <c r="J3868" s="4" t="s">
        <v>1931</v>
      </c>
      <c r="K3868" s="8" t="s">
        <v>10033</v>
      </c>
      <c r="L3868" s="3" t="s">
        <v>1940</v>
      </c>
      <c r="M3868" s="8" t="s">
        <v>3195</v>
      </c>
      <c r="N3868" s="8" t="s">
        <v>7635</v>
      </c>
      <c r="O3868" s="8" t="s">
        <v>1935</v>
      </c>
      <c r="P3868" s="1">
        <v>55</v>
      </c>
      <c r="Q3868" s="4" t="s">
        <v>5517</v>
      </c>
      <c r="R3868" s="10">
        <v>75.2</v>
      </c>
      <c r="S3868" s="10">
        <v>3258.9285709999999</v>
      </c>
      <c r="T3868" s="10">
        <f t="shared" ref="T3868" si="2594">R3868*S3868</f>
        <v>245071.42853920002</v>
      </c>
      <c r="U3868" s="10">
        <f t="shared" ref="U3868" si="2595">T3868*1.12</f>
        <v>274479.99996390403</v>
      </c>
      <c r="V3868" s="8"/>
      <c r="W3868" s="1">
        <v>2015</v>
      </c>
      <c r="X3868" s="8"/>
      <c r="Y3868" s="21"/>
    </row>
    <row r="3869" spans="1:27" s="61" customFormat="1" ht="76.5" customHeight="1" outlineLevel="1" x14ac:dyDescent="0.2">
      <c r="A3869" s="1" t="s">
        <v>10209</v>
      </c>
      <c r="B3869" s="24" t="s">
        <v>5277</v>
      </c>
      <c r="C3869" s="22" t="s">
        <v>10190</v>
      </c>
      <c r="D3869" s="22" t="s">
        <v>10116</v>
      </c>
      <c r="E3869" s="22" t="s">
        <v>10191</v>
      </c>
      <c r="F3869" s="22" t="s">
        <v>10192</v>
      </c>
      <c r="G3869" s="1" t="s">
        <v>3190</v>
      </c>
      <c r="H3869" s="17">
        <v>0</v>
      </c>
      <c r="I3869" s="18">
        <v>710000000</v>
      </c>
      <c r="J3869" s="4" t="s">
        <v>1931</v>
      </c>
      <c r="K3869" s="8" t="s">
        <v>10033</v>
      </c>
      <c r="L3869" s="18" t="s">
        <v>1708</v>
      </c>
      <c r="M3869" s="8" t="s">
        <v>3195</v>
      </c>
      <c r="N3869" s="8" t="s">
        <v>7635</v>
      </c>
      <c r="O3869" s="8" t="s">
        <v>1935</v>
      </c>
      <c r="P3869" s="1">
        <v>55</v>
      </c>
      <c r="Q3869" s="4" t="s">
        <v>5517</v>
      </c>
      <c r="R3869" s="10">
        <v>152</v>
      </c>
      <c r="S3869" s="10">
        <v>3214.2856999999999</v>
      </c>
      <c r="T3869" s="10">
        <f t="shared" ref="T3869:T3870" si="2596">R3869*S3869</f>
        <v>488571.4264</v>
      </c>
      <c r="U3869" s="10">
        <f t="shared" ref="U3869:U3870" si="2597">T3869*1.12</f>
        <v>547199.99756799999</v>
      </c>
      <c r="V3869" s="8"/>
      <c r="W3869" s="1">
        <v>2015</v>
      </c>
      <c r="X3869" s="8"/>
      <c r="Y3869" s="21"/>
    </row>
    <row r="3870" spans="1:27" s="61" customFormat="1" ht="76.5" customHeight="1" outlineLevel="1" x14ac:dyDescent="0.2">
      <c r="A3870" s="1" t="s">
        <v>10193</v>
      </c>
      <c r="B3870" s="24" t="s">
        <v>5277</v>
      </c>
      <c r="C3870" s="22" t="s">
        <v>10194</v>
      </c>
      <c r="D3870" s="22" t="s">
        <v>3151</v>
      </c>
      <c r="E3870" s="22" t="s">
        <v>10195</v>
      </c>
      <c r="F3870" s="22" t="s">
        <v>10204</v>
      </c>
      <c r="G3870" s="1" t="s">
        <v>3190</v>
      </c>
      <c r="H3870" s="17">
        <v>0</v>
      </c>
      <c r="I3870" s="18">
        <v>710000000</v>
      </c>
      <c r="J3870" s="4" t="s">
        <v>1931</v>
      </c>
      <c r="K3870" s="8" t="s">
        <v>10033</v>
      </c>
      <c r="L3870" s="3" t="s">
        <v>1940</v>
      </c>
      <c r="M3870" s="8" t="s">
        <v>3195</v>
      </c>
      <c r="N3870" s="8" t="s">
        <v>7635</v>
      </c>
      <c r="O3870" s="8" t="s">
        <v>1935</v>
      </c>
      <c r="P3870" s="1">
        <v>796</v>
      </c>
      <c r="Q3870" s="4" t="s">
        <v>3196</v>
      </c>
      <c r="R3870" s="10">
        <v>2</v>
      </c>
      <c r="S3870" s="10">
        <v>23966.96429</v>
      </c>
      <c r="T3870" s="10">
        <f t="shared" si="2596"/>
        <v>47933.92858</v>
      </c>
      <c r="U3870" s="10">
        <f t="shared" si="2597"/>
        <v>53686.000009600008</v>
      </c>
      <c r="V3870" s="8"/>
      <c r="W3870" s="1">
        <v>2015</v>
      </c>
      <c r="X3870" s="8"/>
      <c r="Y3870" s="21"/>
    </row>
    <row r="3871" spans="1:27" s="61" customFormat="1" ht="76.5" customHeight="1" outlineLevel="1" x14ac:dyDescent="0.2">
      <c r="A3871" s="1" t="s">
        <v>10210</v>
      </c>
      <c r="B3871" s="24" t="s">
        <v>5277</v>
      </c>
      <c r="C3871" s="22" t="s">
        <v>10194</v>
      </c>
      <c r="D3871" s="22" t="s">
        <v>3151</v>
      </c>
      <c r="E3871" s="22" t="s">
        <v>10195</v>
      </c>
      <c r="F3871" s="22" t="s">
        <v>10205</v>
      </c>
      <c r="G3871" s="1" t="s">
        <v>3190</v>
      </c>
      <c r="H3871" s="17">
        <v>0</v>
      </c>
      <c r="I3871" s="18">
        <v>710000000</v>
      </c>
      <c r="J3871" s="4" t="s">
        <v>1931</v>
      </c>
      <c r="K3871" s="8" t="s">
        <v>10033</v>
      </c>
      <c r="L3871" s="3" t="s">
        <v>1940</v>
      </c>
      <c r="M3871" s="8" t="s">
        <v>3195</v>
      </c>
      <c r="N3871" s="8" t="s">
        <v>7635</v>
      </c>
      <c r="O3871" s="8" t="s">
        <v>1935</v>
      </c>
      <c r="P3871" s="1">
        <v>796</v>
      </c>
      <c r="Q3871" s="4" t="s">
        <v>3196</v>
      </c>
      <c r="R3871" s="10">
        <v>1</v>
      </c>
      <c r="S3871" s="10">
        <v>30256.25</v>
      </c>
      <c r="T3871" s="10">
        <f t="shared" ref="T3871" si="2598">R3871*S3871</f>
        <v>30256.25</v>
      </c>
      <c r="U3871" s="10">
        <f t="shared" ref="U3871" si="2599">T3871*1.12</f>
        <v>33887</v>
      </c>
      <c r="V3871" s="8"/>
      <c r="W3871" s="1">
        <v>2015</v>
      </c>
      <c r="X3871" s="8"/>
      <c r="Y3871" s="21"/>
    </row>
    <row r="3872" spans="1:27" s="61" customFormat="1" ht="76.5" customHeight="1" outlineLevel="1" x14ac:dyDescent="0.2">
      <c r="A3872" s="1" t="s">
        <v>10211</v>
      </c>
      <c r="B3872" s="24" t="s">
        <v>5277</v>
      </c>
      <c r="C3872" s="22" t="s">
        <v>10206</v>
      </c>
      <c r="D3872" s="22" t="s">
        <v>1169</v>
      </c>
      <c r="E3872" s="22" t="s">
        <v>10207</v>
      </c>
      <c r="F3872" s="22" t="s">
        <v>10208</v>
      </c>
      <c r="G3872" s="1" t="s">
        <v>3190</v>
      </c>
      <c r="H3872" s="17">
        <v>0</v>
      </c>
      <c r="I3872" s="18">
        <v>710000000</v>
      </c>
      <c r="J3872" s="4" t="s">
        <v>1931</v>
      </c>
      <c r="K3872" s="8" t="s">
        <v>10033</v>
      </c>
      <c r="L3872" s="7" t="s">
        <v>1708</v>
      </c>
      <c r="M3872" s="8" t="s">
        <v>3195</v>
      </c>
      <c r="N3872" s="8" t="s">
        <v>7635</v>
      </c>
      <c r="O3872" s="8" t="s">
        <v>1935</v>
      </c>
      <c r="P3872" s="1">
        <v>796</v>
      </c>
      <c r="Q3872" s="4" t="s">
        <v>3196</v>
      </c>
      <c r="R3872" s="10">
        <v>1</v>
      </c>
      <c r="S3872" s="10">
        <v>162799.10709999999</v>
      </c>
      <c r="T3872" s="10">
        <f t="shared" ref="T3872:T3875" si="2600">R3872*S3872</f>
        <v>162799.10709999999</v>
      </c>
      <c r="U3872" s="10">
        <f t="shared" ref="U3872:U3875" si="2601">T3872*1.12</f>
        <v>182334.99995200001</v>
      </c>
      <c r="V3872" s="8"/>
      <c r="W3872" s="1">
        <v>2015</v>
      </c>
      <c r="X3872" s="8"/>
      <c r="Y3872" s="21"/>
    </row>
    <row r="3873" spans="1:26" s="61" customFormat="1" ht="76.5" customHeight="1" outlineLevel="1" x14ac:dyDescent="0.2">
      <c r="A3873" s="1" t="s">
        <v>10212</v>
      </c>
      <c r="B3873" s="24" t="s">
        <v>5277</v>
      </c>
      <c r="C3873" s="22" t="s">
        <v>10220</v>
      </c>
      <c r="D3873" s="22" t="s">
        <v>10221</v>
      </c>
      <c r="E3873" s="22" t="s">
        <v>10222</v>
      </c>
      <c r="F3873" s="22" t="s">
        <v>10223</v>
      </c>
      <c r="G3873" s="1" t="s">
        <v>3190</v>
      </c>
      <c r="H3873" s="17">
        <v>0</v>
      </c>
      <c r="I3873" s="18">
        <v>710000000</v>
      </c>
      <c r="J3873" s="4" t="s">
        <v>1931</v>
      </c>
      <c r="K3873" s="8" t="s">
        <v>10033</v>
      </c>
      <c r="L3873" s="4" t="s">
        <v>1889</v>
      </c>
      <c r="M3873" s="8" t="s">
        <v>3195</v>
      </c>
      <c r="N3873" s="8" t="s">
        <v>7635</v>
      </c>
      <c r="O3873" s="8" t="s">
        <v>1935</v>
      </c>
      <c r="P3873" s="1">
        <v>796</v>
      </c>
      <c r="Q3873" s="4" t="s">
        <v>3196</v>
      </c>
      <c r="R3873" s="10">
        <v>95</v>
      </c>
      <c r="S3873" s="10">
        <v>446.42857140000001</v>
      </c>
      <c r="T3873" s="10">
        <f t="shared" si="2600"/>
        <v>42410.714283000001</v>
      </c>
      <c r="U3873" s="10">
        <f t="shared" si="2601"/>
        <v>47499.999996960003</v>
      </c>
      <c r="V3873" s="8"/>
      <c r="W3873" s="1">
        <v>2015</v>
      </c>
      <c r="X3873" s="8"/>
      <c r="Y3873" s="21"/>
    </row>
    <row r="3874" spans="1:26" s="61" customFormat="1" ht="76.5" customHeight="1" outlineLevel="1" x14ac:dyDescent="0.2">
      <c r="A3874" s="1" t="s">
        <v>10213</v>
      </c>
      <c r="B3874" s="24" t="s">
        <v>5277</v>
      </c>
      <c r="C3874" s="22" t="s">
        <v>10220</v>
      </c>
      <c r="D3874" s="22" t="s">
        <v>10221</v>
      </c>
      <c r="E3874" s="22" t="s">
        <v>10222</v>
      </c>
      <c r="F3874" s="22" t="s">
        <v>10224</v>
      </c>
      <c r="G3874" s="1" t="s">
        <v>3190</v>
      </c>
      <c r="H3874" s="17">
        <v>0</v>
      </c>
      <c r="I3874" s="18">
        <v>710000000</v>
      </c>
      <c r="J3874" s="4" t="s">
        <v>1931</v>
      </c>
      <c r="K3874" s="8" t="s">
        <v>10033</v>
      </c>
      <c r="L3874" s="4" t="s">
        <v>1889</v>
      </c>
      <c r="M3874" s="8" t="s">
        <v>3195</v>
      </c>
      <c r="N3874" s="8" t="s">
        <v>7635</v>
      </c>
      <c r="O3874" s="8" t="s">
        <v>1935</v>
      </c>
      <c r="P3874" s="1">
        <v>796</v>
      </c>
      <c r="Q3874" s="4" t="s">
        <v>3196</v>
      </c>
      <c r="R3874" s="10">
        <v>20</v>
      </c>
      <c r="S3874" s="10">
        <v>53.571428570000002</v>
      </c>
      <c r="T3874" s="10">
        <f t="shared" si="2600"/>
        <v>1071.4285714</v>
      </c>
      <c r="U3874" s="10">
        <f t="shared" si="2601"/>
        <v>1199.9999999680001</v>
      </c>
      <c r="V3874" s="8"/>
      <c r="W3874" s="1">
        <v>2015</v>
      </c>
      <c r="X3874" s="8"/>
      <c r="Y3874" s="21"/>
    </row>
    <row r="3875" spans="1:26" s="61" customFormat="1" ht="76.5" customHeight="1" outlineLevel="1" x14ac:dyDescent="0.2">
      <c r="A3875" s="1" t="s">
        <v>10214</v>
      </c>
      <c r="B3875" s="24" t="s">
        <v>5277</v>
      </c>
      <c r="C3875" s="22" t="s">
        <v>10225</v>
      </c>
      <c r="D3875" s="22" t="s">
        <v>10226</v>
      </c>
      <c r="E3875" s="22" t="s">
        <v>10227</v>
      </c>
      <c r="F3875" s="22" t="s">
        <v>10229</v>
      </c>
      <c r="G3875" s="1" t="s">
        <v>3190</v>
      </c>
      <c r="H3875" s="17">
        <v>0</v>
      </c>
      <c r="I3875" s="18">
        <v>710000000</v>
      </c>
      <c r="J3875" s="4" t="s">
        <v>1931</v>
      </c>
      <c r="K3875" s="8" t="s">
        <v>10033</v>
      </c>
      <c r="L3875" s="4" t="s">
        <v>1889</v>
      </c>
      <c r="M3875" s="8" t="s">
        <v>3195</v>
      </c>
      <c r="N3875" s="8" t="s">
        <v>7635</v>
      </c>
      <c r="O3875" s="8" t="s">
        <v>1935</v>
      </c>
      <c r="P3875" s="1">
        <v>796</v>
      </c>
      <c r="Q3875" s="4" t="s">
        <v>3196</v>
      </c>
      <c r="R3875" s="10">
        <v>10</v>
      </c>
      <c r="S3875" s="10">
        <v>1160.7142859999999</v>
      </c>
      <c r="T3875" s="10">
        <f t="shared" si="2600"/>
        <v>11607.14286</v>
      </c>
      <c r="U3875" s="10">
        <f t="shared" si="2601"/>
        <v>13000.000003200001</v>
      </c>
      <c r="V3875" s="8"/>
      <c r="W3875" s="1">
        <v>2015</v>
      </c>
      <c r="X3875" s="8"/>
      <c r="Y3875" s="21"/>
    </row>
    <row r="3876" spans="1:26" s="61" customFormat="1" ht="76.5" customHeight="1" outlineLevel="1" x14ac:dyDescent="0.2">
      <c r="A3876" s="1" t="s">
        <v>10215</v>
      </c>
      <c r="B3876" s="24" t="s">
        <v>5277</v>
      </c>
      <c r="C3876" s="22" t="s">
        <v>10228</v>
      </c>
      <c r="D3876" s="22" t="s">
        <v>10230</v>
      </c>
      <c r="E3876" s="22" t="s">
        <v>10231</v>
      </c>
      <c r="F3876" s="22"/>
      <c r="G3876" s="1" t="s">
        <v>3190</v>
      </c>
      <c r="H3876" s="17">
        <v>0</v>
      </c>
      <c r="I3876" s="18">
        <v>710000000</v>
      </c>
      <c r="J3876" s="4" t="s">
        <v>1931</v>
      </c>
      <c r="K3876" s="8" t="s">
        <v>10033</v>
      </c>
      <c r="L3876" s="4" t="s">
        <v>1889</v>
      </c>
      <c r="M3876" s="8" t="s">
        <v>3195</v>
      </c>
      <c r="N3876" s="8" t="s">
        <v>7635</v>
      </c>
      <c r="O3876" s="8" t="s">
        <v>1935</v>
      </c>
      <c r="P3876" s="1">
        <v>796</v>
      </c>
      <c r="Q3876" s="4" t="s">
        <v>3196</v>
      </c>
      <c r="R3876" s="10">
        <v>3</v>
      </c>
      <c r="S3876" s="10">
        <v>11607.14826</v>
      </c>
      <c r="T3876" s="10">
        <f t="shared" ref="T3876:T3879" si="2602">R3876*S3876</f>
        <v>34821.444779999998</v>
      </c>
      <c r="U3876" s="10">
        <f t="shared" ref="U3876:U3879" si="2603">T3876*1.12</f>
        <v>39000.018153600002</v>
      </c>
      <c r="V3876" s="8"/>
      <c r="W3876" s="1">
        <v>2015</v>
      </c>
      <c r="X3876" s="8"/>
      <c r="Y3876" s="21"/>
    </row>
    <row r="3877" spans="1:26" s="61" customFormat="1" ht="76.5" customHeight="1" outlineLevel="1" x14ac:dyDescent="0.2">
      <c r="A3877" s="1" t="s">
        <v>10216</v>
      </c>
      <c r="B3877" s="24" t="s">
        <v>5277</v>
      </c>
      <c r="C3877" s="22" t="s">
        <v>10232</v>
      </c>
      <c r="D3877" s="22" t="s">
        <v>194</v>
      </c>
      <c r="E3877" s="22" t="s">
        <v>10233</v>
      </c>
      <c r="F3877" s="22" t="s">
        <v>10234</v>
      </c>
      <c r="G3877" s="1" t="s">
        <v>3190</v>
      </c>
      <c r="H3877" s="17">
        <v>0</v>
      </c>
      <c r="I3877" s="18">
        <v>710000000</v>
      </c>
      <c r="J3877" s="4" t="s">
        <v>1931</v>
      </c>
      <c r="K3877" s="8" t="s">
        <v>10033</v>
      </c>
      <c r="L3877" s="4" t="s">
        <v>1889</v>
      </c>
      <c r="M3877" s="8" t="s">
        <v>3195</v>
      </c>
      <c r="N3877" s="8" t="s">
        <v>7635</v>
      </c>
      <c r="O3877" s="8" t="s">
        <v>1935</v>
      </c>
      <c r="P3877" s="1">
        <v>796</v>
      </c>
      <c r="Q3877" s="4" t="s">
        <v>3196</v>
      </c>
      <c r="R3877" s="10">
        <v>5</v>
      </c>
      <c r="S3877" s="10">
        <v>2232.1428569999998</v>
      </c>
      <c r="T3877" s="10">
        <f t="shared" si="2602"/>
        <v>11160.714284999998</v>
      </c>
      <c r="U3877" s="10">
        <f t="shared" si="2603"/>
        <v>12499.999999199999</v>
      </c>
      <c r="V3877" s="8"/>
      <c r="W3877" s="1">
        <v>2015</v>
      </c>
      <c r="X3877" s="8"/>
      <c r="Y3877" s="21"/>
    </row>
    <row r="3878" spans="1:26" s="61" customFormat="1" ht="76.5" customHeight="1" outlineLevel="1" x14ac:dyDescent="0.2">
      <c r="A3878" s="1" t="s">
        <v>10217</v>
      </c>
      <c r="B3878" s="24" t="s">
        <v>5277</v>
      </c>
      <c r="C3878" s="22" t="s">
        <v>10235</v>
      </c>
      <c r="D3878" s="22" t="s">
        <v>10236</v>
      </c>
      <c r="E3878" s="22" t="s">
        <v>10237</v>
      </c>
      <c r="F3878" s="22" t="s">
        <v>10238</v>
      </c>
      <c r="G3878" s="1" t="s">
        <v>3190</v>
      </c>
      <c r="H3878" s="17">
        <v>0</v>
      </c>
      <c r="I3878" s="18">
        <v>710000000</v>
      </c>
      <c r="J3878" s="4" t="s">
        <v>1931</v>
      </c>
      <c r="K3878" s="8" t="s">
        <v>10033</v>
      </c>
      <c r="L3878" s="4" t="s">
        <v>1889</v>
      </c>
      <c r="M3878" s="8" t="s">
        <v>3195</v>
      </c>
      <c r="N3878" s="8" t="s">
        <v>7635</v>
      </c>
      <c r="O3878" s="8" t="s">
        <v>1935</v>
      </c>
      <c r="P3878" s="1">
        <v>6</v>
      </c>
      <c r="Q3878" s="4" t="s">
        <v>5142</v>
      </c>
      <c r="R3878" s="10">
        <v>118</v>
      </c>
      <c r="S3878" s="10">
        <v>267.85714289999999</v>
      </c>
      <c r="T3878" s="10">
        <f t="shared" si="2602"/>
        <v>31607.142862199998</v>
      </c>
      <c r="U3878" s="10">
        <f t="shared" si="2603"/>
        <v>35400.000005663998</v>
      </c>
      <c r="V3878" s="8"/>
      <c r="W3878" s="1">
        <v>2015</v>
      </c>
      <c r="X3878" s="8"/>
      <c r="Y3878" s="21"/>
    </row>
    <row r="3879" spans="1:26" s="61" customFormat="1" ht="76.5" customHeight="1" outlineLevel="1" x14ac:dyDescent="0.2">
      <c r="A3879" s="1" t="s">
        <v>10218</v>
      </c>
      <c r="B3879" s="24" t="s">
        <v>5277</v>
      </c>
      <c r="C3879" s="22" t="s">
        <v>10239</v>
      </c>
      <c r="D3879" s="22" t="s">
        <v>10236</v>
      </c>
      <c r="E3879" s="22" t="s">
        <v>10237</v>
      </c>
      <c r="F3879" s="22" t="s">
        <v>10240</v>
      </c>
      <c r="G3879" s="1" t="s">
        <v>3190</v>
      </c>
      <c r="H3879" s="17">
        <v>0</v>
      </c>
      <c r="I3879" s="18">
        <v>710000000</v>
      </c>
      <c r="J3879" s="4" t="s">
        <v>1931</v>
      </c>
      <c r="K3879" s="8" t="s">
        <v>10033</v>
      </c>
      <c r="L3879" s="4" t="s">
        <v>1889</v>
      </c>
      <c r="M3879" s="8" t="s">
        <v>3195</v>
      </c>
      <c r="N3879" s="8" t="s">
        <v>7635</v>
      </c>
      <c r="O3879" s="8" t="s">
        <v>1935</v>
      </c>
      <c r="P3879" s="1">
        <v>796</v>
      </c>
      <c r="Q3879" s="4" t="s">
        <v>3196</v>
      </c>
      <c r="R3879" s="10">
        <v>10</v>
      </c>
      <c r="S3879" s="10">
        <v>401.7857143</v>
      </c>
      <c r="T3879" s="10">
        <f t="shared" si="2602"/>
        <v>4017.8571430000002</v>
      </c>
      <c r="U3879" s="10">
        <f t="shared" si="2603"/>
        <v>4500.000000160001</v>
      </c>
      <c r="V3879" s="8"/>
      <c r="W3879" s="1">
        <v>2015</v>
      </c>
      <c r="X3879" s="8"/>
      <c r="Y3879" s="21"/>
    </row>
    <row r="3880" spans="1:26" s="61" customFormat="1" ht="76.5" customHeight="1" outlineLevel="1" x14ac:dyDescent="0.2">
      <c r="A3880" s="1" t="s">
        <v>10219</v>
      </c>
      <c r="B3880" s="24" t="s">
        <v>5277</v>
      </c>
      <c r="C3880" s="22" t="s">
        <v>10239</v>
      </c>
      <c r="D3880" s="22" t="s">
        <v>10236</v>
      </c>
      <c r="E3880" s="22" t="s">
        <v>10237</v>
      </c>
      <c r="F3880" s="22" t="s">
        <v>10241</v>
      </c>
      <c r="G3880" s="1" t="s">
        <v>3190</v>
      </c>
      <c r="H3880" s="17">
        <v>0</v>
      </c>
      <c r="I3880" s="18">
        <v>710000000</v>
      </c>
      <c r="J3880" s="4" t="s">
        <v>1931</v>
      </c>
      <c r="K3880" s="8" t="s">
        <v>10033</v>
      </c>
      <c r="L3880" s="4" t="s">
        <v>1889</v>
      </c>
      <c r="M3880" s="8" t="s">
        <v>3195</v>
      </c>
      <c r="N3880" s="8" t="s">
        <v>7635</v>
      </c>
      <c r="O3880" s="8" t="s">
        <v>1935</v>
      </c>
      <c r="P3880" s="1">
        <v>796</v>
      </c>
      <c r="Q3880" s="4" t="s">
        <v>3196</v>
      </c>
      <c r="R3880" s="10">
        <v>10</v>
      </c>
      <c r="S3880" s="10">
        <v>4017.8571430000002</v>
      </c>
      <c r="T3880" s="10">
        <f t="shared" ref="T3880" si="2604">R3880*S3880</f>
        <v>40178.571430000004</v>
      </c>
      <c r="U3880" s="10">
        <f t="shared" ref="U3880" si="2605">T3880*1.12</f>
        <v>45000.000001600005</v>
      </c>
      <c r="V3880" s="8"/>
      <c r="W3880" s="1">
        <v>2015</v>
      </c>
      <c r="X3880" s="8"/>
      <c r="Y3880" s="21"/>
    </row>
    <row r="3881" spans="1:26" s="61" customFormat="1" ht="76.5" customHeight="1" outlineLevel="1" x14ac:dyDescent="0.2">
      <c r="A3881" s="1" t="s">
        <v>10242</v>
      </c>
      <c r="B3881" s="24" t="s">
        <v>5277</v>
      </c>
      <c r="C3881" s="22" t="s">
        <v>10243</v>
      </c>
      <c r="D3881" s="22" t="s">
        <v>10244</v>
      </c>
      <c r="E3881" s="22" t="s">
        <v>10245</v>
      </c>
      <c r="F3881" s="22" t="s">
        <v>10246</v>
      </c>
      <c r="G3881" s="1" t="s">
        <v>3190</v>
      </c>
      <c r="H3881" s="17">
        <v>0</v>
      </c>
      <c r="I3881" s="18">
        <v>710000000</v>
      </c>
      <c r="J3881" s="4" t="s">
        <v>1931</v>
      </c>
      <c r="K3881" s="8" t="s">
        <v>10033</v>
      </c>
      <c r="L3881" s="7" t="s">
        <v>1708</v>
      </c>
      <c r="M3881" s="8" t="s">
        <v>3195</v>
      </c>
      <c r="N3881" s="8" t="s">
        <v>7635</v>
      </c>
      <c r="O3881" s="8" t="s">
        <v>1935</v>
      </c>
      <c r="P3881" s="1">
        <v>796</v>
      </c>
      <c r="Q3881" s="4" t="s">
        <v>3196</v>
      </c>
      <c r="R3881" s="10">
        <v>1500</v>
      </c>
      <c r="S3881" s="10">
        <v>25.89285714</v>
      </c>
      <c r="T3881" s="10">
        <f t="shared" ref="T3881" si="2606">R3881*S3881</f>
        <v>38839.285710000004</v>
      </c>
      <c r="U3881" s="10">
        <f t="shared" ref="U3881" si="2607">T3881*1.12</f>
        <v>43499.999995200007</v>
      </c>
      <c r="V3881" s="8"/>
      <c r="W3881" s="1">
        <v>2015</v>
      </c>
      <c r="X3881" s="8"/>
      <c r="Y3881" s="21"/>
      <c r="Z3881" s="61">
        <f>29/1.12</f>
        <v>25.892857142857139</v>
      </c>
    </row>
    <row r="3882" spans="1:26" s="28" customFormat="1" ht="18.75" customHeight="1" x14ac:dyDescent="0.3">
      <c r="A3882" s="247" t="s">
        <v>6230</v>
      </c>
      <c r="B3882" s="248"/>
      <c r="C3882" s="148"/>
      <c r="D3882" s="148"/>
      <c r="E3882" s="148"/>
      <c r="F3882" s="249"/>
      <c r="G3882" s="212"/>
      <c r="H3882" s="212"/>
      <c r="I3882" s="196"/>
      <c r="J3882" s="212"/>
      <c r="K3882" s="83"/>
      <c r="L3882" s="212"/>
      <c r="M3882" s="212"/>
      <c r="N3882" s="212"/>
      <c r="O3882" s="212"/>
      <c r="P3882" s="212"/>
      <c r="Q3882" s="212"/>
      <c r="R3882" s="250" t="s">
        <v>3178</v>
      </c>
      <c r="S3882" s="250"/>
      <c r="T3882" s="251">
        <f>SUM(T46:T3868)</f>
        <v>1124638355.0921953</v>
      </c>
      <c r="U3882" s="251">
        <f>SUM(U46:U3868)</f>
        <v>1262551651.5744565</v>
      </c>
      <c r="V3882" s="213"/>
      <c r="W3882" s="213"/>
      <c r="X3882" s="200"/>
    </row>
    <row r="3883" spans="1:26" s="28" customFormat="1" ht="18.75" customHeight="1" x14ac:dyDescent="0.3">
      <c r="A3883" s="230" t="s">
        <v>6231</v>
      </c>
      <c r="B3883" s="252"/>
      <c r="C3883" s="253"/>
      <c r="D3883" s="4"/>
      <c r="E3883" s="4"/>
      <c r="F3883" s="254"/>
      <c r="G3883" s="1"/>
      <c r="H3883" s="1"/>
      <c r="I3883" s="18"/>
      <c r="J3883" s="1"/>
      <c r="K3883" s="4"/>
      <c r="L3883" s="1"/>
      <c r="M3883" s="1"/>
      <c r="N3883" s="1"/>
      <c r="O3883" s="1"/>
      <c r="P3883" s="1"/>
      <c r="Q3883" s="1"/>
      <c r="R3883" s="26"/>
      <c r="S3883" s="26"/>
      <c r="T3883" s="106"/>
      <c r="U3883" s="106"/>
      <c r="V3883" s="11"/>
      <c r="W3883" s="11"/>
      <c r="X3883" s="20"/>
    </row>
    <row r="3884" spans="1:26" s="28" customFormat="1" ht="53.25" customHeight="1" x14ac:dyDescent="0.3">
      <c r="A3884" s="1" t="s">
        <v>3045</v>
      </c>
      <c r="B3884" s="15" t="s">
        <v>5277</v>
      </c>
      <c r="C3884" s="4" t="s">
        <v>3654</v>
      </c>
      <c r="D3884" s="4" t="s">
        <v>6233</v>
      </c>
      <c r="E3884" s="4" t="s">
        <v>6234</v>
      </c>
      <c r="F3884" s="231"/>
      <c r="G3884" s="4" t="s">
        <v>1888</v>
      </c>
      <c r="H3884" s="17">
        <v>1</v>
      </c>
      <c r="I3884" s="18">
        <v>710000000</v>
      </c>
      <c r="J3884" s="4" t="s">
        <v>1931</v>
      </c>
      <c r="K3884" s="4" t="s">
        <v>1696</v>
      </c>
      <c r="L3884" s="4" t="s">
        <v>2985</v>
      </c>
      <c r="M3884" s="1"/>
      <c r="N3884" s="4" t="s">
        <v>1408</v>
      </c>
      <c r="O3884" s="4" t="s">
        <v>6232</v>
      </c>
      <c r="P3884" s="1"/>
      <c r="Q3884" s="4"/>
      <c r="R3884" s="26"/>
      <c r="S3884" s="26"/>
      <c r="T3884" s="26">
        <v>33214000</v>
      </c>
      <c r="U3884" s="26">
        <f t="shared" ref="U3884:U3942" si="2608">T3884*1.12</f>
        <v>37199680</v>
      </c>
      <c r="V3884" s="19" t="s">
        <v>3182</v>
      </c>
      <c r="W3884" s="11">
        <v>2015</v>
      </c>
      <c r="X3884" s="27"/>
    </row>
    <row r="3885" spans="1:26" s="28" customFormat="1" ht="53.25" customHeight="1" x14ac:dyDescent="0.2">
      <c r="A3885" s="1" t="s">
        <v>3616</v>
      </c>
      <c r="B3885" s="15" t="s">
        <v>5277</v>
      </c>
      <c r="C3885" s="4" t="s">
        <v>3654</v>
      </c>
      <c r="D3885" s="4" t="s">
        <v>6233</v>
      </c>
      <c r="E3885" s="4" t="s">
        <v>6234</v>
      </c>
      <c r="F3885" s="4"/>
      <c r="G3885" s="4" t="s">
        <v>1888</v>
      </c>
      <c r="H3885" s="17">
        <v>1</v>
      </c>
      <c r="I3885" s="18">
        <v>710000000</v>
      </c>
      <c r="J3885" s="4" t="s">
        <v>1931</v>
      </c>
      <c r="K3885" s="4" t="s">
        <v>1696</v>
      </c>
      <c r="L3885" s="7" t="s">
        <v>1409</v>
      </c>
      <c r="M3885" s="1"/>
      <c r="N3885" s="4" t="s">
        <v>1408</v>
      </c>
      <c r="O3885" s="4" t="s">
        <v>6232</v>
      </c>
      <c r="P3885" s="1"/>
      <c r="Q3885" s="4"/>
      <c r="R3885" s="26"/>
      <c r="S3885" s="26"/>
      <c r="T3885" s="26">
        <v>857000</v>
      </c>
      <c r="U3885" s="26">
        <f t="shared" si="2608"/>
        <v>959840.00000000012</v>
      </c>
      <c r="V3885" s="19" t="s">
        <v>3182</v>
      </c>
      <c r="W3885" s="11">
        <v>2015</v>
      </c>
      <c r="X3885" s="27"/>
    </row>
    <row r="3886" spans="1:26" s="28" customFormat="1" ht="51.75" customHeight="1" x14ac:dyDescent="0.2">
      <c r="A3886" s="1" t="s">
        <v>3617</v>
      </c>
      <c r="B3886" s="15" t="s">
        <v>5277</v>
      </c>
      <c r="C3886" s="4" t="s">
        <v>3654</v>
      </c>
      <c r="D3886" s="4" t="s">
        <v>6233</v>
      </c>
      <c r="E3886" s="4" t="s">
        <v>6234</v>
      </c>
      <c r="F3886" s="4"/>
      <c r="G3886" s="4" t="s">
        <v>1888</v>
      </c>
      <c r="H3886" s="17">
        <v>1</v>
      </c>
      <c r="I3886" s="18">
        <v>710000000</v>
      </c>
      <c r="J3886" s="4" t="s">
        <v>1931</v>
      </c>
      <c r="K3886" s="4" t="s">
        <v>1696</v>
      </c>
      <c r="L3886" s="7" t="s">
        <v>1356</v>
      </c>
      <c r="M3886" s="1"/>
      <c r="N3886" s="4" t="s">
        <v>1408</v>
      </c>
      <c r="O3886" s="4" t="s">
        <v>6232</v>
      </c>
      <c r="P3886" s="1"/>
      <c r="Q3886" s="4"/>
      <c r="R3886" s="26"/>
      <c r="S3886" s="26"/>
      <c r="T3886" s="26">
        <v>4722921</v>
      </c>
      <c r="U3886" s="26">
        <f t="shared" si="2608"/>
        <v>5289671.5200000005</v>
      </c>
      <c r="V3886" s="19" t="s">
        <v>3182</v>
      </c>
      <c r="W3886" s="11">
        <v>2015</v>
      </c>
      <c r="X3886" s="27"/>
    </row>
    <row r="3887" spans="1:26" ht="63.75" customHeight="1" x14ac:dyDescent="0.2">
      <c r="A3887" s="1" t="s">
        <v>3392</v>
      </c>
      <c r="B3887" s="15" t="s">
        <v>5277</v>
      </c>
      <c r="C3887" s="4" t="s">
        <v>3039</v>
      </c>
      <c r="D3887" s="4" t="s">
        <v>1697</v>
      </c>
      <c r="E3887" s="4" t="s">
        <v>1698</v>
      </c>
      <c r="F3887" s="7"/>
      <c r="G3887" s="4" t="s">
        <v>1888</v>
      </c>
      <c r="H3887" s="17">
        <v>0.5</v>
      </c>
      <c r="I3887" s="18">
        <v>710000000</v>
      </c>
      <c r="J3887" s="4" t="s">
        <v>1931</v>
      </c>
      <c r="K3887" s="4" t="s">
        <v>8699</v>
      </c>
      <c r="L3887" s="4" t="s">
        <v>2985</v>
      </c>
      <c r="M3887" s="1"/>
      <c r="N3887" s="4" t="s">
        <v>1408</v>
      </c>
      <c r="O3887" s="4" t="s">
        <v>6232</v>
      </c>
      <c r="P3887" s="1"/>
      <c r="Q3887" s="4"/>
      <c r="R3887" s="26"/>
      <c r="S3887" s="26"/>
      <c r="T3887" s="26">
        <v>0</v>
      </c>
      <c r="U3887" s="26">
        <f t="shared" si="2608"/>
        <v>0</v>
      </c>
      <c r="V3887" s="232" t="s">
        <v>3182</v>
      </c>
      <c r="W3887" s="11">
        <v>2015</v>
      </c>
      <c r="X3887" s="27" t="s">
        <v>7312</v>
      </c>
    </row>
    <row r="3888" spans="1:26" ht="63.75" customHeight="1" x14ac:dyDescent="0.2">
      <c r="A3888" s="1" t="s">
        <v>8698</v>
      </c>
      <c r="B3888" s="15" t="s">
        <v>5277</v>
      </c>
      <c r="C3888" s="4" t="s">
        <v>3039</v>
      </c>
      <c r="D3888" s="4" t="s">
        <v>1697</v>
      </c>
      <c r="E3888" s="4" t="s">
        <v>1698</v>
      </c>
      <c r="F3888" s="7"/>
      <c r="G3888" s="4" t="s">
        <v>1888</v>
      </c>
      <c r="H3888" s="17">
        <v>0.5</v>
      </c>
      <c r="I3888" s="18">
        <v>710000000</v>
      </c>
      <c r="J3888" s="4" t="s">
        <v>1931</v>
      </c>
      <c r="K3888" s="4" t="s">
        <v>1696</v>
      </c>
      <c r="L3888" s="4" t="s">
        <v>2985</v>
      </c>
      <c r="M3888" s="1"/>
      <c r="N3888" s="4" t="s">
        <v>1408</v>
      </c>
      <c r="O3888" s="4" t="s">
        <v>6232</v>
      </c>
      <c r="P3888" s="1"/>
      <c r="Q3888" s="4"/>
      <c r="R3888" s="26"/>
      <c r="S3888" s="26"/>
      <c r="T3888" s="26">
        <v>34011210</v>
      </c>
      <c r="U3888" s="26">
        <f t="shared" ref="U3888" si="2609">T3888*1.12</f>
        <v>38092555.200000003</v>
      </c>
      <c r="V3888" s="232" t="s">
        <v>3182</v>
      </c>
      <c r="W3888" s="11">
        <v>2015</v>
      </c>
      <c r="X3888" s="27"/>
    </row>
    <row r="3889" spans="1:24" s="28" customFormat="1" ht="63.75" customHeight="1" x14ac:dyDescent="0.2">
      <c r="A3889" s="1" t="s">
        <v>3393</v>
      </c>
      <c r="B3889" s="15" t="s">
        <v>5277</v>
      </c>
      <c r="C3889" s="4" t="s">
        <v>3039</v>
      </c>
      <c r="D3889" s="4" t="s">
        <v>1697</v>
      </c>
      <c r="E3889" s="4" t="s">
        <v>1698</v>
      </c>
      <c r="F3889" s="4"/>
      <c r="G3889" s="4" t="s">
        <v>1888</v>
      </c>
      <c r="H3889" s="17">
        <v>0.5</v>
      </c>
      <c r="I3889" s="18">
        <v>710000000</v>
      </c>
      <c r="J3889" s="4" t="s">
        <v>1931</v>
      </c>
      <c r="K3889" s="4" t="s">
        <v>1696</v>
      </c>
      <c r="L3889" s="4" t="s">
        <v>3040</v>
      </c>
      <c r="M3889" s="1"/>
      <c r="N3889" s="4" t="s">
        <v>1408</v>
      </c>
      <c r="O3889" s="4" t="s">
        <v>6232</v>
      </c>
      <c r="P3889" s="1"/>
      <c r="Q3889" s="4"/>
      <c r="R3889" s="26"/>
      <c r="S3889" s="26"/>
      <c r="T3889" s="26">
        <v>2101389</v>
      </c>
      <c r="U3889" s="26">
        <f t="shared" si="2608"/>
        <v>2353555.6800000002</v>
      </c>
      <c r="V3889" s="56" t="s">
        <v>3182</v>
      </c>
      <c r="W3889" s="11">
        <v>2015</v>
      </c>
      <c r="X3889" s="27"/>
    </row>
    <row r="3890" spans="1:24" s="28" customFormat="1" ht="114.75" customHeight="1" x14ac:dyDescent="0.2">
      <c r="A3890" s="1" t="s">
        <v>3394</v>
      </c>
      <c r="B3890" s="15" t="s">
        <v>5277</v>
      </c>
      <c r="C3890" s="4" t="s">
        <v>3039</v>
      </c>
      <c r="D3890" s="4" t="s">
        <v>1697</v>
      </c>
      <c r="E3890" s="4" t="s">
        <v>1698</v>
      </c>
      <c r="F3890" s="4"/>
      <c r="G3890" s="4" t="s">
        <v>1888</v>
      </c>
      <c r="H3890" s="17">
        <v>0.5</v>
      </c>
      <c r="I3890" s="18">
        <v>710000000</v>
      </c>
      <c r="J3890" s="4" t="s">
        <v>1931</v>
      </c>
      <c r="K3890" s="4" t="s">
        <v>1696</v>
      </c>
      <c r="L3890" s="7" t="s">
        <v>3335</v>
      </c>
      <c r="M3890" s="1"/>
      <c r="N3890" s="4" t="s">
        <v>1408</v>
      </c>
      <c r="O3890" s="4" t="s">
        <v>6232</v>
      </c>
      <c r="P3890" s="1"/>
      <c r="Q3890" s="4"/>
      <c r="R3890" s="26"/>
      <c r="S3890" s="26"/>
      <c r="T3890" s="26">
        <v>100000</v>
      </c>
      <c r="U3890" s="26">
        <f t="shared" si="2608"/>
        <v>112000.00000000001</v>
      </c>
      <c r="V3890" s="19" t="s">
        <v>3182</v>
      </c>
      <c r="W3890" s="11">
        <v>2015</v>
      </c>
      <c r="X3890" s="27"/>
    </row>
    <row r="3891" spans="1:24" s="28" customFormat="1" ht="63.75" customHeight="1" x14ac:dyDescent="0.2">
      <c r="A3891" s="1" t="s">
        <v>3395</v>
      </c>
      <c r="B3891" s="15" t="s">
        <v>5277</v>
      </c>
      <c r="C3891" s="4" t="s">
        <v>3039</v>
      </c>
      <c r="D3891" s="4" t="s">
        <v>1697</v>
      </c>
      <c r="E3891" s="4" t="s">
        <v>1698</v>
      </c>
      <c r="F3891" s="4"/>
      <c r="G3891" s="4" t="s">
        <v>1888</v>
      </c>
      <c r="H3891" s="17">
        <v>0.5</v>
      </c>
      <c r="I3891" s="18">
        <v>710000000</v>
      </c>
      <c r="J3891" s="4" t="s">
        <v>1931</v>
      </c>
      <c r="K3891" s="4" t="s">
        <v>1696</v>
      </c>
      <c r="L3891" s="7" t="s">
        <v>1409</v>
      </c>
      <c r="M3891" s="1"/>
      <c r="N3891" s="4" t="s">
        <v>1408</v>
      </c>
      <c r="O3891" s="4" t="s">
        <v>6232</v>
      </c>
      <c r="P3891" s="1"/>
      <c r="Q3891" s="4"/>
      <c r="R3891" s="26"/>
      <c r="S3891" s="26"/>
      <c r="T3891" s="26">
        <v>811000</v>
      </c>
      <c r="U3891" s="26">
        <f t="shared" si="2608"/>
        <v>908320.00000000012</v>
      </c>
      <c r="V3891" s="19" t="s">
        <v>3182</v>
      </c>
      <c r="W3891" s="11">
        <v>2015</v>
      </c>
      <c r="X3891" s="27"/>
    </row>
    <row r="3892" spans="1:24" s="28" customFormat="1" ht="76.5" customHeight="1" x14ac:dyDescent="0.2">
      <c r="A3892" s="1" t="s">
        <v>3653</v>
      </c>
      <c r="B3892" s="15" t="s">
        <v>5277</v>
      </c>
      <c r="C3892" s="4" t="s">
        <v>1699</v>
      </c>
      <c r="D3892" s="4" t="s">
        <v>1700</v>
      </c>
      <c r="E3892" s="4" t="s">
        <v>1701</v>
      </c>
      <c r="F3892" s="233" t="s">
        <v>1702</v>
      </c>
      <c r="G3892" s="1" t="s">
        <v>1888</v>
      </c>
      <c r="H3892" s="17">
        <v>0.5</v>
      </c>
      <c r="I3892" s="18">
        <v>710000000</v>
      </c>
      <c r="J3892" s="4" t="s">
        <v>1931</v>
      </c>
      <c r="K3892" s="4" t="s">
        <v>1696</v>
      </c>
      <c r="L3892" s="4" t="s">
        <v>2985</v>
      </c>
      <c r="M3892" s="1"/>
      <c r="N3892" s="4" t="s">
        <v>1408</v>
      </c>
      <c r="O3892" s="4" t="s">
        <v>6232</v>
      </c>
      <c r="P3892" s="1"/>
      <c r="Q3892" s="4"/>
      <c r="R3892" s="26"/>
      <c r="S3892" s="26"/>
      <c r="T3892" s="26">
        <v>14051000</v>
      </c>
      <c r="U3892" s="26">
        <f t="shared" si="2608"/>
        <v>15737120.000000002</v>
      </c>
      <c r="V3892" s="11" t="s">
        <v>3182</v>
      </c>
      <c r="W3892" s="11">
        <v>2015</v>
      </c>
      <c r="X3892" s="27"/>
    </row>
    <row r="3893" spans="1:24" s="28" customFormat="1" ht="38.25" customHeight="1" x14ac:dyDescent="0.2">
      <c r="A3893" s="1" t="s">
        <v>1843</v>
      </c>
      <c r="B3893" s="24" t="s">
        <v>5277</v>
      </c>
      <c r="C3893" s="4" t="s">
        <v>3390</v>
      </c>
      <c r="D3893" s="4" t="s">
        <v>6235</v>
      </c>
      <c r="E3893" s="4" t="s">
        <v>6236</v>
      </c>
      <c r="F3893" s="7"/>
      <c r="G3893" s="1" t="s">
        <v>3187</v>
      </c>
      <c r="H3893" s="17">
        <v>0.5</v>
      </c>
      <c r="I3893" s="18">
        <v>710000000</v>
      </c>
      <c r="J3893" s="4" t="s">
        <v>1931</v>
      </c>
      <c r="K3893" s="4" t="s">
        <v>1696</v>
      </c>
      <c r="L3893" s="7" t="s">
        <v>1356</v>
      </c>
      <c r="M3893" s="4"/>
      <c r="N3893" s="4" t="s">
        <v>1408</v>
      </c>
      <c r="O3893" s="4" t="s">
        <v>6232</v>
      </c>
      <c r="P3893" s="1"/>
      <c r="Q3893" s="4"/>
      <c r="R3893" s="26"/>
      <c r="S3893" s="26"/>
      <c r="T3893" s="26">
        <v>2352930</v>
      </c>
      <c r="U3893" s="26">
        <f t="shared" si="2608"/>
        <v>2635281.6</v>
      </c>
      <c r="V3893" s="19" t="s">
        <v>3182</v>
      </c>
      <c r="W3893" s="11">
        <v>2015</v>
      </c>
      <c r="X3893" s="20"/>
    </row>
    <row r="3894" spans="1:24" s="28" customFormat="1" ht="38.25" customHeight="1" x14ac:dyDescent="0.2">
      <c r="A3894" s="1" t="s">
        <v>3717</v>
      </c>
      <c r="B3894" s="15" t="s">
        <v>5277</v>
      </c>
      <c r="C3894" s="4" t="s">
        <v>1834</v>
      </c>
      <c r="D3894" s="4" t="s">
        <v>6237</v>
      </c>
      <c r="E3894" s="4" t="s">
        <v>6237</v>
      </c>
      <c r="F3894" s="4"/>
      <c r="G3894" s="1" t="s">
        <v>3187</v>
      </c>
      <c r="H3894" s="17">
        <v>0.5</v>
      </c>
      <c r="I3894" s="18">
        <v>710000000</v>
      </c>
      <c r="J3894" s="4" t="s">
        <v>1931</v>
      </c>
      <c r="K3894" s="4" t="s">
        <v>5297</v>
      </c>
      <c r="L3894" s="7" t="s">
        <v>1409</v>
      </c>
      <c r="M3894" s="1"/>
      <c r="N3894" s="4" t="s">
        <v>1408</v>
      </c>
      <c r="O3894" s="4" t="s">
        <v>6232</v>
      </c>
      <c r="P3894" s="1"/>
      <c r="Q3894" s="4"/>
      <c r="R3894" s="26"/>
      <c r="S3894" s="26"/>
      <c r="T3894" s="26">
        <v>0</v>
      </c>
      <c r="U3894" s="26">
        <f t="shared" si="2608"/>
        <v>0</v>
      </c>
      <c r="V3894" s="19" t="s">
        <v>3182</v>
      </c>
      <c r="W3894" s="11">
        <v>2015</v>
      </c>
      <c r="X3894" s="27" t="s">
        <v>8919</v>
      </c>
    </row>
    <row r="3895" spans="1:24" s="28" customFormat="1" ht="38.25" customHeight="1" x14ac:dyDescent="0.2">
      <c r="A3895" s="1" t="s">
        <v>8918</v>
      </c>
      <c r="B3895" s="15" t="s">
        <v>5277</v>
      </c>
      <c r="C3895" s="4" t="s">
        <v>1834</v>
      </c>
      <c r="D3895" s="4" t="s">
        <v>6237</v>
      </c>
      <c r="E3895" s="4" t="s">
        <v>6237</v>
      </c>
      <c r="F3895" s="4"/>
      <c r="G3895" s="1" t="s">
        <v>3190</v>
      </c>
      <c r="H3895" s="17">
        <v>0.5</v>
      </c>
      <c r="I3895" s="18">
        <v>710000000</v>
      </c>
      <c r="J3895" s="4" t="s">
        <v>1931</v>
      </c>
      <c r="K3895" s="4" t="s">
        <v>6167</v>
      </c>
      <c r="L3895" s="7" t="s">
        <v>1409</v>
      </c>
      <c r="M3895" s="1"/>
      <c r="N3895" s="4" t="s">
        <v>1408</v>
      </c>
      <c r="O3895" s="4" t="s">
        <v>6232</v>
      </c>
      <c r="P3895" s="1"/>
      <c r="Q3895" s="4"/>
      <c r="R3895" s="26"/>
      <c r="S3895" s="26"/>
      <c r="T3895" s="26">
        <v>900000</v>
      </c>
      <c r="U3895" s="26">
        <f t="shared" ref="U3895" si="2610">T3895*1.12</f>
        <v>1008000.0000000001</v>
      </c>
      <c r="V3895" s="19" t="s">
        <v>3182</v>
      </c>
      <c r="W3895" s="11">
        <v>2015</v>
      </c>
      <c r="X3895" s="27"/>
    </row>
    <row r="3896" spans="1:24" s="28" customFormat="1" ht="76.5" customHeight="1" x14ac:dyDescent="0.2">
      <c r="A3896" s="1" t="s">
        <v>3718</v>
      </c>
      <c r="B3896" s="24" t="s">
        <v>5277</v>
      </c>
      <c r="C3896" s="4" t="s">
        <v>6561</v>
      </c>
      <c r="D3896" s="4" t="s">
        <v>6559</v>
      </c>
      <c r="E3896" s="4" t="s">
        <v>6560</v>
      </c>
      <c r="F3896" s="4" t="s">
        <v>1703</v>
      </c>
      <c r="G3896" s="4" t="s">
        <v>1888</v>
      </c>
      <c r="H3896" s="17">
        <v>0.5</v>
      </c>
      <c r="I3896" s="18">
        <v>710000000</v>
      </c>
      <c r="J3896" s="4" t="s">
        <v>1931</v>
      </c>
      <c r="K3896" s="4" t="s">
        <v>5297</v>
      </c>
      <c r="L3896" s="7" t="s">
        <v>2985</v>
      </c>
      <c r="M3896" s="1"/>
      <c r="N3896" s="4" t="s">
        <v>1408</v>
      </c>
      <c r="O3896" s="4" t="s">
        <v>6232</v>
      </c>
      <c r="P3896" s="1"/>
      <c r="Q3896" s="1"/>
      <c r="R3896" s="26"/>
      <c r="S3896" s="26"/>
      <c r="T3896" s="26">
        <v>0</v>
      </c>
      <c r="U3896" s="26">
        <f t="shared" si="2608"/>
        <v>0</v>
      </c>
      <c r="V3896" s="56" t="s">
        <v>3182</v>
      </c>
      <c r="W3896" s="11">
        <v>2015</v>
      </c>
      <c r="X3896" s="27" t="s">
        <v>6565</v>
      </c>
    </row>
    <row r="3897" spans="1:24" s="28" customFormat="1" ht="63.75" customHeight="1" x14ac:dyDescent="0.2">
      <c r="A3897" s="1" t="s">
        <v>1833</v>
      </c>
      <c r="B3897" s="24" t="s">
        <v>5277</v>
      </c>
      <c r="C3897" s="4" t="s">
        <v>1704</v>
      </c>
      <c r="D3897" s="4" t="s">
        <v>1705</v>
      </c>
      <c r="E3897" s="4" t="s">
        <v>1706</v>
      </c>
      <c r="F3897" s="4" t="s">
        <v>1707</v>
      </c>
      <c r="G3897" s="4" t="s">
        <v>1888</v>
      </c>
      <c r="H3897" s="17">
        <v>0.5</v>
      </c>
      <c r="I3897" s="18">
        <v>710000000</v>
      </c>
      <c r="J3897" s="4" t="s">
        <v>1931</v>
      </c>
      <c r="K3897" s="4" t="s">
        <v>5292</v>
      </c>
      <c r="L3897" s="7" t="s">
        <v>1708</v>
      </c>
      <c r="M3897" s="1"/>
      <c r="N3897" s="4" t="s">
        <v>1408</v>
      </c>
      <c r="O3897" s="4" t="s">
        <v>6232</v>
      </c>
      <c r="P3897" s="1"/>
      <c r="Q3897" s="1"/>
      <c r="R3897" s="26"/>
      <c r="S3897" s="26"/>
      <c r="T3897" s="26">
        <v>0</v>
      </c>
      <c r="U3897" s="26">
        <f t="shared" si="2608"/>
        <v>0</v>
      </c>
      <c r="V3897" s="56" t="s">
        <v>3182</v>
      </c>
      <c r="W3897" s="11">
        <v>2015</v>
      </c>
      <c r="X3897" s="27" t="s">
        <v>6567</v>
      </c>
    </row>
    <row r="3898" spans="1:24" s="28" customFormat="1" ht="83.25" customHeight="1" x14ac:dyDescent="0.2">
      <c r="A3898" s="1" t="s">
        <v>6754</v>
      </c>
      <c r="B3898" s="24" t="s">
        <v>5277</v>
      </c>
      <c r="C3898" s="4" t="s">
        <v>1704</v>
      </c>
      <c r="D3898" s="4" t="s">
        <v>1705</v>
      </c>
      <c r="E3898" s="4" t="s">
        <v>1706</v>
      </c>
      <c r="F3898" s="4" t="s">
        <v>1707</v>
      </c>
      <c r="G3898" s="4" t="s">
        <v>1888</v>
      </c>
      <c r="H3898" s="17">
        <v>0.5</v>
      </c>
      <c r="I3898" s="18">
        <v>710000000</v>
      </c>
      <c r="J3898" s="4" t="s">
        <v>1931</v>
      </c>
      <c r="K3898" s="4" t="s">
        <v>5292</v>
      </c>
      <c r="L3898" s="7" t="s">
        <v>1708</v>
      </c>
      <c r="M3898" s="1"/>
      <c r="N3898" s="4" t="s">
        <v>1408</v>
      </c>
      <c r="O3898" s="4" t="s">
        <v>6232</v>
      </c>
      <c r="P3898" s="1"/>
      <c r="Q3898" s="1"/>
      <c r="R3898" s="26"/>
      <c r="S3898" s="26"/>
      <c r="T3898" s="26">
        <v>0</v>
      </c>
      <c r="U3898" s="26">
        <f t="shared" ref="U3898" si="2611">T3898*1.12</f>
        <v>0</v>
      </c>
      <c r="V3898" s="56" t="s">
        <v>3182</v>
      </c>
      <c r="W3898" s="11">
        <v>2015</v>
      </c>
      <c r="X3898" s="27" t="s">
        <v>6574</v>
      </c>
    </row>
    <row r="3899" spans="1:24" s="28" customFormat="1" ht="114.75" customHeight="1" x14ac:dyDescent="0.2">
      <c r="A3899" s="1" t="s">
        <v>7623</v>
      </c>
      <c r="B3899" s="24" t="s">
        <v>5277</v>
      </c>
      <c r="C3899" s="4" t="s">
        <v>1704</v>
      </c>
      <c r="D3899" s="4" t="s">
        <v>1705</v>
      </c>
      <c r="E3899" s="4" t="s">
        <v>1706</v>
      </c>
      <c r="F3899" s="4" t="s">
        <v>7624</v>
      </c>
      <c r="G3899" s="4" t="s">
        <v>1888</v>
      </c>
      <c r="H3899" s="17">
        <v>0.5</v>
      </c>
      <c r="I3899" s="18">
        <v>710000000</v>
      </c>
      <c r="J3899" s="4" t="s">
        <v>1931</v>
      </c>
      <c r="K3899" s="4" t="s">
        <v>5292</v>
      </c>
      <c r="L3899" s="7" t="s">
        <v>1708</v>
      </c>
      <c r="M3899" s="1"/>
      <c r="N3899" s="4" t="s">
        <v>1408</v>
      </c>
      <c r="O3899" s="4" t="s">
        <v>6232</v>
      </c>
      <c r="P3899" s="1"/>
      <c r="Q3899" s="1"/>
      <c r="R3899" s="26"/>
      <c r="S3899" s="26"/>
      <c r="T3899" s="26">
        <v>0</v>
      </c>
      <c r="U3899" s="26">
        <f t="shared" ref="U3899:U3900" si="2612">T3899*1.12</f>
        <v>0</v>
      </c>
      <c r="V3899" s="56" t="s">
        <v>3182</v>
      </c>
      <c r="W3899" s="11">
        <v>2015</v>
      </c>
      <c r="X3899" s="27" t="s">
        <v>8355</v>
      </c>
    </row>
    <row r="3900" spans="1:24" s="28" customFormat="1" ht="140.25" customHeight="1" x14ac:dyDescent="0.2">
      <c r="A3900" s="1" t="s">
        <v>7656</v>
      </c>
      <c r="B3900" s="24" t="s">
        <v>5277</v>
      </c>
      <c r="C3900" s="4" t="s">
        <v>1704</v>
      </c>
      <c r="D3900" s="4" t="s">
        <v>1705</v>
      </c>
      <c r="E3900" s="4" t="s">
        <v>1706</v>
      </c>
      <c r="F3900" s="4" t="s">
        <v>8889</v>
      </c>
      <c r="G3900" s="4" t="s">
        <v>1888</v>
      </c>
      <c r="H3900" s="17">
        <v>0.5</v>
      </c>
      <c r="I3900" s="18">
        <v>710000000</v>
      </c>
      <c r="J3900" s="4" t="s">
        <v>1931</v>
      </c>
      <c r="K3900" s="4" t="s">
        <v>5292</v>
      </c>
      <c r="L3900" s="7" t="s">
        <v>1708</v>
      </c>
      <c r="M3900" s="1"/>
      <c r="N3900" s="4" t="s">
        <v>1408</v>
      </c>
      <c r="O3900" s="4" t="s">
        <v>7668</v>
      </c>
      <c r="P3900" s="1"/>
      <c r="Q3900" s="1"/>
      <c r="R3900" s="26"/>
      <c r="S3900" s="26"/>
      <c r="T3900" s="26">
        <v>0</v>
      </c>
      <c r="U3900" s="26">
        <f t="shared" si="2612"/>
        <v>0</v>
      </c>
      <c r="V3900" s="56" t="s">
        <v>3182</v>
      </c>
      <c r="W3900" s="11">
        <v>2015</v>
      </c>
      <c r="X3900" s="27" t="s">
        <v>7006</v>
      </c>
    </row>
    <row r="3901" spans="1:24" s="84" customFormat="1" ht="140.25" customHeight="1" x14ac:dyDescent="0.2">
      <c r="A3901" s="1" t="s">
        <v>8702</v>
      </c>
      <c r="B3901" s="24" t="s">
        <v>5277</v>
      </c>
      <c r="C3901" s="4" t="s">
        <v>1704</v>
      </c>
      <c r="D3901" s="4" t="s">
        <v>1705</v>
      </c>
      <c r="E3901" s="4" t="s">
        <v>1706</v>
      </c>
      <c r="F3901" s="4" t="s">
        <v>8889</v>
      </c>
      <c r="G3901" s="4" t="s">
        <v>1888</v>
      </c>
      <c r="H3901" s="22">
        <v>0.5</v>
      </c>
      <c r="I3901" s="18">
        <v>710000000</v>
      </c>
      <c r="J3901" s="4" t="s">
        <v>8683</v>
      </c>
      <c r="K3901" s="4" t="s">
        <v>8703</v>
      </c>
      <c r="L3901" s="7" t="s">
        <v>1708</v>
      </c>
      <c r="M3901" s="8"/>
      <c r="N3901" s="8" t="s">
        <v>1408</v>
      </c>
      <c r="O3901" s="8" t="s">
        <v>8888</v>
      </c>
      <c r="P3901" s="8"/>
      <c r="Q3901" s="8"/>
      <c r="R3901" s="117"/>
      <c r="S3901" s="118"/>
      <c r="T3901" s="118">
        <v>0</v>
      </c>
      <c r="U3901" s="118">
        <v>0</v>
      </c>
      <c r="V3901" s="11" t="s">
        <v>3182</v>
      </c>
      <c r="W3901" s="11">
        <v>2015</v>
      </c>
      <c r="X3901" s="4" t="s">
        <v>8939</v>
      </c>
    </row>
    <row r="3902" spans="1:24" s="84" customFormat="1" ht="150" customHeight="1" x14ac:dyDescent="0.2">
      <c r="A3902" s="1" t="s">
        <v>8940</v>
      </c>
      <c r="B3902" s="24" t="s">
        <v>5277</v>
      </c>
      <c r="C3902" s="4" t="s">
        <v>1704</v>
      </c>
      <c r="D3902" s="4" t="s">
        <v>1705</v>
      </c>
      <c r="E3902" s="4" t="s">
        <v>1706</v>
      </c>
      <c r="F3902" s="4" t="s">
        <v>8941</v>
      </c>
      <c r="G3902" s="4" t="s">
        <v>1888</v>
      </c>
      <c r="H3902" s="22">
        <v>0.5</v>
      </c>
      <c r="I3902" s="18">
        <v>710000000</v>
      </c>
      <c r="J3902" s="4" t="s">
        <v>8683</v>
      </c>
      <c r="K3902" s="4" t="s">
        <v>8942</v>
      </c>
      <c r="L3902" s="7" t="s">
        <v>1708</v>
      </c>
      <c r="M3902" s="8"/>
      <c r="N3902" s="8" t="s">
        <v>1408</v>
      </c>
      <c r="O3902" s="8" t="s">
        <v>8943</v>
      </c>
      <c r="P3902" s="8"/>
      <c r="Q3902" s="8"/>
      <c r="R3902" s="117"/>
      <c r="S3902" s="118"/>
      <c r="T3902" s="118">
        <v>478728350.88999999</v>
      </c>
      <c r="U3902" s="118">
        <f>T3902*1.12</f>
        <v>536175752.99680001</v>
      </c>
      <c r="V3902" s="11" t="s">
        <v>3182</v>
      </c>
      <c r="W3902" s="11">
        <v>2015</v>
      </c>
      <c r="X3902" s="4"/>
    </row>
    <row r="3903" spans="1:24" s="28" customFormat="1" ht="51" customHeight="1" x14ac:dyDescent="0.2">
      <c r="A3903" s="1" t="s">
        <v>3719</v>
      </c>
      <c r="B3903" s="24" t="s">
        <v>5277</v>
      </c>
      <c r="C3903" s="4" t="s">
        <v>1709</v>
      </c>
      <c r="D3903" s="4" t="s">
        <v>1710</v>
      </c>
      <c r="E3903" s="4" t="s">
        <v>1710</v>
      </c>
      <c r="F3903" s="4" t="s">
        <v>1711</v>
      </c>
      <c r="G3903" s="4" t="s">
        <v>1888</v>
      </c>
      <c r="H3903" s="17">
        <v>0.5</v>
      </c>
      <c r="I3903" s="18">
        <v>710000000</v>
      </c>
      <c r="J3903" s="4" t="s">
        <v>1931</v>
      </c>
      <c r="K3903" s="4" t="s">
        <v>5297</v>
      </c>
      <c r="L3903" s="7" t="s">
        <v>1708</v>
      </c>
      <c r="M3903" s="1"/>
      <c r="N3903" s="4" t="s">
        <v>1408</v>
      </c>
      <c r="O3903" s="4" t="s">
        <v>6232</v>
      </c>
      <c r="P3903" s="1"/>
      <c r="Q3903" s="1"/>
      <c r="R3903" s="26"/>
      <c r="S3903" s="26"/>
      <c r="T3903" s="26">
        <v>0</v>
      </c>
      <c r="U3903" s="26">
        <f t="shared" si="2608"/>
        <v>0</v>
      </c>
      <c r="V3903" s="56" t="s">
        <v>3182</v>
      </c>
      <c r="W3903" s="11">
        <v>2015</v>
      </c>
      <c r="X3903" s="27" t="s">
        <v>7669</v>
      </c>
    </row>
    <row r="3904" spans="1:24" s="28" customFormat="1" ht="51" customHeight="1" x14ac:dyDescent="0.2">
      <c r="A3904" s="1" t="s">
        <v>7625</v>
      </c>
      <c r="B3904" s="24" t="s">
        <v>5277</v>
      </c>
      <c r="C3904" s="4" t="s">
        <v>1709</v>
      </c>
      <c r="D3904" s="4" t="s">
        <v>1710</v>
      </c>
      <c r="E3904" s="4" t="s">
        <v>1710</v>
      </c>
      <c r="F3904" s="4" t="s">
        <v>1711</v>
      </c>
      <c r="G3904" s="4" t="s">
        <v>1888</v>
      </c>
      <c r="H3904" s="17">
        <v>0.5</v>
      </c>
      <c r="I3904" s="18">
        <v>710000000</v>
      </c>
      <c r="J3904" s="4" t="s">
        <v>1931</v>
      </c>
      <c r="K3904" s="4" t="s">
        <v>756</v>
      </c>
      <c r="L3904" s="7" t="s">
        <v>1708</v>
      </c>
      <c r="M3904" s="1"/>
      <c r="N3904" s="4" t="s">
        <v>7633</v>
      </c>
      <c r="O3904" s="4" t="s">
        <v>6232</v>
      </c>
      <c r="P3904" s="1"/>
      <c r="Q3904" s="1"/>
      <c r="R3904" s="26"/>
      <c r="S3904" s="26"/>
      <c r="T3904" s="26">
        <f>118908721-58026000</f>
        <v>60882721</v>
      </c>
      <c r="U3904" s="26">
        <f t="shared" ref="U3904" si="2613">T3904*1.12</f>
        <v>68188647.520000011</v>
      </c>
      <c r="V3904" s="56" t="s">
        <v>3182</v>
      </c>
      <c r="W3904" s="11">
        <v>2015</v>
      </c>
      <c r="X3904" s="27"/>
    </row>
    <row r="3905" spans="1:25" s="28" customFormat="1" ht="51" customHeight="1" x14ac:dyDescent="0.2">
      <c r="A3905" s="1" t="s">
        <v>3720</v>
      </c>
      <c r="B3905" s="24" t="s">
        <v>5277</v>
      </c>
      <c r="C3905" s="4" t="s">
        <v>6561</v>
      </c>
      <c r="D3905" s="4" t="s">
        <v>6559</v>
      </c>
      <c r="E3905" s="4" t="s">
        <v>6560</v>
      </c>
      <c r="F3905" s="4" t="s">
        <v>1712</v>
      </c>
      <c r="G3905" s="4" t="s">
        <v>1888</v>
      </c>
      <c r="H3905" s="17">
        <v>0.5</v>
      </c>
      <c r="I3905" s="18">
        <v>710000000</v>
      </c>
      <c r="J3905" s="4" t="s">
        <v>1931</v>
      </c>
      <c r="K3905" s="4" t="s">
        <v>6167</v>
      </c>
      <c r="L3905" s="7" t="s">
        <v>1708</v>
      </c>
      <c r="M3905" s="1"/>
      <c r="N3905" s="4" t="s">
        <v>1408</v>
      </c>
      <c r="O3905" s="4" t="s">
        <v>6232</v>
      </c>
      <c r="P3905" s="1"/>
      <c r="Q3905" s="1"/>
      <c r="R3905" s="26"/>
      <c r="S3905" s="26"/>
      <c r="T3905" s="26">
        <v>0</v>
      </c>
      <c r="U3905" s="26">
        <f t="shared" si="2608"/>
        <v>0</v>
      </c>
      <c r="V3905" s="56" t="s">
        <v>3182</v>
      </c>
      <c r="W3905" s="11">
        <v>2015</v>
      </c>
      <c r="X3905" s="27" t="s">
        <v>6565</v>
      </c>
    </row>
    <row r="3906" spans="1:25" s="28" customFormat="1" ht="63.75" customHeight="1" x14ac:dyDescent="0.2">
      <c r="A3906" s="1" t="s">
        <v>3721</v>
      </c>
      <c r="B3906" s="24" t="s">
        <v>5277</v>
      </c>
      <c r="C3906" s="4" t="s">
        <v>1713</v>
      </c>
      <c r="D3906" s="4" t="s">
        <v>1714</v>
      </c>
      <c r="E3906" s="4" t="s">
        <v>1714</v>
      </c>
      <c r="F3906" s="4" t="s">
        <v>1715</v>
      </c>
      <c r="G3906" s="4" t="s">
        <v>1888</v>
      </c>
      <c r="H3906" s="17">
        <v>0.5</v>
      </c>
      <c r="I3906" s="18">
        <v>710000000</v>
      </c>
      <c r="J3906" s="4" t="s">
        <v>1931</v>
      </c>
      <c r="K3906" s="4" t="s">
        <v>5297</v>
      </c>
      <c r="L3906" s="7" t="s">
        <v>1708</v>
      </c>
      <c r="M3906" s="1"/>
      <c r="N3906" s="4" t="s">
        <v>1408</v>
      </c>
      <c r="O3906" s="4" t="s">
        <v>6232</v>
      </c>
      <c r="P3906" s="1"/>
      <c r="Q3906" s="1"/>
      <c r="R3906" s="26"/>
      <c r="S3906" s="26"/>
      <c r="T3906" s="26">
        <v>0</v>
      </c>
      <c r="U3906" s="26">
        <f t="shared" si="2608"/>
        <v>0</v>
      </c>
      <c r="V3906" s="56" t="s">
        <v>3182</v>
      </c>
      <c r="W3906" s="11">
        <v>2015</v>
      </c>
      <c r="X3906" s="27" t="s">
        <v>6567</v>
      </c>
    </row>
    <row r="3907" spans="1:25" s="28" customFormat="1" ht="63.75" customHeight="1" x14ac:dyDescent="0.2">
      <c r="A3907" s="1" t="s">
        <v>6755</v>
      </c>
      <c r="B3907" s="24" t="s">
        <v>5277</v>
      </c>
      <c r="C3907" s="4" t="s">
        <v>1713</v>
      </c>
      <c r="D3907" s="4" t="s">
        <v>1714</v>
      </c>
      <c r="E3907" s="4" t="s">
        <v>1714</v>
      </c>
      <c r="F3907" s="4" t="s">
        <v>1715</v>
      </c>
      <c r="G3907" s="4" t="s">
        <v>1888</v>
      </c>
      <c r="H3907" s="17">
        <v>0.5</v>
      </c>
      <c r="I3907" s="18">
        <v>710000000</v>
      </c>
      <c r="J3907" s="4" t="s">
        <v>1931</v>
      </c>
      <c r="K3907" s="4" t="s">
        <v>5297</v>
      </c>
      <c r="L3907" s="7" t="s">
        <v>1708</v>
      </c>
      <c r="M3907" s="1"/>
      <c r="N3907" s="4" t="s">
        <v>1408</v>
      </c>
      <c r="O3907" s="4" t="s">
        <v>6232</v>
      </c>
      <c r="P3907" s="1"/>
      <c r="Q3907" s="1"/>
      <c r="R3907" s="26"/>
      <c r="S3907" s="26"/>
      <c r="T3907" s="26">
        <v>0</v>
      </c>
      <c r="U3907" s="26">
        <f t="shared" si="2608"/>
        <v>0</v>
      </c>
      <c r="V3907" s="56" t="s">
        <v>3182</v>
      </c>
      <c r="W3907" s="11">
        <v>2015</v>
      </c>
      <c r="X3907" s="27" t="s">
        <v>7669</v>
      </c>
    </row>
    <row r="3908" spans="1:25" s="61" customFormat="1" ht="63.75" customHeight="1" x14ac:dyDescent="0.2">
      <c r="A3908" s="1" t="s">
        <v>8700</v>
      </c>
      <c r="B3908" s="24" t="s">
        <v>5277</v>
      </c>
      <c r="C3908" s="4" t="s">
        <v>1713</v>
      </c>
      <c r="D3908" s="4" t="s">
        <v>1714</v>
      </c>
      <c r="E3908" s="4" t="s">
        <v>1714</v>
      </c>
      <c r="F3908" s="4" t="s">
        <v>1715</v>
      </c>
      <c r="G3908" s="4" t="s">
        <v>1888</v>
      </c>
      <c r="H3908" s="17">
        <v>0.5</v>
      </c>
      <c r="I3908" s="18">
        <v>710000000</v>
      </c>
      <c r="J3908" s="4" t="s">
        <v>8683</v>
      </c>
      <c r="K3908" s="4" t="s">
        <v>6167</v>
      </c>
      <c r="L3908" s="7" t="s">
        <v>1708</v>
      </c>
      <c r="M3908" s="1"/>
      <c r="N3908" s="4" t="s">
        <v>8701</v>
      </c>
      <c r="O3908" s="4" t="s">
        <v>6232</v>
      </c>
      <c r="P3908" s="1"/>
      <c r="Q3908" s="1"/>
      <c r="R3908" s="26"/>
      <c r="S3908" s="26"/>
      <c r="T3908" s="26">
        <f>U3908/1.12</f>
        <v>120535024.99999999</v>
      </c>
      <c r="U3908" s="26">
        <v>134999228</v>
      </c>
      <c r="V3908" s="56" t="s">
        <v>3182</v>
      </c>
      <c r="W3908" s="11">
        <v>2015</v>
      </c>
      <c r="X3908" s="27"/>
    </row>
    <row r="3909" spans="1:25" s="28" customFormat="1" ht="38.25" customHeight="1" x14ac:dyDescent="0.2">
      <c r="A3909" s="1" t="s">
        <v>3722</v>
      </c>
      <c r="B3909" s="24" t="s">
        <v>5277</v>
      </c>
      <c r="C3909" s="4" t="s">
        <v>1716</v>
      </c>
      <c r="D3909" s="4" t="s">
        <v>1717</v>
      </c>
      <c r="E3909" s="4" t="s">
        <v>1717</v>
      </c>
      <c r="F3909" s="4" t="s">
        <v>1718</v>
      </c>
      <c r="G3909" s="4" t="s">
        <v>1888</v>
      </c>
      <c r="H3909" s="17">
        <v>0.5</v>
      </c>
      <c r="I3909" s="18">
        <v>710000000</v>
      </c>
      <c r="J3909" s="4" t="s">
        <v>1931</v>
      </c>
      <c r="K3909" s="4" t="s">
        <v>5706</v>
      </c>
      <c r="L3909" s="7" t="s">
        <v>6394</v>
      </c>
      <c r="M3909" s="1"/>
      <c r="N3909" s="4" t="s">
        <v>1408</v>
      </c>
      <c r="O3909" s="4" t="s">
        <v>6232</v>
      </c>
      <c r="P3909" s="1"/>
      <c r="Q3909" s="1"/>
      <c r="R3909" s="26"/>
      <c r="S3909" s="26"/>
      <c r="T3909" s="26">
        <v>43599480</v>
      </c>
      <c r="U3909" s="26">
        <f t="shared" si="2608"/>
        <v>48831417.600000001</v>
      </c>
      <c r="V3909" s="56" t="s">
        <v>3182</v>
      </c>
      <c r="W3909" s="11">
        <v>2015</v>
      </c>
      <c r="X3909" s="27"/>
    </row>
    <row r="3910" spans="1:25" s="28" customFormat="1" ht="51" customHeight="1" x14ac:dyDescent="0.2">
      <c r="A3910" s="1" t="s">
        <v>3723</v>
      </c>
      <c r="B3910" s="15" t="s">
        <v>5277</v>
      </c>
      <c r="C3910" s="4" t="s">
        <v>1719</v>
      </c>
      <c r="D3910" s="4" t="s">
        <v>1720</v>
      </c>
      <c r="E3910" s="4" t="s">
        <v>1721</v>
      </c>
      <c r="F3910" s="4"/>
      <c r="G3910" s="1" t="s">
        <v>3187</v>
      </c>
      <c r="H3910" s="17">
        <v>0.5</v>
      </c>
      <c r="I3910" s="18">
        <v>710000000</v>
      </c>
      <c r="J3910" s="4" t="s">
        <v>1931</v>
      </c>
      <c r="K3910" s="4" t="s">
        <v>5297</v>
      </c>
      <c r="L3910" s="7" t="s">
        <v>1933</v>
      </c>
      <c r="M3910" s="1"/>
      <c r="N3910" s="4" t="s">
        <v>1408</v>
      </c>
      <c r="O3910" s="4" t="s">
        <v>6232</v>
      </c>
      <c r="P3910" s="1"/>
      <c r="Q3910" s="4"/>
      <c r="R3910" s="26"/>
      <c r="S3910" s="26"/>
      <c r="T3910" s="26">
        <v>4000000</v>
      </c>
      <c r="U3910" s="26">
        <f t="shared" si="2608"/>
        <v>4480000</v>
      </c>
      <c r="V3910" s="19" t="s">
        <v>3182</v>
      </c>
      <c r="W3910" s="11">
        <v>2015</v>
      </c>
      <c r="X3910" s="27"/>
    </row>
    <row r="3911" spans="1:25" s="28" customFormat="1" ht="51" customHeight="1" x14ac:dyDescent="0.2">
      <c r="A3911" s="1" t="s">
        <v>3724</v>
      </c>
      <c r="B3911" s="15" t="s">
        <v>5277</v>
      </c>
      <c r="C3911" s="4" t="s">
        <v>1722</v>
      </c>
      <c r="D3911" s="4" t="s">
        <v>1723</v>
      </c>
      <c r="E3911" s="4" t="s">
        <v>1723</v>
      </c>
      <c r="F3911" s="4"/>
      <c r="G3911" s="1" t="s">
        <v>3187</v>
      </c>
      <c r="H3911" s="17">
        <v>0.5</v>
      </c>
      <c r="I3911" s="18">
        <v>710000000</v>
      </c>
      <c r="J3911" s="4" t="s">
        <v>1931</v>
      </c>
      <c r="K3911" s="4" t="s">
        <v>5297</v>
      </c>
      <c r="L3911" s="7" t="s">
        <v>1724</v>
      </c>
      <c r="M3911" s="1"/>
      <c r="N3911" s="4" t="s">
        <v>1408</v>
      </c>
      <c r="O3911" s="4" t="s">
        <v>6232</v>
      </c>
      <c r="P3911" s="1"/>
      <c r="Q3911" s="4"/>
      <c r="R3911" s="26"/>
      <c r="S3911" s="26"/>
      <c r="T3911" s="26">
        <v>0</v>
      </c>
      <c r="U3911" s="26">
        <f t="shared" si="2608"/>
        <v>0</v>
      </c>
      <c r="V3911" s="19" t="s">
        <v>3182</v>
      </c>
      <c r="W3911" s="11">
        <v>2015</v>
      </c>
      <c r="X3911" s="27" t="s">
        <v>7006</v>
      </c>
    </row>
    <row r="3912" spans="1:25" s="28" customFormat="1" ht="51" customHeight="1" x14ac:dyDescent="0.2">
      <c r="A3912" s="1" t="s">
        <v>7662</v>
      </c>
      <c r="B3912" s="15" t="s">
        <v>5277</v>
      </c>
      <c r="C3912" s="4" t="s">
        <v>1722</v>
      </c>
      <c r="D3912" s="4" t="s">
        <v>1723</v>
      </c>
      <c r="E3912" s="4" t="s">
        <v>1723</v>
      </c>
      <c r="F3912" s="4"/>
      <c r="G3912" s="1" t="s">
        <v>3187</v>
      </c>
      <c r="H3912" s="17">
        <v>0.5</v>
      </c>
      <c r="I3912" s="18">
        <v>710000000</v>
      </c>
      <c r="J3912" s="4" t="s">
        <v>1931</v>
      </c>
      <c r="K3912" s="4" t="s">
        <v>756</v>
      </c>
      <c r="L3912" s="7" t="s">
        <v>1724</v>
      </c>
      <c r="M3912" s="1"/>
      <c r="N3912" s="4" t="s">
        <v>1408</v>
      </c>
      <c r="O3912" s="4" t="s">
        <v>6232</v>
      </c>
      <c r="P3912" s="1"/>
      <c r="Q3912" s="4"/>
      <c r="R3912" s="26"/>
      <c r="S3912" s="26"/>
      <c r="T3912" s="26">
        <v>0</v>
      </c>
      <c r="U3912" s="26">
        <f t="shared" ref="U3912" si="2614">T3912*1.12</f>
        <v>0</v>
      </c>
      <c r="V3912" s="19" t="s">
        <v>3182</v>
      </c>
      <c r="W3912" s="11">
        <v>2015</v>
      </c>
      <c r="X3912" s="27" t="s">
        <v>7632</v>
      </c>
      <c r="Y3912" s="99"/>
    </row>
    <row r="3913" spans="1:25" s="28" customFormat="1" ht="51" customHeight="1" x14ac:dyDescent="0.2">
      <c r="A3913" s="1" t="s">
        <v>8984</v>
      </c>
      <c r="B3913" s="15" t="s">
        <v>5277</v>
      </c>
      <c r="C3913" s="4" t="s">
        <v>1722</v>
      </c>
      <c r="D3913" s="4" t="s">
        <v>1723</v>
      </c>
      <c r="E3913" s="4" t="s">
        <v>1723</v>
      </c>
      <c r="F3913" s="4"/>
      <c r="G3913" s="1" t="s">
        <v>3190</v>
      </c>
      <c r="H3913" s="17">
        <v>0.5</v>
      </c>
      <c r="I3913" s="18">
        <v>710000000</v>
      </c>
      <c r="J3913" s="4" t="s">
        <v>1931</v>
      </c>
      <c r="K3913" s="4" t="s">
        <v>8946</v>
      </c>
      <c r="L3913" s="7" t="s">
        <v>1724</v>
      </c>
      <c r="M3913" s="1"/>
      <c r="N3913" s="4" t="s">
        <v>1408</v>
      </c>
      <c r="O3913" s="4" t="s">
        <v>6232</v>
      </c>
      <c r="P3913" s="1"/>
      <c r="Q3913" s="4"/>
      <c r="R3913" s="26"/>
      <c r="S3913" s="26"/>
      <c r="T3913" s="26">
        <f>792857+850257</f>
        <v>1643114</v>
      </c>
      <c r="U3913" s="26">
        <f t="shared" ref="U3913" si="2615">T3913*1.12</f>
        <v>1840287.6800000002</v>
      </c>
      <c r="V3913" s="19" t="s">
        <v>3182</v>
      </c>
      <c r="W3913" s="11">
        <v>2015</v>
      </c>
      <c r="X3913" s="27"/>
      <c r="Y3913" s="99"/>
    </row>
    <row r="3914" spans="1:25" s="28" customFormat="1" ht="51" customHeight="1" x14ac:dyDescent="0.2">
      <c r="A3914" s="1" t="s">
        <v>4112</v>
      </c>
      <c r="B3914" s="15" t="s">
        <v>5277</v>
      </c>
      <c r="C3914" s="4" t="s">
        <v>1722</v>
      </c>
      <c r="D3914" s="4" t="s">
        <v>1723</v>
      </c>
      <c r="E3914" s="4" t="s">
        <v>1723</v>
      </c>
      <c r="F3914" s="4"/>
      <c r="G3914" s="1" t="s">
        <v>3187</v>
      </c>
      <c r="H3914" s="17">
        <v>0.5</v>
      </c>
      <c r="I3914" s="18">
        <v>710000000</v>
      </c>
      <c r="J3914" s="4" t="s">
        <v>1931</v>
      </c>
      <c r="K3914" s="4" t="s">
        <v>5297</v>
      </c>
      <c r="L3914" s="7" t="s">
        <v>1409</v>
      </c>
      <c r="M3914" s="1"/>
      <c r="N3914" s="4" t="s">
        <v>1408</v>
      </c>
      <c r="O3914" s="4" t="s">
        <v>6232</v>
      </c>
      <c r="P3914" s="1"/>
      <c r="Q3914" s="4"/>
      <c r="R3914" s="26"/>
      <c r="S3914" s="26"/>
      <c r="T3914" s="26">
        <v>0</v>
      </c>
      <c r="U3914" s="26">
        <f t="shared" si="2608"/>
        <v>0</v>
      </c>
      <c r="V3914" s="19" t="s">
        <v>3182</v>
      </c>
      <c r="W3914" s="11">
        <v>2015</v>
      </c>
      <c r="X3914" s="27" t="s">
        <v>7006</v>
      </c>
    </row>
    <row r="3915" spans="1:25" s="28" customFormat="1" ht="51" customHeight="1" x14ac:dyDescent="0.2">
      <c r="A3915" s="1" t="s">
        <v>7663</v>
      </c>
      <c r="B3915" s="15" t="s">
        <v>5277</v>
      </c>
      <c r="C3915" s="4" t="s">
        <v>1722</v>
      </c>
      <c r="D3915" s="4" t="s">
        <v>1723</v>
      </c>
      <c r="E3915" s="4" t="s">
        <v>1723</v>
      </c>
      <c r="F3915" s="4"/>
      <c r="G3915" s="1" t="s">
        <v>3187</v>
      </c>
      <c r="H3915" s="17">
        <v>0.5</v>
      </c>
      <c r="I3915" s="18">
        <v>710000000</v>
      </c>
      <c r="J3915" s="4" t="s">
        <v>1931</v>
      </c>
      <c r="K3915" s="4" t="s">
        <v>756</v>
      </c>
      <c r="L3915" s="7" t="s">
        <v>1409</v>
      </c>
      <c r="M3915" s="1"/>
      <c r="N3915" s="4" t="s">
        <v>1408</v>
      </c>
      <c r="O3915" s="4" t="s">
        <v>6232</v>
      </c>
      <c r="P3915" s="1"/>
      <c r="Q3915" s="4"/>
      <c r="R3915" s="26"/>
      <c r="S3915" s="26"/>
      <c r="T3915" s="26">
        <v>0</v>
      </c>
      <c r="U3915" s="26">
        <f t="shared" ref="U3915" si="2616">T3915*1.12</f>
        <v>0</v>
      </c>
      <c r="V3915" s="19" t="s">
        <v>3182</v>
      </c>
      <c r="W3915" s="11">
        <v>2015</v>
      </c>
      <c r="X3915" s="27" t="s">
        <v>6565</v>
      </c>
      <c r="Y3915" s="99"/>
    </row>
    <row r="3916" spans="1:25" s="28" customFormat="1" ht="51" customHeight="1" x14ac:dyDescent="0.2">
      <c r="A3916" s="1" t="s">
        <v>4113</v>
      </c>
      <c r="B3916" s="15" t="s">
        <v>5277</v>
      </c>
      <c r="C3916" s="4" t="s">
        <v>1725</v>
      </c>
      <c r="D3916" s="4" t="s">
        <v>1726</v>
      </c>
      <c r="E3916" s="4" t="s">
        <v>1726</v>
      </c>
      <c r="F3916" s="4"/>
      <c r="G3916" s="1" t="s">
        <v>3190</v>
      </c>
      <c r="H3916" s="17">
        <v>0.5</v>
      </c>
      <c r="I3916" s="18">
        <v>710000000</v>
      </c>
      <c r="J3916" s="4" t="s">
        <v>1931</v>
      </c>
      <c r="K3916" s="4" t="s">
        <v>5297</v>
      </c>
      <c r="L3916" s="7" t="s">
        <v>1708</v>
      </c>
      <c r="M3916" s="1"/>
      <c r="N3916" s="4" t="s">
        <v>1408</v>
      </c>
      <c r="O3916" s="4" t="s">
        <v>6232</v>
      </c>
      <c r="P3916" s="1"/>
      <c r="Q3916" s="4"/>
      <c r="R3916" s="26"/>
      <c r="S3916" s="26"/>
      <c r="T3916" s="26">
        <v>2232143</v>
      </c>
      <c r="U3916" s="26">
        <f t="shared" si="2608"/>
        <v>2500000.16</v>
      </c>
      <c r="V3916" s="19" t="s">
        <v>3182</v>
      </c>
      <c r="W3916" s="11">
        <v>2015</v>
      </c>
      <c r="X3916" s="27"/>
    </row>
    <row r="3917" spans="1:25" s="28" customFormat="1" ht="38.25" customHeight="1" x14ac:dyDescent="0.2">
      <c r="A3917" s="1" t="s">
        <v>3705</v>
      </c>
      <c r="B3917" s="15" t="s">
        <v>5277</v>
      </c>
      <c r="C3917" s="4" t="s">
        <v>1727</v>
      </c>
      <c r="D3917" s="4" t="s">
        <v>1728</v>
      </c>
      <c r="E3917" s="4" t="s">
        <v>1728</v>
      </c>
      <c r="F3917" s="4" t="s">
        <v>1729</v>
      </c>
      <c r="G3917" s="1" t="s">
        <v>3190</v>
      </c>
      <c r="H3917" s="17">
        <v>0.5</v>
      </c>
      <c r="I3917" s="18">
        <v>710000000</v>
      </c>
      <c r="J3917" s="4" t="s">
        <v>1931</v>
      </c>
      <c r="K3917" s="4" t="s">
        <v>5297</v>
      </c>
      <c r="L3917" s="7" t="s">
        <v>2985</v>
      </c>
      <c r="M3917" s="1"/>
      <c r="N3917" s="4" t="s">
        <v>1408</v>
      </c>
      <c r="O3917" s="4" t="s">
        <v>6232</v>
      </c>
      <c r="P3917" s="1"/>
      <c r="Q3917" s="4"/>
      <c r="R3917" s="26"/>
      <c r="S3917" s="26"/>
      <c r="T3917" s="26">
        <f>317857+705180</f>
        <v>1023037</v>
      </c>
      <c r="U3917" s="26">
        <f t="shared" si="2608"/>
        <v>1145801.4400000002</v>
      </c>
      <c r="V3917" s="19" t="s">
        <v>3182</v>
      </c>
      <c r="W3917" s="11">
        <v>2015</v>
      </c>
      <c r="X3917" s="27"/>
    </row>
    <row r="3918" spans="1:25" s="28" customFormat="1" ht="51" customHeight="1" x14ac:dyDescent="0.2">
      <c r="A3918" s="1" t="s">
        <v>4205</v>
      </c>
      <c r="B3918" s="15" t="s">
        <v>5277</v>
      </c>
      <c r="C3918" s="4" t="s">
        <v>1730</v>
      </c>
      <c r="D3918" s="4" t="s">
        <v>1731</v>
      </c>
      <c r="E3918" s="4" t="s">
        <v>1731</v>
      </c>
      <c r="F3918" s="4"/>
      <c r="G3918" s="1" t="s">
        <v>3187</v>
      </c>
      <c r="H3918" s="17">
        <v>0.5</v>
      </c>
      <c r="I3918" s="18">
        <v>710000000</v>
      </c>
      <c r="J3918" s="4" t="s">
        <v>1931</v>
      </c>
      <c r="K3918" s="4" t="s">
        <v>5297</v>
      </c>
      <c r="L3918" s="7" t="s">
        <v>2985</v>
      </c>
      <c r="M3918" s="1"/>
      <c r="N3918" s="4" t="s">
        <v>1408</v>
      </c>
      <c r="O3918" s="4" t="s">
        <v>6232</v>
      </c>
      <c r="P3918" s="1"/>
      <c r="Q3918" s="4"/>
      <c r="R3918" s="26"/>
      <c r="S3918" s="26"/>
      <c r="T3918" s="26">
        <v>2678570</v>
      </c>
      <c r="U3918" s="26">
        <f t="shared" si="2608"/>
        <v>2999998.4000000004</v>
      </c>
      <c r="V3918" s="19" t="s">
        <v>3182</v>
      </c>
      <c r="W3918" s="11">
        <v>2015</v>
      </c>
      <c r="X3918" s="27"/>
    </row>
    <row r="3919" spans="1:25" s="28" customFormat="1" ht="38.25" customHeight="1" x14ac:dyDescent="0.2">
      <c r="A3919" s="1" t="s">
        <v>577</v>
      </c>
      <c r="B3919" s="15" t="s">
        <v>5277</v>
      </c>
      <c r="C3919" s="4" t="s">
        <v>3702</v>
      </c>
      <c r="D3919" s="4" t="s">
        <v>6244</v>
      </c>
      <c r="E3919" s="4" t="s">
        <v>6245</v>
      </c>
      <c r="F3919" s="4" t="s">
        <v>1732</v>
      </c>
      <c r="G3919" s="1" t="s">
        <v>3190</v>
      </c>
      <c r="H3919" s="17">
        <v>0.5</v>
      </c>
      <c r="I3919" s="18">
        <v>710000000</v>
      </c>
      <c r="J3919" s="4" t="s">
        <v>1931</v>
      </c>
      <c r="K3919" s="4" t="s">
        <v>5297</v>
      </c>
      <c r="L3919" s="7" t="s">
        <v>2985</v>
      </c>
      <c r="M3919" s="1"/>
      <c r="N3919" s="4" t="s">
        <v>1408</v>
      </c>
      <c r="O3919" s="4" t="s">
        <v>6232</v>
      </c>
      <c r="P3919" s="1"/>
      <c r="Q3919" s="4"/>
      <c r="R3919" s="26"/>
      <c r="S3919" s="26"/>
      <c r="T3919" s="26">
        <v>0</v>
      </c>
      <c r="U3919" s="26">
        <f t="shared" si="2608"/>
        <v>0</v>
      </c>
      <c r="V3919" s="19" t="s">
        <v>3182</v>
      </c>
      <c r="W3919" s="11">
        <v>2015</v>
      </c>
      <c r="X3919" s="27" t="s">
        <v>7312</v>
      </c>
    </row>
    <row r="3920" spans="1:25" s="28" customFormat="1" ht="38.25" customHeight="1" x14ac:dyDescent="0.2">
      <c r="A3920" s="1" t="s">
        <v>8743</v>
      </c>
      <c r="B3920" s="15" t="s">
        <v>5277</v>
      </c>
      <c r="C3920" s="4" t="s">
        <v>3702</v>
      </c>
      <c r="D3920" s="4" t="s">
        <v>6244</v>
      </c>
      <c r="E3920" s="4" t="s">
        <v>6245</v>
      </c>
      <c r="F3920" s="4" t="s">
        <v>1732</v>
      </c>
      <c r="G3920" s="1" t="s">
        <v>3190</v>
      </c>
      <c r="H3920" s="17">
        <v>0.5</v>
      </c>
      <c r="I3920" s="18">
        <v>710000000</v>
      </c>
      <c r="J3920" s="4" t="s">
        <v>1931</v>
      </c>
      <c r="K3920" s="4" t="s">
        <v>5297</v>
      </c>
      <c r="L3920" s="7" t="s">
        <v>2985</v>
      </c>
      <c r="M3920" s="1"/>
      <c r="N3920" s="4" t="s">
        <v>1408</v>
      </c>
      <c r="O3920" s="4" t="s">
        <v>6232</v>
      </c>
      <c r="P3920" s="1"/>
      <c r="Q3920" s="4"/>
      <c r="R3920" s="26"/>
      <c r="S3920" s="26"/>
      <c r="T3920" s="26">
        <v>0</v>
      </c>
      <c r="U3920" s="26">
        <v>0</v>
      </c>
      <c r="V3920" s="19" t="s">
        <v>3182</v>
      </c>
      <c r="W3920" s="11">
        <v>2015</v>
      </c>
      <c r="X3920" s="27" t="s">
        <v>7312</v>
      </c>
      <c r="Y3920" s="99"/>
    </row>
    <row r="3921" spans="1:25" s="28" customFormat="1" ht="38.25" customHeight="1" x14ac:dyDescent="0.2">
      <c r="A3921" s="1" t="s">
        <v>8952</v>
      </c>
      <c r="B3921" s="15" t="s">
        <v>5277</v>
      </c>
      <c r="C3921" s="4" t="s">
        <v>3702</v>
      </c>
      <c r="D3921" s="4" t="s">
        <v>6244</v>
      </c>
      <c r="E3921" s="4" t="s">
        <v>6245</v>
      </c>
      <c r="F3921" s="4" t="s">
        <v>1732</v>
      </c>
      <c r="G3921" s="1" t="s">
        <v>3190</v>
      </c>
      <c r="H3921" s="17">
        <v>0.5</v>
      </c>
      <c r="I3921" s="18">
        <v>710000000</v>
      </c>
      <c r="J3921" s="4" t="s">
        <v>1931</v>
      </c>
      <c r="K3921" s="4" t="s">
        <v>554</v>
      </c>
      <c r="L3921" s="7" t="s">
        <v>2985</v>
      </c>
      <c r="M3921" s="1"/>
      <c r="N3921" s="4" t="s">
        <v>1408</v>
      </c>
      <c r="O3921" s="4" t="s">
        <v>6232</v>
      </c>
      <c r="P3921" s="1"/>
      <c r="Q3921" s="4"/>
      <c r="R3921" s="26"/>
      <c r="S3921" s="26"/>
      <c r="T3921" s="26">
        <v>124830</v>
      </c>
      <c r="U3921" s="26">
        <f>T3921*1.12</f>
        <v>139809.60000000001</v>
      </c>
      <c r="V3921" s="19" t="s">
        <v>3182</v>
      </c>
      <c r="W3921" s="11">
        <v>2015</v>
      </c>
      <c r="X3921" s="27"/>
      <c r="Y3921" s="99"/>
    </row>
    <row r="3922" spans="1:25" s="28" customFormat="1" ht="38.25" customHeight="1" x14ac:dyDescent="0.2">
      <c r="A3922" s="1" t="s">
        <v>578</v>
      </c>
      <c r="B3922" s="15" t="s">
        <v>5277</v>
      </c>
      <c r="C3922" s="4" t="s">
        <v>3703</v>
      </c>
      <c r="D3922" s="4" t="s">
        <v>6248</v>
      </c>
      <c r="E3922" s="4" t="s">
        <v>6249</v>
      </c>
      <c r="F3922" s="4"/>
      <c r="G3922" s="1" t="s">
        <v>3190</v>
      </c>
      <c r="H3922" s="17">
        <v>0.5</v>
      </c>
      <c r="I3922" s="18">
        <v>710000000</v>
      </c>
      <c r="J3922" s="4" t="s">
        <v>1931</v>
      </c>
      <c r="K3922" s="4" t="s">
        <v>5297</v>
      </c>
      <c r="L3922" s="7" t="s">
        <v>2985</v>
      </c>
      <c r="M3922" s="1"/>
      <c r="N3922" s="4" t="s">
        <v>1408</v>
      </c>
      <c r="O3922" s="4" t="s">
        <v>6232</v>
      </c>
      <c r="P3922" s="1"/>
      <c r="Q3922" s="4"/>
      <c r="R3922" s="26"/>
      <c r="S3922" s="26"/>
      <c r="T3922" s="26">
        <v>0</v>
      </c>
      <c r="U3922" s="26">
        <f t="shared" si="2608"/>
        <v>0</v>
      </c>
      <c r="V3922" s="19" t="s">
        <v>3182</v>
      </c>
      <c r="W3922" s="11">
        <v>2015</v>
      </c>
      <c r="X3922" s="27" t="s">
        <v>7312</v>
      </c>
      <c r="Y3922" s="99"/>
    </row>
    <row r="3923" spans="1:25" s="28" customFormat="1" ht="38.25" customHeight="1" x14ac:dyDescent="0.2">
      <c r="A3923" s="1" t="s">
        <v>8967</v>
      </c>
      <c r="B3923" s="15" t="s">
        <v>5277</v>
      </c>
      <c r="C3923" s="4" t="s">
        <v>3703</v>
      </c>
      <c r="D3923" s="4" t="s">
        <v>6248</v>
      </c>
      <c r="E3923" s="4" t="s">
        <v>6249</v>
      </c>
      <c r="F3923" s="4"/>
      <c r="G3923" s="1" t="s">
        <v>3190</v>
      </c>
      <c r="H3923" s="17">
        <v>0.5</v>
      </c>
      <c r="I3923" s="18">
        <v>710000000</v>
      </c>
      <c r="J3923" s="4" t="s">
        <v>1931</v>
      </c>
      <c r="K3923" s="4" t="s">
        <v>8968</v>
      </c>
      <c r="L3923" s="7" t="s">
        <v>2985</v>
      </c>
      <c r="M3923" s="1"/>
      <c r="N3923" s="4" t="s">
        <v>1408</v>
      </c>
      <c r="O3923" s="4" t="s">
        <v>6232</v>
      </c>
      <c r="P3923" s="1"/>
      <c r="Q3923" s="4"/>
      <c r="R3923" s="26"/>
      <c r="S3923" s="26"/>
      <c r="T3923" s="26">
        <f>84334+63525+59472+35268+5475+200000</f>
        <v>448074</v>
      </c>
      <c r="U3923" s="26">
        <f t="shared" ref="U3923" si="2617">T3923*1.12</f>
        <v>501842.88000000006</v>
      </c>
      <c r="V3923" s="19" t="s">
        <v>3182</v>
      </c>
      <c r="W3923" s="11">
        <v>2015</v>
      </c>
      <c r="X3923" s="27"/>
      <c r="Y3923" s="99"/>
    </row>
    <row r="3924" spans="1:25" s="28" customFormat="1" ht="51" customHeight="1" x14ac:dyDescent="0.2">
      <c r="A3924" s="1" t="s">
        <v>579</v>
      </c>
      <c r="B3924" s="15" t="s">
        <v>5277</v>
      </c>
      <c r="C3924" s="4" t="s">
        <v>3703</v>
      </c>
      <c r="D3924" s="4" t="s">
        <v>6248</v>
      </c>
      <c r="E3924" s="4" t="s">
        <v>6249</v>
      </c>
      <c r="F3924" s="4" t="s">
        <v>6255</v>
      </c>
      <c r="G3924" s="1" t="s">
        <v>3190</v>
      </c>
      <c r="H3924" s="17">
        <v>0.5</v>
      </c>
      <c r="I3924" s="18">
        <v>710000000</v>
      </c>
      <c r="J3924" s="4" t="s">
        <v>1931</v>
      </c>
      <c r="K3924" s="4" t="s">
        <v>5297</v>
      </c>
      <c r="L3924" s="7" t="s">
        <v>1409</v>
      </c>
      <c r="M3924" s="1"/>
      <c r="N3924" s="4" t="s">
        <v>1408</v>
      </c>
      <c r="O3924" s="4" t="s">
        <v>6232</v>
      </c>
      <c r="P3924" s="1"/>
      <c r="Q3924" s="4"/>
      <c r="R3924" s="26"/>
      <c r="S3924" s="26"/>
      <c r="T3924" s="26">
        <v>249552</v>
      </c>
      <c r="U3924" s="26">
        <f t="shared" si="2608"/>
        <v>279498.24000000005</v>
      </c>
      <c r="V3924" s="19" t="s">
        <v>3182</v>
      </c>
      <c r="W3924" s="11">
        <v>2015</v>
      </c>
      <c r="X3924" s="27"/>
    </row>
    <row r="3925" spans="1:25" s="28" customFormat="1" ht="51" customHeight="1" x14ac:dyDescent="0.2">
      <c r="A3925" s="1" t="s">
        <v>580</v>
      </c>
      <c r="B3925" s="15" t="s">
        <v>5277</v>
      </c>
      <c r="C3925" s="4" t="s">
        <v>1733</v>
      </c>
      <c r="D3925" s="4" t="s">
        <v>1734</v>
      </c>
      <c r="E3925" s="4" t="s">
        <v>1734</v>
      </c>
      <c r="F3925" s="4"/>
      <c r="G3925" s="1" t="s">
        <v>3190</v>
      </c>
      <c r="H3925" s="17">
        <v>0.5</v>
      </c>
      <c r="I3925" s="18">
        <v>710000000</v>
      </c>
      <c r="J3925" s="4" t="s">
        <v>1931</v>
      </c>
      <c r="K3925" s="4" t="s">
        <v>5297</v>
      </c>
      <c r="L3925" s="4" t="s">
        <v>5689</v>
      </c>
      <c r="M3925" s="1"/>
      <c r="N3925" s="4" t="s">
        <v>1408</v>
      </c>
      <c r="O3925" s="4" t="s">
        <v>6232</v>
      </c>
      <c r="P3925" s="1"/>
      <c r="Q3925" s="4"/>
      <c r="R3925" s="26"/>
      <c r="S3925" s="26"/>
      <c r="T3925" s="26">
        <v>1739090.5</v>
      </c>
      <c r="U3925" s="26">
        <f t="shared" si="2608"/>
        <v>1947781.36</v>
      </c>
      <c r="V3925" s="19" t="s">
        <v>3182</v>
      </c>
      <c r="W3925" s="11">
        <v>2015</v>
      </c>
      <c r="X3925" s="27"/>
    </row>
    <row r="3926" spans="1:25" s="28" customFormat="1" ht="51" customHeight="1" x14ac:dyDescent="0.2">
      <c r="A3926" s="1" t="s">
        <v>581</v>
      </c>
      <c r="B3926" s="15" t="s">
        <v>5277</v>
      </c>
      <c r="C3926" s="4" t="s">
        <v>3699</v>
      </c>
      <c r="D3926" s="4" t="s">
        <v>6238</v>
      </c>
      <c r="E3926" s="4" t="s">
        <v>6239</v>
      </c>
      <c r="F3926" s="4" t="s">
        <v>1735</v>
      </c>
      <c r="G3926" s="1" t="s">
        <v>3190</v>
      </c>
      <c r="H3926" s="17">
        <v>0.5</v>
      </c>
      <c r="I3926" s="18">
        <v>710000000</v>
      </c>
      <c r="J3926" s="4" t="s">
        <v>1931</v>
      </c>
      <c r="K3926" s="4" t="s">
        <v>5297</v>
      </c>
      <c r="L3926" s="4" t="s">
        <v>5689</v>
      </c>
      <c r="M3926" s="1"/>
      <c r="N3926" s="4" t="s">
        <v>1408</v>
      </c>
      <c r="O3926" s="4" t="s">
        <v>6232</v>
      </c>
      <c r="P3926" s="1"/>
      <c r="Q3926" s="4"/>
      <c r="R3926" s="26"/>
      <c r="S3926" s="26"/>
      <c r="T3926" s="26">
        <v>1470634.6</v>
      </c>
      <c r="U3926" s="26">
        <f t="shared" si="2608"/>
        <v>1647110.7520000003</v>
      </c>
      <c r="V3926" s="19" t="s">
        <v>3182</v>
      </c>
      <c r="W3926" s="11">
        <v>2015</v>
      </c>
      <c r="X3926" s="27"/>
    </row>
    <row r="3927" spans="1:25" s="28" customFormat="1" ht="63.75" customHeight="1" x14ac:dyDescent="0.2">
      <c r="A3927" s="1" t="s">
        <v>582</v>
      </c>
      <c r="B3927" s="15" t="s">
        <v>5277</v>
      </c>
      <c r="C3927" s="4" t="s">
        <v>3700</v>
      </c>
      <c r="D3927" s="4" t="s">
        <v>6240</v>
      </c>
      <c r="E3927" s="4" t="s">
        <v>6240</v>
      </c>
      <c r="F3927" s="4" t="s">
        <v>6241</v>
      </c>
      <c r="G3927" s="1" t="s">
        <v>3187</v>
      </c>
      <c r="H3927" s="17">
        <v>1</v>
      </c>
      <c r="I3927" s="18">
        <v>710000000</v>
      </c>
      <c r="J3927" s="4" t="s">
        <v>1931</v>
      </c>
      <c r="K3927" s="4" t="s">
        <v>5297</v>
      </c>
      <c r="L3927" s="4" t="s">
        <v>5689</v>
      </c>
      <c r="M3927" s="1"/>
      <c r="N3927" s="4" t="s">
        <v>1408</v>
      </c>
      <c r="O3927" s="4" t="s">
        <v>6232</v>
      </c>
      <c r="P3927" s="1"/>
      <c r="Q3927" s="4"/>
      <c r="R3927" s="26"/>
      <c r="S3927" s="26"/>
      <c r="T3927" s="26">
        <v>0</v>
      </c>
      <c r="U3927" s="26">
        <f t="shared" si="2608"/>
        <v>0</v>
      </c>
      <c r="V3927" s="19" t="s">
        <v>3182</v>
      </c>
      <c r="W3927" s="11">
        <v>2015</v>
      </c>
      <c r="X3927" s="27" t="s">
        <v>7006</v>
      </c>
    </row>
    <row r="3928" spans="1:25" s="28" customFormat="1" ht="63.75" customHeight="1" x14ac:dyDescent="0.2">
      <c r="A3928" s="1" t="s">
        <v>7562</v>
      </c>
      <c r="B3928" s="15" t="s">
        <v>5277</v>
      </c>
      <c r="C3928" s="4" t="s">
        <v>3700</v>
      </c>
      <c r="D3928" s="4" t="s">
        <v>6240</v>
      </c>
      <c r="E3928" s="4" t="s">
        <v>6240</v>
      </c>
      <c r="F3928" s="4" t="s">
        <v>6241</v>
      </c>
      <c r="G3928" s="1" t="s">
        <v>3187</v>
      </c>
      <c r="H3928" s="17">
        <v>1</v>
      </c>
      <c r="I3928" s="18">
        <v>710000000</v>
      </c>
      <c r="J3928" s="4" t="s">
        <v>1931</v>
      </c>
      <c r="K3928" s="4" t="s">
        <v>5292</v>
      </c>
      <c r="L3928" s="4" t="s">
        <v>5689</v>
      </c>
      <c r="M3928" s="1"/>
      <c r="N3928" s="4" t="s">
        <v>1408</v>
      </c>
      <c r="O3928" s="4" t="s">
        <v>6232</v>
      </c>
      <c r="P3928" s="1"/>
      <c r="Q3928" s="4"/>
      <c r="R3928" s="26"/>
      <c r="S3928" s="26"/>
      <c r="T3928" s="26">
        <v>1375364</v>
      </c>
      <c r="U3928" s="26">
        <f t="shared" ref="U3928" si="2618">T3928*1.12</f>
        <v>1540407.6800000002</v>
      </c>
      <c r="V3928" s="19" t="s">
        <v>3182</v>
      </c>
      <c r="W3928" s="11">
        <v>2015</v>
      </c>
      <c r="X3928" s="27"/>
    </row>
    <row r="3929" spans="1:25" s="28" customFormat="1" ht="63.75" customHeight="1" x14ac:dyDescent="0.2">
      <c r="A3929" s="1" t="s">
        <v>583</v>
      </c>
      <c r="B3929" s="15" t="s">
        <v>5277</v>
      </c>
      <c r="C3929" s="4" t="s">
        <v>3700</v>
      </c>
      <c r="D3929" s="4" t="s">
        <v>6240</v>
      </c>
      <c r="E3929" s="4" t="s">
        <v>6240</v>
      </c>
      <c r="F3929" s="4" t="s">
        <v>1736</v>
      </c>
      <c r="G3929" s="1" t="s">
        <v>3187</v>
      </c>
      <c r="H3929" s="17">
        <v>1</v>
      </c>
      <c r="I3929" s="18">
        <v>710000000</v>
      </c>
      <c r="J3929" s="4" t="s">
        <v>1931</v>
      </c>
      <c r="K3929" s="4" t="s">
        <v>5297</v>
      </c>
      <c r="L3929" s="7" t="s">
        <v>1027</v>
      </c>
      <c r="M3929" s="1"/>
      <c r="N3929" s="4" t="s">
        <v>1408</v>
      </c>
      <c r="O3929" s="4" t="s">
        <v>6232</v>
      </c>
      <c r="P3929" s="1"/>
      <c r="Q3929" s="4"/>
      <c r="R3929" s="26"/>
      <c r="S3929" s="26"/>
      <c r="T3929" s="26">
        <v>0</v>
      </c>
      <c r="U3929" s="26">
        <f t="shared" si="2608"/>
        <v>0</v>
      </c>
      <c r="V3929" s="19" t="s">
        <v>3182</v>
      </c>
      <c r="W3929" s="11">
        <v>2015</v>
      </c>
      <c r="X3929" s="27" t="s">
        <v>7006</v>
      </c>
    </row>
    <row r="3930" spans="1:25" s="28" customFormat="1" ht="63.75" customHeight="1" x14ac:dyDescent="0.2">
      <c r="A3930" s="1" t="s">
        <v>7563</v>
      </c>
      <c r="B3930" s="15" t="s">
        <v>5277</v>
      </c>
      <c r="C3930" s="4" t="s">
        <v>3700</v>
      </c>
      <c r="D3930" s="4" t="s">
        <v>6240</v>
      </c>
      <c r="E3930" s="4" t="s">
        <v>6240</v>
      </c>
      <c r="F3930" s="4" t="s">
        <v>1736</v>
      </c>
      <c r="G3930" s="1" t="s">
        <v>3187</v>
      </c>
      <c r="H3930" s="17">
        <v>1</v>
      </c>
      <c r="I3930" s="18">
        <v>710000000</v>
      </c>
      <c r="J3930" s="4" t="s">
        <v>1931</v>
      </c>
      <c r="K3930" s="4" t="s">
        <v>5292</v>
      </c>
      <c r="L3930" s="7" t="s">
        <v>1027</v>
      </c>
      <c r="M3930" s="1"/>
      <c r="N3930" s="4" t="s">
        <v>1408</v>
      </c>
      <c r="O3930" s="4" t="s">
        <v>6232</v>
      </c>
      <c r="P3930" s="1"/>
      <c r="Q3930" s="4"/>
      <c r="R3930" s="26"/>
      <c r="S3930" s="26"/>
      <c r="T3930" s="26">
        <v>2426928</v>
      </c>
      <c r="U3930" s="26">
        <f t="shared" ref="U3930" si="2619">T3930*1.12</f>
        <v>2718159.3600000003</v>
      </c>
      <c r="V3930" s="19" t="s">
        <v>3182</v>
      </c>
      <c r="W3930" s="11">
        <v>2015</v>
      </c>
      <c r="X3930" s="27"/>
    </row>
    <row r="3931" spans="1:25" s="28" customFormat="1" ht="102" customHeight="1" x14ac:dyDescent="0.2">
      <c r="A3931" s="1" t="s">
        <v>584</v>
      </c>
      <c r="B3931" s="15" t="s">
        <v>5277</v>
      </c>
      <c r="C3931" s="4" t="s">
        <v>3701</v>
      </c>
      <c r="D3931" s="4" t="s">
        <v>6242</v>
      </c>
      <c r="E3931" s="4" t="s">
        <v>6243</v>
      </c>
      <c r="F3931" s="4"/>
      <c r="G3931" s="1" t="s">
        <v>3190</v>
      </c>
      <c r="H3931" s="17">
        <v>0.5</v>
      </c>
      <c r="I3931" s="18">
        <v>710000000</v>
      </c>
      <c r="J3931" s="4" t="s">
        <v>1931</v>
      </c>
      <c r="K3931" s="4" t="s">
        <v>5297</v>
      </c>
      <c r="L3931" s="4" t="s">
        <v>5689</v>
      </c>
      <c r="M3931" s="1"/>
      <c r="N3931" s="4" t="s">
        <v>1408</v>
      </c>
      <c r="O3931" s="4" t="s">
        <v>6232</v>
      </c>
      <c r="P3931" s="1"/>
      <c r="Q3931" s="4"/>
      <c r="R3931" s="26"/>
      <c r="S3931" s="26"/>
      <c r="T3931" s="26">
        <v>942000</v>
      </c>
      <c r="U3931" s="26">
        <f t="shared" si="2608"/>
        <v>1055040</v>
      </c>
      <c r="V3931" s="19" t="s">
        <v>3182</v>
      </c>
      <c r="W3931" s="11">
        <v>2015</v>
      </c>
      <c r="X3931" s="27"/>
    </row>
    <row r="3932" spans="1:25" s="28" customFormat="1" ht="38.25" customHeight="1" x14ac:dyDescent="0.2">
      <c r="A3932" s="1" t="s">
        <v>585</v>
      </c>
      <c r="B3932" s="15" t="s">
        <v>5277</v>
      </c>
      <c r="C3932" s="4" t="s">
        <v>3702</v>
      </c>
      <c r="D3932" s="4" t="s">
        <v>6244</v>
      </c>
      <c r="E3932" s="4" t="s">
        <v>6245</v>
      </c>
      <c r="F3932" s="4" t="s">
        <v>6246</v>
      </c>
      <c r="G3932" s="1" t="s">
        <v>3190</v>
      </c>
      <c r="H3932" s="17">
        <v>0.5</v>
      </c>
      <c r="I3932" s="18">
        <v>710000000</v>
      </c>
      <c r="J3932" s="4" t="s">
        <v>1931</v>
      </c>
      <c r="K3932" s="4" t="s">
        <v>5297</v>
      </c>
      <c r="L3932" s="4" t="s">
        <v>5689</v>
      </c>
      <c r="M3932" s="1"/>
      <c r="N3932" s="4" t="s">
        <v>1408</v>
      </c>
      <c r="O3932" s="4" t="s">
        <v>6232</v>
      </c>
      <c r="P3932" s="1"/>
      <c r="Q3932" s="4"/>
      <c r="R3932" s="26"/>
      <c r="S3932" s="26"/>
      <c r="T3932" s="26">
        <v>1000020.51</v>
      </c>
      <c r="U3932" s="26">
        <f t="shared" si="2608"/>
        <v>1120022.9712</v>
      </c>
      <c r="V3932" s="19" t="s">
        <v>3182</v>
      </c>
      <c r="W3932" s="11">
        <v>2015</v>
      </c>
      <c r="X3932" s="27"/>
    </row>
    <row r="3933" spans="1:25" s="28" customFormat="1" ht="38.25" customHeight="1" x14ac:dyDescent="0.2">
      <c r="A3933" s="1" t="s">
        <v>586</v>
      </c>
      <c r="B3933" s="15" t="s">
        <v>5277</v>
      </c>
      <c r="C3933" s="4" t="s">
        <v>3702</v>
      </c>
      <c r="D3933" s="4" t="s">
        <v>6244</v>
      </c>
      <c r="E3933" s="4" t="s">
        <v>6245</v>
      </c>
      <c r="F3933" s="4" t="s">
        <v>6247</v>
      </c>
      <c r="G3933" s="1" t="s">
        <v>3190</v>
      </c>
      <c r="H3933" s="17">
        <v>0.5</v>
      </c>
      <c r="I3933" s="18">
        <v>710000000</v>
      </c>
      <c r="J3933" s="4" t="s">
        <v>1931</v>
      </c>
      <c r="K3933" s="4" t="s">
        <v>5297</v>
      </c>
      <c r="L3933" s="4" t="s">
        <v>5689</v>
      </c>
      <c r="M3933" s="1"/>
      <c r="N3933" s="4" t="s">
        <v>1408</v>
      </c>
      <c r="O3933" s="4" t="s">
        <v>6232</v>
      </c>
      <c r="P3933" s="1"/>
      <c r="Q3933" s="4"/>
      <c r="R3933" s="26"/>
      <c r="S3933" s="26"/>
      <c r="T3933" s="26">
        <v>145456</v>
      </c>
      <c r="U3933" s="26">
        <f t="shared" si="2608"/>
        <v>162910.72</v>
      </c>
      <c r="V3933" s="19" t="s">
        <v>3182</v>
      </c>
      <c r="W3933" s="11">
        <v>2015</v>
      </c>
      <c r="X3933" s="27"/>
    </row>
    <row r="3934" spans="1:25" s="28" customFormat="1" ht="38.25" customHeight="1" x14ac:dyDescent="0.2">
      <c r="A3934" s="1" t="s">
        <v>587</v>
      </c>
      <c r="B3934" s="15" t="s">
        <v>5277</v>
      </c>
      <c r="C3934" s="4" t="s">
        <v>3703</v>
      </c>
      <c r="D3934" s="4" t="s">
        <v>6248</v>
      </c>
      <c r="E3934" s="4" t="s">
        <v>6249</v>
      </c>
      <c r="F3934" s="4"/>
      <c r="G3934" s="1" t="s">
        <v>3190</v>
      </c>
      <c r="H3934" s="17">
        <v>0.5</v>
      </c>
      <c r="I3934" s="18">
        <v>710000000</v>
      </c>
      <c r="J3934" s="4" t="s">
        <v>1931</v>
      </c>
      <c r="K3934" s="4" t="s">
        <v>5297</v>
      </c>
      <c r="L3934" s="4" t="s">
        <v>5689</v>
      </c>
      <c r="M3934" s="1"/>
      <c r="N3934" s="4" t="s">
        <v>1408</v>
      </c>
      <c r="O3934" s="4" t="s">
        <v>6232</v>
      </c>
      <c r="P3934" s="1"/>
      <c r="Q3934" s="4"/>
      <c r="R3934" s="26"/>
      <c r="S3934" s="26"/>
      <c r="T3934" s="26">
        <v>227200</v>
      </c>
      <c r="U3934" s="26">
        <f t="shared" si="2608"/>
        <v>254464.00000000003</v>
      </c>
      <c r="V3934" s="19" t="s">
        <v>3182</v>
      </c>
      <c r="W3934" s="11">
        <v>2015</v>
      </c>
      <c r="X3934" s="27"/>
    </row>
    <row r="3935" spans="1:25" s="28" customFormat="1" ht="63.75" customHeight="1" x14ac:dyDescent="0.2">
      <c r="A3935" s="1" t="s">
        <v>588</v>
      </c>
      <c r="B3935" s="15" t="s">
        <v>5277</v>
      </c>
      <c r="C3935" s="4" t="s">
        <v>3706</v>
      </c>
      <c r="D3935" s="4" t="s">
        <v>6253</v>
      </c>
      <c r="E3935" s="4" t="s">
        <v>6253</v>
      </c>
      <c r="F3935" s="4" t="s">
        <v>6254</v>
      </c>
      <c r="G3935" s="1" t="s">
        <v>3190</v>
      </c>
      <c r="H3935" s="17">
        <v>0.5</v>
      </c>
      <c r="I3935" s="18">
        <v>710000000</v>
      </c>
      <c r="J3935" s="4" t="s">
        <v>1931</v>
      </c>
      <c r="K3935" s="4" t="s">
        <v>5297</v>
      </c>
      <c r="L3935" s="4" t="s">
        <v>5689</v>
      </c>
      <c r="M3935" s="1"/>
      <c r="N3935" s="4" t="s">
        <v>1408</v>
      </c>
      <c r="O3935" s="4" t="s">
        <v>6232</v>
      </c>
      <c r="P3935" s="1"/>
      <c r="Q3935" s="4"/>
      <c r="R3935" s="26"/>
      <c r="S3935" s="26"/>
      <c r="T3935" s="26">
        <v>1327042</v>
      </c>
      <c r="U3935" s="26">
        <f t="shared" si="2608"/>
        <v>1486287.04</v>
      </c>
      <c r="V3935" s="19" t="s">
        <v>3182</v>
      </c>
      <c r="W3935" s="11">
        <v>2015</v>
      </c>
      <c r="X3935" s="27"/>
    </row>
    <row r="3936" spans="1:25" s="28" customFormat="1" ht="102" customHeight="1" x14ac:dyDescent="0.2">
      <c r="A3936" s="1" t="s">
        <v>589</v>
      </c>
      <c r="B3936" s="15" t="s">
        <v>5277</v>
      </c>
      <c r="C3936" s="4" t="s">
        <v>3704</v>
      </c>
      <c r="D3936" s="4" t="s">
        <v>6250</v>
      </c>
      <c r="E3936" s="4" t="s">
        <v>6251</v>
      </c>
      <c r="F3936" s="4" t="s">
        <v>6252</v>
      </c>
      <c r="G3936" s="1" t="s">
        <v>3190</v>
      </c>
      <c r="H3936" s="17">
        <v>0.5</v>
      </c>
      <c r="I3936" s="18">
        <v>710000000</v>
      </c>
      <c r="J3936" s="4" t="s">
        <v>1931</v>
      </c>
      <c r="K3936" s="4" t="s">
        <v>5297</v>
      </c>
      <c r="L3936" s="4" t="s">
        <v>5689</v>
      </c>
      <c r="M3936" s="1"/>
      <c r="N3936" s="4" t="s">
        <v>1408</v>
      </c>
      <c r="O3936" s="4" t="s">
        <v>6232</v>
      </c>
      <c r="P3936" s="1"/>
      <c r="Q3936" s="4"/>
      <c r="R3936" s="26"/>
      <c r="S3936" s="26"/>
      <c r="T3936" s="26">
        <v>890240</v>
      </c>
      <c r="U3936" s="26">
        <f t="shared" si="2608"/>
        <v>997068.80000000005</v>
      </c>
      <c r="V3936" s="19" t="s">
        <v>3182</v>
      </c>
      <c r="W3936" s="11">
        <v>2015</v>
      </c>
      <c r="X3936" s="27"/>
    </row>
    <row r="3937" spans="1:193" s="28" customFormat="1" ht="89.25" customHeight="1" x14ac:dyDescent="0.2">
      <c r="A3937" s="1" t="s">
        <v>590</v>
      </c>
      <c r="B3937" s="15" t="s">
        <v>5277</v>
      </c>
      <c r="C3937" s="4" t="s">
        <v>1737</v>
      </c>
      <c r="D3937" s="4" t="s">
        <v>1738</v>
      </c>
      <c r="E3937" s="4" t="s">
        <v>1739</v>
      </c>
      <c r="F3937" s="4" t="s">
        <v>1740</v>
      </c>
      <c r="G3937" s="1" t="s">
        <v>3190</v>
      </c>
      <c r="H3937" s="17">
        <v>0.5</v>
      </c>
      <c r="I3937" s="18">
        <v>710000000</v>
      </c>
      <c r="J3937" s="4" t="s">
        <v>1931</v>
      </c>
      <c r="K3937" s="4" t="s">
        <v>5297</v>
      </c>
      <c r="L3937" s="4" t="s">
        <v>5689</v>
      </c>
      <c r="M3937" s="1"/>
      <c r="N3937" s="4" t="s">
        <v>1408</v>
      </c>
      <c r="O3937" s="4" t="s">
        <v>6232</v>
      </c>
      <c r="P3937" s="1"/>
      <c r="Q3937" s="4"/>
      <c r="R3937" s="26"/>
      <c r="S3937" s="26"/>
      <c r="T3937" s="26">
        <v>930897</v>
      </c>
      <c r="U3937" s="26">
        <f t="shared" si="2608"/>
        <v>1042604.6400000001</v>
      </c>
      <c r="V3937" s="19" t="s">
        <v>3182</v>
      </c>
      <c r="W3937" s="11">
        <v>2015</v>
      </c>
      <c r="X3937" s="27"/>
    </row>
    <row r="3938" spans="1:193" s="28" customFormat="1" ht="38.25" customHeight="1" x14ac:dyDescent="0.2">
      <c r="A3938" s="1" t="s">
        <v>591</v>
      </c>
      <c r="B3938" s="15" t="s">
        <v>5277</v>
      </c>
      <c r="C3938" s="4" t="s">
        <v>1741</v>
      </c>
      <c r="D3938" s="4" t="s">
        <v>1742</v>
      </c>
      <c r="E3938" s="4" t="s">
        <v>1743</v>
      </c>
      <c r="F3938" s="4" t="s">
        <v>1744</v>
      </c>
      <c r="G3938" s="1" t="s">
        <v>3187</v>
      </c>
      <c r="H3938" s="17">
        <v>0.5</v>
      </c>
      <c r="I3938" s="18">
        <v>710000000</v>
      </c>
      <c r="J3938" s="4" t="s">
        <v>1931</v>
      </c>
      <c r="K3938" s="4" t="s">
        <v>5297</v>
      </c>
      <c r="L3938" s="4" t="s">
        <v>5689</v>
      </c>
      <c r="M3938" s="1"/>
      <c r="N3938" s="4" t="s">
        <v>1408</v>
      </c>
      <c r="O3938" s="4" t="s">
        <v>6232</v>
      </c>
      <c r="P3938" s="1"/>
      <c r="Q3938" s="4"/>
      <c r="R3938" s="26"/>
      <c r="S3938" s="26"/>
      <c r="T3938" s="26">
        <v>0</v>
      </c>
      <c r="U3938" s="26">
        <f t="shared" si="2608"/>
        <v>0</v>
      </c>
      <c r="V3938" s="19" t="s">
        <v>3182</v>
      </c>
      <c r="W3938" s="11">
        <v>2015</v>
      </c>
      <c r="X3938" s="27" t="s">
        <v>7006</v>
      </c>
    </row>
    <row r="3939" spans="1:193" s="28" customFormat="1" ht="38.25" customHeight="1" x14ac:dyDescent="0.2">
      <c r="A3939" s="1" t="s">
        <v>7560</v>
      </c>
      <c r="B3939" s="15" t="s">
        <v>5277</v>
      </c>
      <c r="C3939" s="4" t="s">
        <v>1741</v>
      </c>
      <c r="D3939" s="4" t="s">
        <v>1742</v>
      </c>
      <c r="E3939" s="4" t="s">
        <v>1743</v>
      </c>
      <c r="F3939" s="4" t="s">
        <v>1744</v>
      </c>
      <c r="G3939" s="1" t="s">
        <v>3187</v>
      </c>
      <c r="H3939" s="17">
        <v>0.5</v>
      </c>
      <c r="I3939" s="18">
        <v>710000000</v>
      </c>
      <c r="J3939" s="4" t="s">
        <v>1931</v>
      </c>
      <c r="K3939" s="4" t="s">
        <v>5292</v>
      </c>
      <c r="L3939" s="4" t="s">
        <v>5689</v>
      </c>
      <c r="M3939" s="1"/>
      <c r="N3939" s="4" t="s">
        <v>1408</v>
      </c>
      <c r="O3939" s="4" t="s">
        <v>6232</v>
      </c>
      <c r="P3939" s="1"/>
      <c r="Q3939" s="4"/>
      <c r="R3939" s="26"/>
      <c r="S3939" s="26"/>
      <c r="T3939" s="26">
        <v>2596000</v>
      </c>
      <c r="U3939" s="26">
        <f t="shared" ref="U3939" si="2620">T3939*1.12</f>
        <v>2907520.0000000005</v>
      </c>
      <c r="V3939" s="19" t="s">
        <v>3182</v>
      </c>
      <c r="W3939" s="11">
        <v>2015</v>
      </c>
      <c r="X3939" s="27"/>
    </row>
    <row r="3940" spans="1:193" s="28" customFormat="1" ht="38.25" customHeight="1" x14ac:dyDescent="0.2">
      <c r="A3940" s="1" t="s">
        <v>592</v>
      </c>
      <c r="B3940" s="15" t="s">
        <v>5277</v>
      </c>
      <c r="C3940" s="4" t="s">
        <v>1745</v>
      </c>
      <c r="D3940" s="4" t="s">
        <v>1746</v>
      </c>
      <c r="E3940" s="4" t="s">
        <v>1746</v>
      </c>
      <c r="F3940" s="4" t="s">
        <v>1747</v>
      </c>
      <c r="G3940" s="1" t="s">
        <v>3187</v>
      </c>
      <c r="H3940" s="17">
        <v>0.5</v>
      </c>
      <c r="I3940" s="18">
        <v>710000000</v>
      </c>
      <c r="J3940" s="4" t="s">
        <v>1931</v>
      </c>
      <c r="K3940" s="4" t="s">
        <v>5297</v>
      </c>
      <c r="L3940" s="4" t="s">
        <v>5689</v>
      </c>
      <c r="M3940" s="1"/>
      <c r="N3940" s="4" t="s">
        <v>1408</v>
      </c>
      <c r="O3940" s="4" t="s">
        <v>6232</v>
      </c>
      <c r="P3940" s="1"/>
      <c r="Q3940" s="4"/>
      <c r="R3940" s="26"/>
      <c r="S3940" s="26"/>
      <c r="T3940" s="26">
        <v>0</v>
      </c>
      <c r="U3940" s="26">
        <f t="shared" si="2608"/>
        <v>0</v>
      </c>
      <c r="V3940" s="19" t="s">
        <v>3182</v>
      </c>
      <c r="W3940" s="11">
        <v>2015</v>
      </c>
      <c r="X3940" s="27" t="s">
        <v>7006</v>
      </c>
    </row>
    <row r="3941" spans="1:193" s="28" customFormat="1" ht="38.25" customHeight="1" x14ac:dyDescent="0.2">
      <c r="A3941" s="1" t="s">
        <v>7561</v>
      </c>
      <c r="B3941" s="15" t="s">
        <v>5277</v>
      </c>
      <c r="C3941" s="4" t="s">
        <v>1745</v>
      </c>
      <c r="D3941" s="4" t="s">
        <v>1746</v>
      </c>
      <c r="E3941" s="4" t="s">
        <v>1746</v>
      </c>
      <c r="F3941" s="4" t="s">
        <v>1747</v>
      </c>
      <c r="G3941" s="1" t="s">
        <v>3187</v>
      </c>
      <c r="H3941" s="17">
        <v>0.5</v>
      </c>
      <c r="I3941" s="18">
        <v>710000000</v>
      </c>
      <c r="J3941" s="4" t="s">
        <v>1931</v>
      </c>
      <c r="K3941" s="4" t="s">
        <v>5292</v>
      </c>
      <c r="L3941" s="4" t="s">
        <v>5689</v>
      </c>
      <c r="M3941" s="1"/>
      <c r="N3941" s="4" t="s">
        <v>1408</v>
      </c>
      <c r="O3941" s="4" t="s">
        <v>6232</v>
      </c>
      <c r="P3941" s="1"/>
      <c r="Q3941" s="4"/>
      <c r="R3941" s="26"/>
      <c r="S3941" s="26"/>
      <c r="T3941" s="26">
        <v>4126000</v>
      </c>
      <c r="U3941" s="26">
        <f t="shared" ref="U3941" si="2621">T3941*1.12</f>
        <v>4621120</v>
      </c>
      <c r="V3941" s="19" t="s">
        <v>3182</v>
      </c>
      <c r="W3941" s="11">
        <v>2015</v>
      </c>
      <c r="X3941" s="27"/>
    </row>
    <row r="3942" spans="1:193" s="28" customFormat="1" ht="38.25" customHeight="1" x14ac:dyDescent="0.2">
      <c r="A3942" s="1" t="s">
        <v>593</v>
      </c>
      <c r="B3942" s="15" t="s">
        <v>5277</v>
      </c>
      <c r="C3942" s="4" t="s">
        <v>1748</v>
      </c>
      <c r="D3942" s="4" t="s">
        <v>1749</v>
      </c>
      <c r="E3942" s="4" t="s">
        <v>1749</v>
      </c>
      <c r="F3942" s="4" t="s">
        <v>1750</v>
      </c>
      <c r="G3942" s="1" t="s">
        <v>3190</v>
      </c>
      <c r="H3942" s="17">
        <v>0.5</v>
      </c>
      <c r="I3942" s="18">
        <v>710000000</v>
      </c>
      <c r="J3942" s="4" t="s">
        <v>1931</v>
      </c>
      <c r="K3942" s="4" t="s">
        <v>5297</v>
      </c>
      <c r="L3942" s="4" t="s">
        <v>5689</v>
      </c>
      <c r="M3942" s="1"/>
      <c r="N3942" s="4" t="s">
        <v>1408</v>
      </c>
      <c r="O3942" s="4" t="s">
        <v>6232</v>
      </c>
      <c r="P3942" s="1"/>
      <c r="Q3942" s="4"/>
      <c r="R3942" s="26"/>
      <c r="S3942" s="26"/>
      <c r="T3942" s="26">
        <v>1410756</v>
      </c>
      <c r="U3942" s="26">
        <f t="shared" si="2608"/>
        <v>1580046.7200000002</v>
      </c>
      <c r="V3942" s="19" t="s">
        <v>3182</v>
      </c>
      <c r="W3942" s="11">
        <v>2015</v>
      </c>
      <c r="X3942" s="27"/>
    </row>
    <row r="3943" spans="1:193" s="28" customFormat="1" ht="39" customHeight="1" x14ac:dyDescent="0.2">
      <c r="A3943" s="1" t="s">
        <v>6989</v>
      </c>
      <c r="B3943" s="15" t="s">
        <v>5277</v>
      </c>
      <c r="C3943" s="4" t="s">
        <v>6996</v>
      </c>
      <c r="D3943" s="4" t="s">
        <v>6995</v>
      </c>
      <c r="E3943" s="4" t="s">
        <v>6995</v>
      </c>
      <c r="F3943" s="4" t="s">
        <v>7000</v>
      </c>
      <c r="G3943" s="1" t="s">
        <v>3190</v>
      </c>
      <c r="H3943" s="17">
        <v>0.5</v>
      </c>
      <c r="I3943" s="18">
        <v>710000000</v>
      </c>
      <c r="J3943" s="4" t="s">
        <v>1931</v>
      </c>
      <c r="K3943" s="4" t="s">
        <v>5297</v>
      </c>
      <c r="L3943" s="4" t="s">
        <v>1934</v>
      </c>
      <c r="M3943" s="1"/>
      <c r="N3943" s="4" t="s">
        <v>1408</v>
      </c>
      <c r="O3943" s="4" t="s">
        <v>6232</v>
      </c>
      <c r="P3943" s="1"/>
      <c r="Q3943" s="4"/>
      <c r="R3943" s="26"/>
      <c r="S3943" s="26"/>
      <c r="T3943" s="26">
        <v>300000</v>
      </c>
      <c r="U3943" s="26">
        <f>T3943*1.12</f>
        <v>336000.00000000006</v>
      </c>
      <c r="V3943" s="19" t="s">
        <v>3182</v>
      </c>
      <c r="W3943" s="11">
        <v>2015</v>
      </c>
      <c r="X3943" s="27"/>
    </row>
    <row r="3944" spans="1:193" s="28" customFormat="1" ht="38.25" customHeight="1" x14ac:dyDescent="0.2">
      <c r="A3944" s="1" t="s">
        <v>6994</v>
      </c>
      <c r="B3944" s="15" t="s">
        <v>5277</v>
      </c>
      <c r="C3944" s="4" t="s">
        <v>6990</v>
      </c>
      <c r="D3944" s="4" t="s">
        <v>6991</v>
      </c>
      <c r="E3944" s="4" t="s">
        <v>6992</v>
      </c>
      <c r="F3944" s="4" t="s">
        <v>7004</v>
      </c>
      <c r="G3944" s="1" t="s">
        <v>3190</v>
      </c>
      <c r="H3944" s="17">
        <v>0.5</v>
      </c>
      <c r="I3944" s="18">
        <v>710000000</v>
      </c>
      <c r="J3944" s="4" t="s">
        <v>1931</v>
      </c>
      <c r="K3944" s="4" t="s">
        <v>5297</v>
      </c>
      <c r="L3944" s="4" t="s">
        <v>1934</v>
      </c>
      <c r="M3944" s="1"/>
      <c r="N3944" s="4" t="s">
        <v>1408</v>
      </c>
      <c r="O3944" s="4" t="s">
        <v>6232</v>
      </c>
      <c r="P3944" s="1"/>
      <c r="Q3944" s="4"/>
      <c r="R3944" s="26"/>
      <c r="S3944" s="26"/>
      <c r="T3944" s="26">
        <v>588093.75</v>
      </c>
      <c r="U3944" s="26">
        <f>T3944*1.12</f>
        <v>658665.00000000012</v>
      </c>
      <c r="V3944" s="19" t="s">
        <v>3182</v>
      </c>
      <c r="W3944" s="11">
        <v>2015</v>
      </c>
      <c r="X3944" s="27"/>
      <c r="Y3944" s="21"/>
      <c r="Z3944" s="21"/>
      <c r="AA3944" s="21"/>
      <c r="AB3944" s="21"/>
      <c r="AC3944" s="21"/>
      <c r="AD3944" s="21"/>
      <c r="AE3944" s="21"/>
      <c r="AF3944" s="21"/>
      <c r="AG3944" s="21"/>
      <c r="AH3944" s="21"/>
      <c r="AI3944" s="21"/>
      <c r="AJ3944" s="21"/>
      <c r="AK3944" s="21"/>
      <c r="AL3944" s="21"/>
      <c r="AM3944" s="21"/>
      <c r="AN3944" s="21"/>
      <c r="AO3944" s="21"/>
      <c r="AP3944" s="21"/>
      <c r="AQ3944" s="21"/>
      <c r="AR3944" s="21"/>
      <c r="AS3944" s="21"/>
      <c r="AT3944" s="21"/>
      <c r="AU3944" s="21"/>
      <c r="AV3944" s="21"/>
      <c r="AW3944" s="21"/>
      <c r="AX3944" s="21"/>
      <c r="AY3944" s="21"/>
      <c r="AZ3944" s="21"/>
      <c r="BA3944" s="21"/>
      <c r="BB3944" s="21"/>
      <c r="BC3944" s="21"/>
      <c r="BD3944" s="21"/>
      <c r="BE3944" s="21"/>
      <c r="BF3944" s="21"/>
      <c r="BG3944" s="21"/>
      <c r="BH3944" s="21"/>
      <c r="BI3944" s="21"/>
      <c r="BJ3944" s="21"/>
      <c r="BK3944" s="21"/>
      <c r="BL3944" s="21"/>
      <c r="BM3944" s="21"/>
      <c r="BN3944" s="21"/>
      <c r="BO3944" s="21"/>
      <c r="BP3944" s="21"/>
      <c r="BQ3944" s="21"/>
      <c r="BR3944" s="21"/>
      <c r="BS3944" s="21"/>
      <c r="BT3944" s="21"/>
      <c r="BU3944" s="21"/>
      <c r="BV3944" s="21"/>
      <c r="BW3944" s="21"/>
      <c r="BX3944" s="21"/>
      <c r="BY3944" s="21"/>
      <c r="BZ3944" s="21"/>
      <c r="CA3944" s="21"/>
      <c r="CB3944" s="21"/>
      <c r="CC3944" s="21"/>
      <c r="CD3944" s="21"/>
      <c r="CE3944" s="21"/>
      <c r="CF3944" s="21"/>
      <c r="CG3944" s="21"/>
      <c r="CH3944" s="21"/>
      <c r="CI3944" s="21"/>
      <c r="CJ3944" s="21"/>
      <c r="CK3944" s="21"/>
      <c r="CL3944" s="21"/>
      <c r="CM3944" s="21"/>
      <c r="CN3944" s="21"/>
      <c r="CO3944" s="21"/>
      <c r="CP3944" s="21"/>
      <c r="CQ3944" s="21"/>
      <c r="CR3944" s="21"/>
      <c r="CS3944" s="21"/>
      <c r="CT3944" s="21"/>
      <c r="CU3944" s="21"/>
      <c r="CV3944" s="21"/>
      <c r="CW3944" s="21"/>
      <c r="CX3944" s="21"/>
      <c r="CY3944" s="21"/>
      <c r="CZ3944" s="21"/>
      <c r="DA3944" s="21"/>
      <c r="DB3944" s="21"/>
      <c r="DC3944" s="21"/>
      <c r="DD3944" s="21"/>
      <c r="DE3944" s="21"/>
      <c r="DF3944" s="21"/>
      <c r="DG3944" s="21"/>
      <c r="DH3944" s="21"/>
      <c r="DI3944" s="21"/>
      <c r="DJ3944" s="21"/>
      <c r="DK3944" s="21"/>
      <c r="DL3944" s="21"/>
      <c r="DM3944" s="21"/>
      <c r="DN3944" s="21"/>
      <c r="DO3944" s="21"/>
      <c r="DP3944" s="21"/>
      <c r="DQ3944" s="21"/>
      <c r="DR3944" s="21"/>
      <c r="DS3944" s="21"/>
      <c r="DT3944" s="21"/>
      <c r="DU3944" s="21"/>
      <c r="DV3944" s="21"/>
      <c r="DW3944" s="21"/>
      <c r="DX3944" s="21"/>
      <c r="DY3944" s="21"/>
      <c r="DZ3944" s="21"/>
      <c r="EA3944" s="21"/>
      <c r="EB3944" s="21"/>
      <c r="EC3944" s="21"/>
      <c r="ED3944" s="21"/>
      <c r="EE3944" s="21"/>
      <c r="EF3944" s="21"/>
      <c r="EG3944" s="21"/>
      <c r="EH3944" s="21"/>
      <c r="EI3944" s="21"/>
      <c r="EJ3944" s="21"/>
      <c r="EK3944" s="21"/>
      <c r="EL3944" s="21"/>
      <c r="EM3944" s="21"/>
      <c r="EN3944" s="21"/>
      <c r="EO3944" s="21"/>
      <c r="EP3944" s="21"/>
      <c r="EQ3944" s="21"/>
      <c r="ER3944" s="21"/>
      <c r="ES3944" s="21"/>
      <c r="ET3944" s="21"/>
      <c r="EU3944" s="21"/>
      <c r="EV3944" s="21"/>
      <c r="EW3944" s="21"/>
      <c r="EX3944" s="21"/>
      <c r="EY3944" s="21"/>
      <c r="EZ3944" s="21"/>
      <c r="FA3944" s="21"/>
      <c r="FB3944" s="21"/>
      <c r="FC3944" s="21"/>
      <c r="FD3944" s="21"/>
      <c r="FE3944" s="21"/>
      <c r="FF3944" s="21"/>
      <c r="FG3944" s="21"/>
      <c r="FH3944" s="21"/>
      <c r="FI3944" s="21"/>
      <c r="FJ3944" s="21"/>
      <c r="FK3944" s="21"/>
      <c r="FL3944" s="21"/>
      <c r="FM3944" s="21"/>
      <c r="FN3944" s="21"/>
      <c r="FO3944" s="21"/>
      <c r="FP3944" s="21"/>
      <c r="FQ3944" s="21"/>
      <c r="FR3944" s="21"/>
      <c r="FS3944" s="21"/>
      <c r="FT3944" s="21"/>
      <c r="FU3944" s="21"/>
      <c r="FV3944" s="21"/>
      <c r="FW3944" s="21"/>
      <c r="FX3944" s="21"/>
      <c r="FY3944" s="21"/>
      <c r="FZ3944" s="21"/>
      <c r="GA3944" s="21"/>
      <c r="GB3944" s="21"/>
      <c r="GC3944" s="21"/>
      <c r="GD3944" s="21"/>
      <c r="GE3944" s="21"/>
      <c r="GF3944" s="21"/>
      <c r="GG3944" s="21"/>
      <c r="GH3944" s="21"/>
      <c r="GI3944" s="21"/>
      <c r="GJ3944" s="21"/>
      <c r="GK3944" s="21"/>
    </row>
    <row r="3945" spans="1:193" s="28" customFormat="1" ht="51" customHeight="1" x14ac:dyDescent="0.2">
      <c r="A3945" s="1" t="s">
        <v>7072</v>
      </c>
      <c r="B3945" s="15" t="s">
        <v>5277</v>
      </c>
      <c r="C3945" s="4" t="s">
        <v>7142</v>
      </c>
      <c r="D3945" s="4" t="s">
        <v>7143</v>
      </c>
      <c r="E3945" s="4" t="s">
        <v>7144</v>
      </c>
      <c r="F3945" s="4" t="s">
        <v>7252</v>
      </c>
      <c r="G3945" s="1" t="s">
        <v>3190</v>
      </c>
      <c r="H3945" s="17">
        <v>0.5</v>
      </c>
      <c r="I3945" s="18">
        <v>710000000</v>
      </c>
      <c r="J3945" s="4" t="s">
        <v>1931</v>
      </c>
      <c r="K3945" s="4" t="s">
        <v>5706</v>
      </c>
      <c r="L3945" s="7" t="s">
        <v>1708</v>
      </c>
      <c r="M3945" s="1"/>
      <c r="N3945" s="4" t="s">
        <v>7238</v>
      </c>
      <c r="O3945" s="4" t="s">
        <v>6232</v>
      </c>
      <c r="P3945" s="1"/>
      <c r="Q3945" s="4"/>
      <c r="R3945" s="26"/>
      <c r="S3945" s="26"/>
      <c r="T3945" s="26">
        <v>1196355.3570000001</v>
      </c>
      <c r="U3945" s="26">
        <v>1339917.9998400002</v>
      </c>
      <c r="V3945" s="19" t="s">
        <v>3182</v>
      </c>
      <c r="W3945" s="11">
        <v>2015</v>
      </c>
      <c r="X3945" s="27"/>
      <c r="Y3945" s="21"/>
      <c r="Z3945" s="21"/>
      <c r="AA3945" s="21"/>
      <c r="AB3945" s="21"/>
      <c r="AC3945" s="21"/>
      <c r="AD3945" s="21"/>
      <c r="AE3945" s="21"/>
      <c r="AF3945" s="21"/>
      <c r="AG3945" s="21"/>
      <c r="AH3945" s="21"/>
      <c r="AI3945" s="21"/>
      <c r="AJ3945" s="21"/>
      <c r="AK3945" s="21"/>
      <c r="AL3945" s="21"/>
      <c r="AM3945" s="21"/>
      <c r="AN3945" s="21"/>
      <c r="AO3945" s="21"/>
      <c r="AP3945" s="21"/>
      <c r="AQ3945" s="21"/>
      <c r="AR3945" s="21"/>
      <c r="AS3945" s="21"/>
      <c r="AT3945" s="21"/>
      <c r="AU3945" s="21"/>
      <c r="AV3945" s="21"/>
      <c r="AW3945" s="21"/>
      <c r="AX3945" s="21"/>
      <c r="AY3945" s="21"/>
      <c r="AZ3945" s="21"/>
      <c r="BA3945" s="21"/>
      <c r="BB3945" s="21"/>
      <c r="BC3945" s="21"/>
      <c r="BD3945" s="21"/>
      <c r="BE3945" s="21"/>
      <c r="BF3945" s="21"/>
      <c r="BG3945" s="21"/>
      <c r="BH3945" s="21"/>
      <c r="BI3945" s="21"/>
      <c r="BJ3945" s="21"/>
      <c r="BK3945" s="21"/>
      <c r="BL3945" s="21"/>
      <c r="BM3945" s="21"/>
      <c r="BN3945" s="21"/>
      <c r="BO3945" s="21"/>
      <c r="BP3945" s="21"/>
      <c r="BQ3945" s="21"/>
      <c r="BR3945" s="21"/>
      <c r="BS3945" s="21"/>
      <c r="BT3945" s="21"/>
      <c r="BU3945" s="21"/>
      <c r="BV3945" s="21"/>
      <c r="BW3945" s="21"/>
      <c r="BX3945" s="21"/>
      <c r="BY3945" s="21"/>
      <c r="BZ3945" s="21"/>
      <c r="CA3945" s="21"/>
      <c r="CB3945" s="21"/>
      <c r="CC3945" s="21"/>
      <c r="CD3945" s="21"/>
      <c r="CE3945" s="21"/>
      <c r="CF3945" s="21"/>
      <c r="CG3945" s="21"/>
      <c r="CH3945" s="21"/>
      <c r="CI3945" s="21"/>
      <c r="CJ3945" s="21"/>
      <c r="CK3945" s="21"/>
      <c r="CL3945" s="21"/>
      <c r="CM3945" s="21"/>
      <c r="CN3945" s="21"/>
      <c r="CO3945" s="21"/>
      <c r="CP3945" s="21"/>
      <c r="CQ3945" s="21"/>
      <c r="CR3945" s="21"/>
      <c r="CS3945" s="21"/>
      <c r="CT3945" s="21"/>
      <c r="CU3945" s="21"/>
      <c r="CV3945" s="21"/>
      <c r="CW3945" s="21"/>
      <c r="CX3945" s="21"/>
      <c r="CY3945" s="21"/>
      <c r="CZ3945" s="21"/>
      <c r="DA3945" s="21"/>
      <c r="DB3945" s="21"/>
      <c r="DC3945" s="21"/>
      <c r="DD3945" s="21"/>
      <c r="DE3945" s="21"/>
      <c r="DF3945" s="21"/>
      <c r="DG3945" s="21"/>
      <c r="DH3945" s="21"/>
      <c r="DI3945" s="21"/>
      <c r="DJ3945" s="21"/>
      <c r="DK3945" s="21"/>
      <c r="DL3945" s="21"/>
      <c r="DM3945" s="21"/>
      <c r="DN3945" s="21"/>
      <c r="DO3945" s="21"/>
      <c r="DP3945" s="21"/>
      <c r="DQ3945" s="21"/>
      <c r="DR3945" s="21"/>
      <c r="DS3945" s="21"/>
      <c r="DT3945" s="21"/>
      <c r="DU3945" s="21"/>
      <c r="DV3945" s="21"/>
      <c r="DW3945" s="21"/>
      <c r="DX3945" s="21"/>
      <c r="DY3945" s="21"/>
      <c r="DZ3945" s="21"/>
      <c r="EA3945" s="21"/>
      <c r="EB3945" s="21"/>
      <c r="EC3945" s="21"/>
      <c r="ED3945" s="21"/>
      <c r="EE3945" s="21"/>
      <c r="EF3945" s="21"/>
      <c r="EG3945" s="21"/>
      <c r="EH3945" s="21"/>
      <c r="EI3945" s="21"/>
      <c r="EJ3945" s="21"/>
      <c r="EK3945" s="21"/>
      <c r="EL3945" s="21"/>
      <c r="EM3945" s="21"/>
      <c r="EN3945" s="21"/>
      <c r="EO3945" s="21"/>
      <c r="EP3945" s="21"/>
      <c r="EQ3945" s="21"/>
      <c r="ER3945" s="21"/>
      <c r="ES3945" s="21"/>
      <c r="ET3945" s="21"/>
      <c r="EU3945" s="21"/>
      <c r="EV3945" s="21"/>
      <c r="EW3945" s="21"/>
      <c r="EX3945" s="21"/>
      <c r="EY3945" s="21"/>
      <c r="EZ3945" s="21"/>
      <c r="FA3945" s="21"/>
      <c r="FB3945" s="21"/>
      <c r="FC3945" s="21"/>
      <c r="FD3945" s="21"/>
      <c r="FE3945" s="21"/>
      <c r="FF3945" s="21"/>
      <c r="FG3945" s="21"/>
      <c r="FH3945" s="21"/>
      <c r="FI3945" s="21"/>
      <c r="FJ3945" s="21"/>
      <c r="FK3945" s="21"/>
      <c r="FL3945" s="21"/>
      <c r="FM3945" s="21"/>
      <c r="FN3945" s="21"/>
      <c r="FO3945" s="21"/>
      <c r="FP3945" s="21"/>
      <c r="FQ3945" s="21"/>
      <c r="FR3945" s="21"/>
      <c r="FS3945" s="21"/>
      <c r="FT3945" s="21"/>
      <c r="FU3945" s="21"/>
      <c r="FV3945" s="21"/>
      <c r="FW3945" s="21"/>
      <c r="FX3945" s="21"/>
      <c r="FY3945" s="21"/>
      <c r="FZ3945" s="21"/>
      <c r="GA3945" s="21"/>
      <c r="GB3945" s="21"/>
      <c r="GC3945" s="21"/>
      <c r="GD3945" s="21"/>
      <c r="GE3945" s="21"/>
      <c r="GF3945" s="21"/>
      <c r="GG3945" s="21"/>
      <c r="GH3945" s="21"/>
      <c r="GI3945" s="21"/>
      <c r="GJ3945" s="21"/>
      <c r="GK3945" s="21"/>
    </row>
    <row r="3946" spans="1:193" s="28" customFormat="1" ht="89.25" customHeight="1" x14ac:dyDescent="0.2">
      <c r="A3946" s="1" t="s">
        <v>7141</v>
      </c>
      <c r="B3946" s="15" t="s">
        <v>5277</v>
      </c>
      <c r="C3946" s="4" t="s">
        <v>7236</v>
      </c>
      <c r="D3946" s="4" t="s">
        <v>7234</v>
      </c>
      <c r="E3946" s="4" t="s">
        <v>7235</v>
      </c>
      <c r="F3946" s="4" t="s">
        <v>7237</v>
      </c>
      <c r="G3946" s="1" t="s">
        <v>3187</v>
      </c>
      <c r="H3946" s="17">
        <v>0.5</v>
      </c>
      <c r="I3946" s="18">
        <v>710000000</v>
      </c>
      <c r="J3946" s="4" t="s">
        <v>1931</v>
      </c>
      <c r="K3946" s="4" t="s">
        <v>5706</v>
      </c>
      <c r="L3946" s="4" t="s">
        <v>1409</v>
      </c>
      <c r="M3946" s="1"/>
      <c r="N3946" s="4" t="s">
        <v>1408</v>
      </c>
      <c r="O3946" s="4" t="s">
        <v>6232</v>
      </c>
      <c r="P3946" s="1"/>
      <c r="Q3946" s="4"/>
      <c r="R3946" s="26"/>
      <c r="S3946" s="26"/>
      <c r="T3946" s="26">
        <v>2275000</v>
      </c>
      <c r="U3946" s="26">
        <f t="shared" ref="U3946:U3952" si="2622">T3946*1.12</f>
        <v>2548000.0000000005</v>
      </c>
      <c r="V3946" s="19" t="s">
        <v>3182</v>
      </c>
      <c r="W3946" s="11">
        <v>2015</v>
      </c>
      <c r="X3946" s="27"/>
    </row>
    <row r="3947" spans="1:193" s="28" customFormat="1" ht="89.25" customHeight="1" x14ac:dyDescent="0.2">
      <c r="A3947" s="1" t="s">
        <v>7233</v>
      </c>
      <c r="B3947" s="15" t="s">
        <v>5277</v>
      </c>
      <c r="C3947" s="4" t="s">
        <v>7073</v>
      </c>
      <c r="D3947" s="4" t="s">
        <v>7074</v>
      </c>
      <c r="E3947" s="4" t="s">
        <v>7074</v>
      </c>
      <c r="F3947" s="4" t="s">
        <v>7075</v>
      </c>
      <c r="G3947" s="1" t="s">
        <v>3187</v>
      </c>
      <c r="H3947" s="17">
        <v>0.5</v>
      </c>
      <c r="I3947" s="18">
        <v>710000000</v>
      </c>
      <c r="J3947" s="4" t="s">
        <v>1931</v>
      </c>
      <c r="K3947" s="4" t="s">
        <v>5706</v>
      </c>
      <c r="L3947" s="4" t="s">
        <v>1409</v>
      </c>
      <c r="M3947" s="1"/>
      <c r="N3947" s="4" t="s">
        <v>1408</v>
      </c>
      <c r="O3947" s="4" t="s">
        <v>6232</v>
      </c>
      <c r="P3947" s="1"/>
      <c r="Q3947" s="4"/>
      <c r="R3947" s="26"/>
      <c r="S3947" s="26"/>
      <c r="T3947" s="26">
        <v>0</v>
      </c>
      <c r="U3947" s="26">
        <f t="shared" si="2622"/>
        <v>0</v>
      </c>
      <c r="V3947" s="19" t="s">
        <v>3182</v>
      </c>
      <c r="W3947" s="11">
        <v>2015</v>
      </c>
      <c r="X3947" s="27" t="s">
        <v>7566</v>
      </c>
    </row>
    <row r="3948" spans="1:193" s="28" customFormat="1" ht="89.25" customHeight="1" x14ac:dyDescent="0.2">
      <c r="A3948" s="1" t="s">
        <v>7565</v>
      </c>
      <c r="B3948" s="15" t="s">
        <v>5277</v>
      </c>
      <c r="C3948" s="4" t="s">
        <v>7073</v>
      </c>
      <c r="D3948" s="4" t="s">
        <v>7074</v>
      </c>
      <c r="E3948" s="4" t="s">
        <v>7074</v>
      </c>
      <c r="F3948" s="4" t="s">
        <v>7075</v>
      </c>
      <c r="G3948" s="1" t="s">
        <v>3187</v>
      </c>
      <c r="H3948" s="17">
        <v>0.5</v>
      </c>
      <c r="I3948" s="18">
        <v>710000000</v>
      </c>
      <c r="J3948" s="4" t="s">
        <v>1931</v>
      </c>
      <c r="K3948" s="4" t="s">
        <v>5292</v>
      </c>
      <c r="L3948" s="4" t="s">
        <v>1409</v>
      </c>
      <c r="M3948" s="1"/>
      <c r="N3948" s="4" t="s">
        <v>7238</v>
      </c>
      <c r="O3948" s="4" t="s">
        <v>6232</v>
      </c>
      <c r="P3948" s="1"/>
      <c r="Q3948" s="4"/>
      <c r="R3948" s="26"/>
      <c r="S3948" s="26"/>
      <c r="T3948" s="26">
        <v>2890000</v>
      </c>
      <c r="U3948" s="26">
        <f t="shared" si="2622"/>
        <v>3236800.0000000005</v>
      </c>
      <c r="V3948" s="19" t="s">
        <v>3182</v>
      </c>
      <c r="W3948" s="11">
        <v>2015</v>
      </c>
      <c r="X3948" s="27"/>
    </row>
    <row r="3949" spans="1:193" s="28" customFormat="1" ht="57" customHeight="1" x14ac:dyDescent="0.2">
      <c r="A3949" s="1" t="s">
        <v>7317</v>
      </c>
      <c r="B3949" s="15" t="s">
        <v>5277</v>
      </c>
      <c r="C3949" s="4" t="s">
        <v>7318</v>
      </c>
      <c r="D3949" s="4" t="s">
        <v>7319</v>
      </c>
      <c r="E3949" s="4" t="s">
        <v>7320</v>
      </c>
      <c r="F3949" s="4" t="s">
        <v>7321</v>
      </c>
      <c r="G3949" s="1" t="s">
        <v>3187</v>
      </c>
      <c r="H3949" s="17">
        <v>0.5</v>
      </c>
      <c r="I3949" s="18">
        <v>710000000</v>
      </c>
      <c r="J3949" s="4" t="s">
        <v>1931</v>
      </c>
      <c r="K3949" s="4" t="s">
        <v>5292</v>
      </c>
      <c r="L3949" s="7" t="s">
        <v>2140</v>
      </c>
      <c r="M3949" s="1"/>
      <c r="N3949" s="4" t="s">
        <v>1408</v>
      </c>
      <c r="O3949" s="4" t="s">
        <v>6232</v>
      </c>
      <c r="P3949" s="1"/>
      <c r="Q3949" s="4"/>
      <c r="R3949" s="26"/>
      <c r="S3949" s="26"/>
      <c r="T3949" s="26">
        <v>0</v>
      </c>
      <c r="U3949" s="26">
        <f t="shared" si="2622"/>
        <v>0</v>
      </c>
      <c r="V3949" s="19" t="s">
        <v>3182</v>
      </c>
      <c r="W3949" s="11">
        <v>2015</v>
      </c>
      <c r="X3949" s="27" t="s">
        <v>7591</v>
      </c>
    </row>
    <row r="3950" spans="1:193" s="28" customFormat="1" ht="57" customHeight="1" x14ac:dyDescent="0.2">
      <c r="A3950" s="1" t="s">
        <v>7589</v>
      </c>
      <c r="B3950" s="15" t="s">
        <v>5277</v>
      </c>
      <c r="C3950" s="4" t="s">
        <v>7318</v>
      </c>
      <c r="D3950" s="4" t="s">
        <v>7319</v>
      </c>
      <c r="E3950" s="4" t="s">
        <v>7320</v>
      </c>
      <c r="F3950" s="4" t="s">
        <v>7590</v>
      </c>
      <c r="G3950" s="1" t="s">
        <v>3187</v>
      </c>
      <c r="H3950" s="17">
        <v>0.5</v>
      </c>
      <c r="I3950" s="18">
        <v>710000000</v>
      </c>
      <c r="J3950" s="4" t="s">
        <v>1931</v>
      </c>
      <c r="K3950" s="4" t="s">
        <v>5292</v>
      </c>
      <c r="L3950" s="7" t="s">
        <v>2140</v>
      </c>
      <c r="M3950" s="1"/>
      <c r="N3950" s="4" t="s">
        <v>1408</v>
      </c>
      <c r="O3950" s="4" t="s">
        <v>6232</v>
      </c>
      <c r="P3950" s="1"/>
      <c r="Q3950" s="4"/>
      <c r="R3950" s="26"/>
      <c r="S3950" s="26"/>
      <c r="T3950" s="26">
        <v>6300000</v>
      </c>
      <c r="U3950" s="26">
        <f t="shared" si="2622"/>
        <v>7056000.0000000009</v>
      </c>
      <c r="V3950" s="19" t="s">
        <v>3182</v>
      </c>
      <c r="W3950" s="11">
        <v>2015</v>
      </c>
      <c r="X3950" s="27"/>
    </row>
    <row r="3951" spans="1:193" s="28" customFormat="1" ht="99" customHeight="1" x14ac:dyDescent="0.2">
      <c r="A3951" s="1" t="s">
        <v>7569</v>
      </c>
      <c r="B3951" s="15" t="s">
        <v>5277</v>
      </c>
      <c r="C3951" s="4" t="s">
        <v>7570</v>
      </c>
      <c r="D3951" s="4" t="s">
        <v>7571</v>
      </c>
      <c r="E3951" s="4" t="s">
        <v>7572</v>
      </c>
      <c r="F3951" s="4" t="s">
        <v>7573</v>
      </c>
      <c r="G3951" s="1" t="s">
        <v>3187</v>
      </c>
      <c r="H3951" s="17">
        <v>0.5</v>
      </c>
      <c r="I3951" s="18">
        <v>710000000</v>
      </c>
      <c r="J3951" s="4" t="s">
        <v>1931</v>
      </c>
      <c r="K3951" s="4" t="s">
        <v>5292</v>
      </c>
      <c r="L3951" s="7" t="s">
        <v>1708</v>
      </c>
      <c r="M3951" s="1"/>
      <c r="N3951" s="4" t="s">
        <v>1408</v>
      </c>
      <c r="O3951" s="4" t="s">
        <v>6232</v>
      </c>
      <c r="P3951" s="1"/>
      <c r="Q3951" s="4"/>
      <c r="R3951" s="26"/>
      <c r="S3951" s="26"/>
      <c r="T3951" s="26">
        <v>2792955.3569999998</v>
      </c>
      <c r="U3951" s="26">
        <f t="shared" si="2622"/>
        <v>3128109.9998400002</v>
      </c>
      <c r="V3951" s="19" t="s">
        <v>3182</v>
      </c>
      <c r="W3951" s="11">
        <v>2015</v>
      </c>
      <c r="X3951" s="27"/>
    </row>
    <row r="3952" spans="1:193" s="28" customFormat="1" ht="99" customHeight="1" x14ac:dyDescent="0.2">
      <c r="A3952" s="1" t="s">
        <v>7574</v>
      </c>
      <c r="B3952" s="15" t="s">
        <v>5277</v>
      </c>
      <c r="C3952" s="4" t="s">
        <v>7575</v>
      </c>
      <c r="D3952" s="4" t="s">
        <v>7576</v>
      </c>
      <c r="E3952" s="4" t="s">
        <v>7577</v>
      </c>
      <c r="F3952" s="4" t="s">
        <v>7578</v>
      </c>
      <c r="G3952" s="1" t="s">
        <v>3190</v>
      </c>
      <c r="H3952" s="17">
        <v>0.5</v>
      </c>
      <c r="I3952" s="18">
        <v>710000000</v>
      </c>
      <c r="J3952" s="4" t="s">
        <v>1931</v>
      </c>
      <c r="K3952" s="4" t="s">
        <v>5292</v>
      </c>
      <c r="L3952" s="7" t="s">
        <v>7579</v>
      </c>
      <c r="M3952" s="1"/>
      <c r="N3952" s="4" t="s">
        <v>1408</v>
      </c>
      <c r="O3952" s="4" t="s">
        <v>6232</v>
      </c>
      <c r="P3952" s="1"/>
      <c r="Q3952" s="4"/>
      <c r="R3952" s="26"/>
      <c r="S3952" s="26"/>
      <c r="T3952" s="26">
        <v>170000</v>
      </c>
      <c r="U3952" s="26">
        <f t="shared" si="2622"/>
        <v>190400.00000000003</v>
      </c>
      <c r="V3952" s="19" t="s">
        <v>3182</v>
      </c>
      <c r="W3952" s="11">
        <v>2015</v>
      </c>
      <c r="X3952" s="27"/>
    </row>
    <row r="3953" spans="1:25" s="28" customFormat="1" ht="99" customHeight="1" x14ac:dyDescent="0.2">
      <c r="A3953" s="1" t="s">
        <v>7626</v>
      </c>
      <c r="B3953" s="15" t="s">
        <v>5277</v>
      </c>
      <c r="C3953" s="4" t="s">
        <v>7627</v>
      </c>
      <c r="D3953" s="4" t="s">
        <v>7628</v>
      </c>
      <c r="E3953" s="4" t="s">
        <v>7629</v>
      </c>
      <c r="F3953" s="4" t="s">
        <v>7630</v>
      </c>
      <c r="G3953" s="1" t="s">
        <v>1888</v>
      </c>
      <c r="H3953" s="17">
        <v>0.5</v>
      </c>
      <c r="I3953" s="18">
        <v>710000000</v>
      </c>
      <c r="J3953" s="4" t="s">
        <v>1931</v>
      </c>
      <c r="K3953" s="4" t="s">
        <v>5292</v>
      </c>
      <c r="L3953" s="7" t="s">
        <v>1708</v>
      </c>
      <c r="M3953" s="1"/>
      <c r="N3953" s="4" t="s">
        <v>7633</v>
      </c>
      <c r="O3953" s="4" t="s">
        <v>6232</v>
      </c>
      <c r="P3953" s="1"/>
      <c r="Q3953" s="4"/>
      <c r="R3953" s="26"/>
      <c r="S3953" s="26"/>
      <c r="T3953" s="26">
        <v>0</v>
      </c>
      <c r="U3953" s="26">
        <f t="shared" ref="U3953" si="2623">T3953*1.12</f>
        <v>0</v>
      </c>
      <c r="V3953" s="19" t="s">
        <v>3182</v>
      </c>
      <c r="W3953" s="11">
        <v>2015</v>
      </c>
      <c r="X3953" s="27" t="s">
        <v>9184</v>
      </c>
    </row>
    <row r="3954" spans="1:25" s="28" customFormat="1" ht="99" customHeight="1" x14ac:dyDescent="0.2">
      <c r="A3954" s="1" t="s">
        <v>9512</v>
      </c>
      <c r="B3954" s="15" t="s">
        <v>5277</v>
      </c>
      <c r="C3954" s="4" t="s">
        <v>7627</v>
      </c>
      <c r="D3954" s="4" t="s">
        <v>7628</v>
      </c>
      <c r="E3954" s="4" t="s">
        <v>7629</v>
      </c>
      <c r="F3954" s="4" t="s">
        <v>7630</v>
      </c>
      <c r="G3954" s="1" t="s">
        <v>1888</v>
      </c>
      <c r="H3954" s="17">
        <v>0.5</v>
      </c>
      <c r="I3954" s="18">
        <v>710000000</v>
      </c>
      <c r="J3954" s="4" t="s">
        <v>1931</v>
      </c>
      <c r="K3954" s="4" t="s">
        <v>5292</v>
      </c>
      <c r="L3954" s="7" t="s">
        <v>1708</v>
      </c>
      <c r="M3954" s="1"/>
      <c r="N3954" s="4" t="s">
        <v>9513</v>
      </c>
      <c r="O3954" s="4" t="s">
        <v>6232</v>
      </c>
      <c r="P3954" s="1"/>
      <c r="Q3954" s="4"/>
      <c r="R3954" s="26"/>
      <c r="S3954" s="26"/>
      <c r="T3954" s="26">
        <v>108918838.392</v>
      </c>
      <c r="U3954" s="26">
        <f t="shared" ref="U3954" si="2624">T3954*1.12</f>
        <v>121989098.99904002</v>
      </c>
      <c r="V3954" s="19" t="s">
        <v>3182</v>
      </c>
      <c r="W3954" s="11">
        <v>2015</v>
      </c>
      <c r="X3954" s="27"/>
    </row>
    <row r="3955" spans="1:25" s="28" customFormat="1" ht="99" customHeight="1" x14ac:dyDescent="0.2">
      <c r="A3955" s="1" t="s">
        <v>7658</v>
      </c>
      <c r="B3955" s="15" t="s">
        <v>5277</v>
      </c>
      <c r="C3955" s="4" t="s">
        <v>7659</v>
      </c>
      <c r="D3955" s="4" t="s">
        <v>7660</v>
      </c>
      <c r="E3955" s="4" t="s">
        <v>7660</v>
      </c>
      <c r="F3955" s="4" t="s">
        <v>7661</v>
      </c>
      <c r="G3955" s="1" t="s">
        <v>3187</v>
      </c>
      <c r="H3955" s="17">
        <v>0.5</v>
      </c>
      <c r="I3955" s="18">
        <v>710000000</v>
      </c>
      <c r="J3955" s="4" t="s">
        <v>1931</v>
      </c>
      <c r="K3955" s="4" t="s">
        <v>756</v>
      </c>
      <c r="L3955" s="7" t="s">
        <v>7579</v>
      </c>
      <c r="M3955" s="1"/>
      <c r="N3955" s="4" t="s">
        <v>7633</v>
      </c>
      <c r="O3955" s="4" t="s">
        <v>6232</v>
      </c>
      <c r="P3955" s="1"/>
      <c r="Q3955" s="4"/>
      <c r="R3955" s="26"/>
      <c r="S3955" s="26"/>
      <c r="T3955" s="26">
        <v>0</v>
      </c>
      <c r="U3955" s="26">
        <f t="shared" ref="U3955" si="2625">T3955*1.12</f>
        <v>0</v>
      </c>
      <c r="V3955" s="19" t="s">
        <v>3182</v>
      </c>
      <c r="W3955" s="11">
        <v>2015</v>
      </c>
      <c r="X3955" s="27" t="s">
        <v>7006</v>
      </c>
      <c r="Y3955" s="99"/>
    </row>
    <row r="3956" spans="1:25" s="28" customFormat="1" ht="99" customHeight="1" x14ac:dyDescent="0.2">
      <c r="A3956" s="1" t="s">
        <v>8970</v>
      </c>
      <c r="B3956" s="15" t="s">
        <v>5277</v>
      </c>
      <c r="C3956" s="4" t="s">
        <v>7659</v>
      </c>
      <c r="D3956" s="4" t="s">
        <v>7660</v>
      </c>
      <c r="E3956" s="4" t="s">
        <v>7660</v>
      </c>
      <c r="F3956" s="4" t="s">
        <v>7661</v>
      </c>
      <c r="G3956" s="1" t="s">
        <v>3187</v>
      </c>
      <c r="H3956" s="17">
        <v>0.5</v>
      </c>
      <c r="I3956" s="18">
        <v>710000000</v>
      </c>
      <c r="J3956" s="4" t="s">
        <v>1931</v>
      </c>
      <c r="K3956" s="4" t="s">
        <v>8946</v>
      </c>
      <c r="L3956" s="7" t="s">
        <v>7579</v>
      </c>
      <c r="M3956" s="1"/>
      <c r="N3956" s="4" t="s">
        <v>7633</v>
      </c>
      <c r="O3956" s="4" t="s">
        <v>6232</v>
      </c>
      <c r="P3956" s="1"/>
      <c r="Q3956" s="4"/>
      <c r="R3956" s="26"/>
      <c r="S3956" s="26"/>
      <c r="T3956" s="26">
        <v>1934616.071</v>
      </c>
      <c r="U3956" s="26">
        <f t="shared" ref="U3956" si="2626">T3956*1.12</f>
        <v>2166769.9995200001</v>
      </c>
      <c r="V3956" s="19" t="s">
        <v>3182</v>
      </c>
      <c r="W3956" s="11">
        <v>2015</v>
      </c>
      <c r="X3956" s="27"/>
      <c r="Y3956" s="99"/>
    </row>
    <row r="3957" spans="1:25" s="28" customFormat="1" ht="99" customHeight="1" x14ac:dyDescent="0.2">
      <c r="A3957" s="1" t="s">
        <v>8364</v>
      </c>
      <c r="B3957" s="15" t="s">
        <v>5277</v>
      </c>
      <c r="C3957" s="4" t="s">
        <v>8365</v>
      </c>
      <c r="D3957" s="4" t="s">
        <v>8366</v>
      </c>
      <c r="E3957" s="4" t="s">
        <v>8367</v>
      </c>
      <c r="F3957" s="4" t="s">
        <v>8368</v>
      </c>
      <c r="G3957" s="1" t="s">
        <v>3190</v>
      </c>
      <c r="H3957" s="17">
        <v>0.5</v>
      </c>
      <c r="I3957" s="18">
        <v>710000000</v>
      </c>
      <c r="J3957" s="4" t="s">
        <v>1931</v>
      </c>
      <c r="K3957" s="4" t="s">
        <v>756</v>
      </c>
      <c r="L3957" s="7" t="s">
        <v>1932</v>
      </c>
      <c r="M3957" s="1"/>
      <c r="N3957" s="4" t="s">
        <v>1408</v>
      </c>
      <c r="O3957" s="4" t="s">
        <v>6232</v>
      </c>
      <c r="P3957" s="1"/>
      <c r="Q3957" s="4"/>
      <c r="R3957" s="26"/>
      <c r="S3957" s="26"/>
      <c r="T3957" s="26">
        <f>1534000-170000</f>
        <v>1364000</v>
      </c>
      <c r="U3957" s="26">
        <f t="shared" ref="U3957" si="2627">T3957*1.12</f>
        <v>1527680.0000000002</v>
      </c>
      <c r="V3957" s="19" t="s">
        <v>3182</v>
      </c>
      <c r="W3957" s="11">
        <v>2015</v>
      </c>
      <c r="X3957" s="27" t="s">
        <v>7312</v>
      </c>
      <c r="Y3957" s="99"/>
    </row>
    <row r="3958" spans="1:25" s="28" customFormat="1" ht="99" customHeight="1" x14ac:dyDescent="0.2">
      <c r="A3958" s="1" t="s">
        <v>9805</v>
      </c>
      <c r="B3958" s="15" t="s">
        <v>5277</v>
      </c>
      <c r="C3958" s="4" t="s">
        <v>8365</v>
      </c>
      <c r="D3958" s="4" t="s">
        <v>8366</v>
      </c>
      <c r="E3958" s="4" t="s">
        <v>8367</v>
      </c>
      <c r="F3958" s="4" t="s">
        <v>8368</v>
      </c>
      <c r="G3958" s="1" t="s">
        <v>3190</v>
      </c>
      <c r="H3958" s="17">
        <v>0.5</v>
      </c>
      <c r="I3958" s="18">
        <v>710000000</v>
      </c>
      <c r="J3958" s="4" t="s">
        <v>1931</v>
      </c>
      <c r="K3958" s="4" t="s">
        <v>9806</v>
      </c>
      <c r="L3958" s="7" t="s">
        <v>1932</v>
      </c>
      <c r="M3958" s="1"/>
      <c r="N3958" s="4" t="s">
        <v>1408</v>
      </c>
      <c r="O3958" s="4" t="s">
        <v>6232</v>
      </c>
      <c r="P3958" s="1"/>
      <c r="Q3958" s="4"/>
      <c r="R3958" s="26"/>
      <c r="S3958" s="26"/>
      <c r="T3958" s="26">
        <f>1534000-170000+1364000</f>
        <v>2728000</v>
      </c>
      <c r="U3958" s="26">
        <f t="shared" ref="U3958" si="2628">T3958*1.12</f>
        <v>3055360.0000000005</v>
      </c>
      <c r="V3958" s="19" t="s">
        <v>3182</v>
      </c>
      <c r="W3958" s="11">
        <v>2015</v>
      </c>
      <c r="X3958" s="27"/>
      <c r="Y3958" s="99"/>
    </row>
    <row r="3959" spans="1:25" s="28" customFormat="1" ht="99" customHeight="1" x14ac:dyDescent="0.2">
      <c r="A3959" s="1" t="s">
        <v>8407</v>
      </c>
      <c r="B3959" s="4" t="s">
        <v>5277</v>
      </c>
      <c r="C3959" s="4" t="s">
        <v>8408</v>
      </c>
      <c r="D3959" s="4" t="s">
        <v>8409</v>
      </c>
      <c r="E3959" s="4" t="s">
        <v>8409</v>
      </c>
      <c r="F3959" s="4" t="s">
        <v>8410</v>
      </c>
      <c r="G3959" s="1" t="s">
        <v>3190</v>
      </c>
      <c r="H3959" s="17">
        <v>0.3</v>
      </c>
      <c r="I3959" s="18">
        <v>710000000</v>
      </c>
      <c r="J3959" s="4" t="s">
        <v>1931</v>
      </c>
      <c r="K3959" s="4" t="s">
        <v>6167</v>
      </c>
      <c r="L3959" s="7" t="s">
        <v>1708</v>
      </c>
      <c r="M3959" s="1"/>
      <c r="N3959" s="4" t="s">
        <v>1408</v>
      </c>
      <c r="O3959" s="4" t="s">
        <v>6232</v>
      </c>
      <c r="P3959" s="1"/>
      <c r="Q3959" s="4"/>
      <c r="R3959" s="26"/>
      <c r="S3959" s="26"/>
      <c r="T3959" s="26">
        <v>1250001.7857142857</v>
      </c>
      <c r="U3959" s="26">
        <v>1400002</v>
      </c>
      <c r="V3959" s="19" t="s">
        <v>3182</v>
      </c>
      <c r="W3959" s="11">
        <v>2015</v>
      </c>
      <c r="X3959" s="27"/>
    </row>
    <row r="3960" spans="1:25" s="28" customFormat="1" ht="99" customHeight="1" x14ac:dyDescent="0.2">
      <c r="A3960" s="1" t="s">
        <v>8411</v>
      </c>
      <c r="B3960" s="4" t="s">
        <v>5277</v>
      </c>
      <c r="C3960" s="4" t="s">
        <v>8412</v>
      </c>
      <c r="D3960" s="4" t="s">
        <v>8413</v>
      </c>
      <c r="E3960" s="4" t="s">
        <v>8413</v>
      </c>
      <c r="F3960" s="4" t="s">
        <v>8414</v>
      </c>
      <c r="G3960" s="1" t="s">
        <v>3190</v>
      </c>
      <c r="H3960" s="17">
        <v>0.3</v>
      </c>
      <c r="I3960" s="18">
        <v>710000000</v>
      </c>
      <c r="J3960" s="4" t="s">
        <v>1931</v>
      </c>
      <c r="K3960" s="4" t="s">
        <v>6167</v>
      </c>
      <c r="L3960" s="7" t="s">
        <v>1708</v>
      </c>
      <c r="M3960" s="1"/>
      <c r="N3960" s="4" t="s">
        <v>1408</v>
      </c>
      <c r="O3960" s="4" t="s">
        <v>6232</v>
      </c>
      <c r="P3960" s="1"/>
      <c r="Q3960" s="4"/>
      <c r="R3960" s="26"/>
      <c r="S3960" s="26"/>
      <c r="T3960" s="26">
        <v>1300000</v>
      </c>
      <c r="U3960" s="26">
        <v>1456000.0000000002</v>
      </c>
      <c r="V3960" s="19" t="s">
        <v>3182</v>
      </c>
      <c r="W3960" s="11">
        <v>2015</v>
      </c>
      <c r="X3960" s="27"/>
    </row>
    <row r="3961" spans="1:25" s="28" customFormat="1" ht="99" customHeight="1" x14ac:dyDescent="0.2">
      <c r="A3961" s="1" t="s">
        <v>8415</v>
      </c>
      <c r="B3961" s="4" t="s">
        <v>5277</v>
      </c>
      <c r="C3961" s="4" t="s">
        <v>8416</v>
      </c>
      <c r="D3961" s="4" t="s">
        <v>8417</v>
      </c>
      <c r="E3961" s="4" t="s">
        <v>8418</v>
      </c>
      <c r="F3961" s="4" t="s">
        <v>8419</v>
      </c>
      <c r="G3961" s="1" t="s">
        <v>3190</v>
      </c>
      <c r="H3961" s="17">
        <v>1</v>
      </c>
      <c r="I3961" s="18">
        <v>710000000</v>
      </c>
      <c r="J3961" s="4" t="s">
        <v>1931</v>
      </c>
      <c r="K3961" s="4" t="s">
        <v>6167</v>
      </c>
      <c r="L3961" s="7" t="s">
        <v>1931</v>
      </c>
      <c r="M3961" s="1"/>
      <c r="N3961" s="4" t="s">
        <v>1408</v>
      </c>
      <c r="O3961" s="4" t="s">
        <v>6232</v>
      </c>
      <c r="P3961" s="1"/>
      <c r="Q3961" s="4"/>
      <c r="R3961" s="26"/>
      <c r="S3961" s="26"/>
      <c r="T3961" s="26">
        <v>130000</v>
      </c>
      <c r="U3961" s="26">
        <v>145600</v>
      </c>
      <c r="V3961" s="19" t="s">
        <v>3182</v>
      </c>
      <c r="W3961" s="11">
        <v>2015</v>
      </c>
      <c r="X3961" s="27"/>
    </row>
    <row r="3962" spans="1:25" s="61" customFormat="1" ht="90.75" customHeight="1" outlineLevel="1" x14ac:dyDescent="0.2">
      <c r="A3962" s="1" t="s">
        <v>8959</v>
      </c>
      <c r="B3962" s="24" t="s">
        <v>5277</v>
      </c>
      <c r="C3962" s="25" t="s">
        <v>6990</v>
      </c>
      <c r="D3962" s="25" t="s">
        <v>6991</v>
      </c>
      <c r="E3962" s="25" t="s">
        <v>6992</v>
      </c>
      <c r="F3962" s="18" t="s">
        <v>8961</v>
      </c>
      <c r="G3962" s="1" t="s">
        <v>3190</v>
      </c>
      <c r="H3962" s="17">
        <v>0.5</v>
      </c>
      <c r="I3962" s="18">
        <v>710000000</v>
      </c>
      <c r="J3962" s="4" t="s">
        <v>8957</v>
      </c>
      <c r="K3962" s="8" t="s">
        <v>554</v>
      </c>
      <c r="L3962" s="18" t="s">
        <v>8958</v>
      </c>
      <c r="M3962" s="8"/>
      <c r="N3962" s="8" t="s">
        <v>1408</v>
      </c>
      <c r="O3962" s="4" t="s">
        <v>6232</v>
      </c>
      <c r="P3962" s="1"/>
      <c r="Q3962" s="4"/>
      <c r="R3962" s="120"/>
      <c r="S3962" s="120"/>
      <c r="T3962" s="120">
        <v>300000</v>
      </c>
      <c r="U3962" s="120">
        <f t="shared" ref="U3962" si="2629">T3962*1.12</f>
        <v>336000.00000000006</v>
      </c>
      <c r="V3962" s="8" t="s">
        <v>3182</v>
      </c>
      <c r="W3962" s="11" t="s">
        <v>8960</v>
      </c>
      <c r="X3962" s="1"/>
      <c r="Y3962" s="21"/>
    </row>
    <row r="3963" spans="1:25" s="61" customFormat="1" ht="90.75" customHeight="1" outlineLevel="1" x14ac:dyDescent="0.2">
      <c r="A3963" s="1" t="s">
        <v>9220</v>
      </c>
      <c r="B3963" s="24" t="s">
        <v>5277</v>
      </c>
      <c r="C3963" s="18" t="s">
        <v>9221</v>
      </c>
      <c r="D3963" s="18" t="s">
        <v>9222</v>
      </c>
      <c r="E3963" s="18" t="s">
        <v>9222</v>
      </c>
      <c r="F3963" s="18" t="s">
        <v>9223</v>
      </c>
      <c r="G3963" s="1" t="s">
        <v>3190</v>
      </c>
      <c r="H3963" s="17">
        <v>0.5</v>
      </c>
      <c r="I3963" s="18">
        <v>710000000</v>
      </c>
      <c r="J3963" s="4" t="s">
        <v>8957</v>
      </c>
      <c r="K3963" s="8" t="s">
        <v>7595</v>
      </c>
      <c r="L3963" s="18" t="s">
        <v>8958</v>
      </c>
      <c r="M3963" s="8"/>
      <c r="N3963" s="8" t="s">
        <v>1408</v>
      </c>
      <c r="O3963" s="4" t="s">
        <v>6232</v>
      </c>
      <c r="P3963" s="1"/>
      <c r="Q3963" s="4"/>
      <c r="R3963" s="120"/>
      <c r="S3963" s="120"/>
      <c r="T3963" s="120">
        <v>1204000</v>
      </c>
      <c r="U3963" s="120">
        <f t="shared" ref="U3963" si="2630">T3963*1.12</f>
        <v>1348480.0000000002</v>
      </c>
      <c r="V3963" s="8" t="s">
        <v>3182</v>
      </c>
      <c r="W3963" s="11" t="s">
        <v>8960</v>
      </c>
      <c r="X3963" s="1"/>
      <c r="Y3963" s="21"/>
    </row>
    <row r="3964" spans="1:25" s="61" customFormat="1" ht="90.75" customHeight="1" outlineLevel="1" x14ac:dyDescent="0.2">
      <c r="A3964" s="1" t="s">
        <v>9339</v>
      </c>
      <c r="B3964" s="24" t="s">
        <v>5277</v>
      </c>
      <c r="C3964" s="18" t="s">
        <v>1730</v>
      </c>
      <c r="D3964" s="18" t="s">
        <v>1731</v>
      </c>
      <c r="E3964" s="18" t="s">
        <v>1731</v>
      </c>
      <c r="F3964" s="18" t="s">
        <v>9340</v>
      </c>
      <c r="G3964" s="1" t="s">
        <v>3190</v>
      </c>
      <c r="H3964" s="17">
        <v>0.5</v>
      </c>
      <c r="I3964" s="18">
        <v>710000000</v>
      </c>
      <c r="J3964" s="4" t="s">
        <v>8957</v>
      </c>
      <c r="K3964" s="8" t="s">
        <v>5390</v>
      </c>
      <c r="L3964" s="7" t="s">
        <v>9341</v>
      </c>
      <c r="M3964" s="8"/>
      <c r="N3964" s="8" t="s">
        <v>1408</v>
      </c>
      <c r="O3964" s="4" t="s">
        <v>6232</v>
      </c>
      <c r="P3964" s="1"/>
      <c r="Q3964" s="4"/>
      <c r="R3964" s="120"/>
      <c r="S3964" s="120"/>
      <c r="T3964" s="120">
        <v>1714286</v>
      </c>
      <c r="U3964" s="120">
        <f t="shared" ref="U3964" si="2631">T3964*1.12</f>
        <v>1920000.3200000003</v>
      </c>
      <c r="V3964" s="8" t="s">
        <v>3182</v>
      </c>
      <c r="W3964" s="11" t="s">
        <v>8960</v>
      </c>
      <c r="X3964" s="1"/>
      <c r="Y3964" s="21"/>
    </row>
    <row r="3965" spans="1:25" s="61" customFormat="1" ht="90.75" customHeight="1" outlineLevel="1" x14ac:dyDescent="0.2">
      <c r="A3965" s="1" t="s">
        <v>9459</v>
      </c>
      <c r="B3965" s="24" t="s">
        <v>5277</v>
      </c>
      <c r="C3965" s="18" t="s">
        <v>9460</v>
      </c>
      <c r="D3965" s="18" t="s">
        <v>9461</v>
      </c>
      <c r="E3965" s="18" t="s">
        <v>9461</v>
      </c>
      <c r="F3965" s="18" t="s">
        <v>9462</v>
      </c>
      <c r="G3965" s="1" t="s">
        <v>3190</v>
      </c>
      <c r="H3965" s="17">
        <v>0.5</v>
      </c>
      <c r="I3965" s="18">
        <v>710000000</v>
      </c>
      <c r="J3965" s="4" t="s">
        <v>8957</v>
      </c>
      <c r="K3965" s="8" t="s">
        <v>5390</v>
      </c>
      <c r="L3965" s="7" t="s">
        <v>9463</v>
      </c>
      <c r="M3965" s="8"/>
      <c r="N3965" s="8" t="s">
        <v>1408</v>
      </c>
      <c r="O3965" s="4" t="s">
        <v>6232</v>
      </c>
      <c r="P3965" s="1"/>
      <c r="Q3965" s="4"/>
      <c r="R3965" s="120"/>
      <c r="S3965" s="120"/>
      <c r="T3965" s="120">
        <v>757351.79</v>
      </c>
      <c r="U3965" s="120">
        <f t="shared" ref="U3965:U3966" si="2632">T3965*1.12</f>
        <v>848234.00480000011</v>
      </c>
      <c r="V3965" s="8" t="s">
        <v>3182</v>
      </c>
      <c r="W3965" s="11" t="s">
        <v>8960</v>
      </c>
      <c r="X3965" s="1"/>
      <c r="Y3965" s="21"/>
    </row>
    <row r="3966" spans="1:25" s="28" customFormat="1" ht="129" customHeight="1" x14ac:dyDescent="0.2">
      <c r="A3966" s="1" t="s">
        <v>9469</v>
      </c>
      <c r="B3966" s="24" t="s">
        <v>5277</v>
      </c>
      <c r="C3966" s="4" t="s">
        <v>9471</v>
      </c>
      <c r="D3966" s="4" t="s">
        <v>9472</v>
      </c>
      <c r="E3966" s="4" t="s">
        <v>9472</v>
      </c>
      <c r="F3966" s="4" t="s">
        <v>9490</v>
      </c>
      <c r="G3966" s="4" t="s">
        <v>3190</v>
      </c>
      <c r="H3966" s="17">
        <v>0.5</v>
      </c>
      <c r="I3966" s="18">
        <v>710000000</v>
      </c>
      <c r="J3966" s="4" t="s">
        <v>1931</v>
      </c>
      <c r="K3966" s="4" t="s">
        <v>5390</v>
      </c>
      <c r="L3966" s="7" t="s">
        <v>2985</v>
      </c>
      <c r="M3966" s="1"/>
      <c r="N3966" s="4" t="s">
        <v>9470</v>
      </c>
      <c r="O3966" s="4" t="s">
        <v>6232</v>
      </c>
      <c r="P3966" s="1"/>
      <c r="Q3966" s="1"/>
      <c r="R3966" s="26"/>
      <c r="S3966" s="26"/>
      <c r="T3966" s="26">
        <v>1200000</v>
      </c>
      <c r="U3966" s="26">
        <f t="shared" si="2632"/>
        <v>1344000.0000000002</v>
      </c>
      <c r="V3966" s="56" t="s">
        <v>3182</v>
      </c>
      <c r="W3966" s="11">
        <v>2015</v>
      </c>
      <c r="X3966" s="27"/>
      <c r="Y3966" s="21"/>
    </row>
    <row r="3967" spans="1:25" s="28" customFormat="1" ht="87" customHeight="1" x14ac:dyDescent="0.2">
      <c r="A3967" s="1" t="s">
        <v>9715</v>
      </c>
      <c r="B3967" s="15" t="s">
        <v>5277</v>
      </c>
      <c r="C3967" s="145" t="s">
        <v>9813</v>
      </c>
      <c r="D3967" s="145" t="s">
        <v>6991</v>
      </c>
      <c r="E3967" s="145" t="s">
        <v>9814</v>
      </c>
      <c r="F3967" s="145" t="s">
        <v>9684</v>
      </c>
      <c r="G3967" s="4" t="s">
        <v>3190</v>
      </c>
      <c r="H3967" s="17">
        <v>1</v>
      </c>
      <c r="I3967" s="18">
        <v>710000000</v>
      </c>
      <c r="J3967" s="4" t="s">
        <v>1931</v>
      </c>
      <c r="K3967" s="4" t="s">
        <v>9683</v>
      </c>
      <c r="L3967" s="4" t="s">
        <v>9682</v>
      </c>
      <c r="M3967" s="1"/>
      <c r="N3967" s="4" t="s">
        <v>1408</v>
      </c>
      <c r="O3967" s="4" t="s">
        <v>6232</v>
      </c>
      <c r="P3967" s="1"/>
      <c r="Q3967" s="4"/>
      <c r="R3967" s="26"/>
      <c r="S3967" s="26"/>
      <c r="T3967" s="130">
        <v>1725000</v>
      </c>
      <c r="U3967" s="26">
        <f t="shared" ref="U3967:U3978" si="2633">T3967*1.12</f>
        <v>1932000.0000000002</v>
      </c>
      <c r="V3967" s="11" t="s">
        <v>3182</v>
      </c>
      <c r="W3967" s="11">
        <v>2015</v>
      </c>
      <c r="X3967" s="27"/>
    </row>
    <row r="3968" spans="1:25" s="28" customFormat="1" ht="87" customHeight="1" x14ac:dyDescent="0.2">
      <c r="A3968" s="1" t="s">
        <v>9716</v>
      </c>
      <c r="B3968" s="15" t="s">
        <v>5277</v>
      </c>
      <c r="C3968" s="145" t="s">
        <v>9685</v>
      </c>
      <c r="D3968" s="145" t="s">
        <v>9686</v>
      </c>
      <c r="E3968" s="145" t="s">
        <v>9686</v>
      </c>
      <c r="F3968" s="145" t="s">
        <v>9687</v>
      </c>
      <c r="G3968" s="4" t="s">
        <v>3190</v>
      </c>
      <c r="H3968" s="17">
        <v>1</v>
      </c>
      <c r="I3968" s="18">
        <v>710000000</v>
      </c>
      <c r="J3968" s="4" t="s">
        <v>1931</v>
      </c>
      <c r="K3968" s="4" t="s">
        <v>9683</v>
      </c>
      <c r="L3968" s="4" t="s">
        <v>9682</v>
      </c>
      <c r="M3968" s="1"/>
      <c r="N3968" s="4" t="s">
        <v>1408</v>
      </c>
      <c r="O3968" s="4" t="s">
        <v>6232</v>
      </c>
      <c r="P3968" s="1"/>
      <c r="Q3968" s="4"/>
      <c r="R3968" s="26"/>
      <c r="S3968" s="26"/>
      <c r="T3968" s="130">
        <v>1680000</v>
      </c>
      <c r="U3968" s="26">
        <f t="shared" si="2633"/>
        <v>1881600.0000000002</v>
      </c>
      <c r="V3968" s="11" t="s">
        <v>3182</v>
      </c>
      <c r="W3968" s="11">
        <v>2015</v>
      </c>
      <c r="X3968" s="27"/>
    </row>
    <row r="3969" spans="1:27" s="28" customFormat="1" ht="99" customHeight="1" x14ac:dyDescent="0.2">
      <c r="A3969" s="1" t="s">
        <v>9717</v>
      </c>
      <c r="B3969" s="15" t="s">
        <v>5277</v>
      </c>
      <c r="C3969" s="145" t="s">
        <v>9688</v>
      </c>
      <c r="D3969" s="145" t="s">
        <v>9689</v>
      </c>
      <c r="E3969" s="145" t="s">
        <v>9895</v>
      </c>
      <c r="F3969" s="16" t="s">
        <v>9690</v>
      </c>
      <c r="G3969" s="4" t="s">
        <v>3190</v>
      </c>
      <c r="H3969" s="17">
        <v>1</v>
      </c>
      <c r="I3969" s="18">
        <v>710000000</v>
      </c>
      <c r="J3969" s="4" t="s">
        <v>1931</v>
      </c>
      <c r="K3969" s="4" t="s">
        <v>9683</v>
      </c>
      <c r="L3969" s="4" t="s">
        <v>9682</v>
      </c>
      <c r="M3969" s="1"/>
      <c r="N3969" s="4" t="s">
        <v>1408</v>
      </c>
      <c r="O3969" s="4" t="s">
        <v>6232</v>
      </c>
      <c r="P3969" s="1"/>
      <c r="Q3969" s="4"/>
      <c r="R3969" s="26"/>
      <c r="S3969" s="26"/>
      <c r="T3969" s="130">
        <v>1702000</v>
      </c>
      <c r="U3969" s="26">
        <f t="shared" si="2633"/>
        <v>1906240.0000000002</v>
      </c>
      <c r="V3969" s="11" t="s">
        <v>3182</v>
      </c>
      <c r="W3969" s="11">
        <v>2015</v>
      </c>
      <c r="X3969" s="27"/>
    </row>
    <row r="3970" spans="1:27" s="28" customFormat="1" ht="99" customHeight="1" x14ac:dyDescent="0.2">
      <c r="A3970" s="1" t="s">
        <v>9718</v>
      </c>
      <c r="B3970" s="15" t="s">
        <v>5277</v>
      </c>
      <c r="C3970" s="145" t="s">
        <v>7142</v>
      </c>
      <c r="D3970" s="145" t="s">
        <v>7143</v>
      </c>
      <c r="E3970" s="145" t="s">
        <v>7144</v>
      </c>
      <c r="F3970" s="145" t="s">
        <v>9691</v>
      </c>
      <c r="G3970" s="4" t="s">
        <v>3190</v>
      </c>
      <c r="H3970" s="17">
        <v>1</v>
      </c>
      <c r="I3970" s="18">
        <v>710000000</v>
      </c>
      <c r="J3970" s="4" t="s">
        <v>1931</v>
      </c>
      <c r="K3970" s="4" t="s">
        <v>9683</v>
      </c>
      <c r="L3970" s="4" t="s">
        <v>9682</v>
      </c>
      <c r="M3970" s="1"/>
      <c r="N3970" s="4" t="s">
        <v>1408</v>
      </c>
      <c r="O3970" s="4" t="s">
        <v>6232</v>
      </c>
      <c r="P3970" s="1"/>
      <c r="Q3970" s="4"/>
      <c r="R3970" s="26"/>
      <c r="S3970" s="26"/>
      <c r="T3970" s="130">
        <v>1760000</v>
      </c>
      <c r="U3970" s="26">
        <f t="shared" si="2633"/>
        <v>1971200.0000000002</v>
      </c>
      <c r="V3970" s="11" t="s">
        <v>3182</v>
      </c>
      <c r="W3970" s="11">
        <v>2015</v>
      </c>
      <c r="X3970" s="27"/>
    </row>
    <row r="3971" spans="1:27" s="28" customFormat="1" ht="99" customHeight="1" x14ac:dyDescent="0.2">
      <c r="A3971" s="1" t="s">
        <v>9719</v>
      </c>
      <c r="B3971" s="15" t="s">
        <v>5277</v>
      </c>
      <c r="C3971" s="145" t="s">
        <v>9692</v>
      </c>
      <c r="D3971" s="145" t="s">
        <v>9693</v>
      </c>
      <c r="E3971" s="145" t="s">
        <v>9896</v>
      </c>
      <c r="F3971" s="16" t="s">
        <v>9694</v>
      </c>
      <c r="G3971" s="4" t="s">
        <v>3190</v>
      </c>
      <c r="H3971" s="17">
        <v>1</v>
      </c>
      <c r="I3971" s="18">
        <v>710000000</v>
      </c>
      <c r="J3971" s="4" t="s">
        <v>1931</v>
      </c>
      <c r="K3971" s="4" t="s">
        <v>9683</v>
      </c>
      <c r="L3971" s="4" t="s">
        <v>9682</v>
      </c>
      <c r="M3971" s="1"/>
      <c r="N3971" s="4" t="s">
        <v>1408</v>
      </c>
      <c r="O3971" s="4" t="s">
        <v>6232</v>
      </c>
      <c r="P3971" s="1"/>
      <c r="Q3971" s="4"/>
      <c r="R3971" s="26"/>
      <c r="S3971" s="26"/>
      <c r="T3971" s="130">
        <v>1705000</v>
      </c>
      <c r="U3971" s="26">
        <f t="shared" si="2633"/>
        <v>1909600.0000000002</v>
      </c>
      <c r="V3971" s="11" t="s">
        <v>3182</v>
      </c>
      <c r="W3971" s="11">
        <v>2015</v>
      </c>
      <c r="X3971" s="27"/>
    </row>
    <row r="3972" spans="1:27" s="28" customFormat="1" ht="99" customHeight="1" x14ac:dyDescent="0.2">
      <c r="A3972" s="1" t="s">
        <v>9720</v>
      </c>
      <c r="B3972" s="15" t="s">
        <v>5277</v>
      </c>
      <c r="C3972" s="145" t="s">
        <v>9695</v>
      </c>
      <c r="D3972" s="145" t="s">
        <v>9696</v>
      </c>
      <c r="E3972" s="145" t="s">
        <v>9897</v>
      </c>
      <c r="F3972" s="145" t="s">
        <v>9697</v>
      </c>
      <c r="G3972" s="4" t="s">
        <v>3190</v>
      </c>
      <c r="H3972" s="17">
        <v>1</v>
      </c>
      <c r="I3972" s="18">
        <v>710000000</v>
      </c>
      <c r="J3972" s="4" t="s">
        <v>1931</v>
      </c>
      <c r="K3972" s="4" t="s">
        <v>9683</v>
      </c>
      <c r="L3972" s="4" t="s">
        <v>9682</v>
      </c>
      <c r="M3972" s="1"/>
      <c r="N3972" s="4" t="s">
        <v>1408</v>
      </c>
      <c r="O3972" s="4" t="s">
        <v>6232</v>
      </c>
      <c r="P3972" s="1"/>
      <c r="Q3972" s="4"/>
      <c r="R3972" s="26"/>
      <c r="S3972" s="26"/>
      <c r="T3972" s="130">
        <v>1725000</v>
      </c>
      <c r="U3972" s="26">
        <f t="shared" si="2633"/>
        <v>1932000.0000000002</v>
      </c>
      <c r="V3972" s="11" t="s">
        <v>3182</v>
      </c>
      <c r="W3972" s="11">
        <v>2015</v>
      </c>
      <c r="X3972" s="27"/>
    </row>
    <row r="3973" spans="1:27" s="28" customFormat="1" ht="99" customHeight="1" x14ac:dyDescent="0.2">
      <c r="A3973" s="1" t="s">
        <v>9721</v>
      </c>
      <c r="B3973" s="15" t="s">
        <v>5277</v>
      </c>
      <c r="C3973" s="145" t="s">
        <v>9698</v>
      </c>
      <c r="D3973" s="145" t="s">
        <v>9699</v>
      </c>
      <c r="E3973" s="145" t="s">
        <v>9700</v>
      </c>
      <c r="F3973" s="16" t="s">
        <v>9701</v>
      </c>
      <c r="G3973" s="4" t="s">
        <v>3190</v>
      </c>
      <c r="H3973" s="17">
        <v>1</v>
      </c>
      <c r="I3973" s="18">
        <v>710000000</v>
      </c>
      <c r="J3973" s="4" t="s">
        <v>1931</v>
      </c>
      <c r="K3973" s="4" t="s">
        <v>9683</v>
      </c>
      <c r="L3973" s="4" t="s">
        <v>9682</v>
      </c>
      <c r="M3973" s="1"/>
      <c r="N3973" s="4" t="s">
        <v>1408</v>
      </c>
      <c r="O3973" s="4" t="s">
        <v>6232</v>
      </c>
      <c r="P3973" s="1"/>
      <c r="Q3973" s="4"/>
      <c r="R3973" s="26"/>
      <c r="S3973" s="26"/>
      <c r="T3973" s="130">
        <v>1527000</v>
      </c>
      <c r="U3973" s="26">
        <f t="shared" si="2633"/>
        <v>1710240.0000000002</v>
      </c>
      <c r="V3973" s="11" t="s">
        <v>3182</v>
      </c>
      <c r="W3973" s="11">
        <v>2015</v>
      </c>
      <c r="X3973" s="27"/>
    </row>
    <row r="3974" spans="1:27" s="28" customFormat="1" ht="99" customHeight="1" x14ac:dyDescent="0.2">
      <c r="A3974" s="1" t="s">
        <v>9722</v>
      </c>
      <c r="B3974" s="15" t="s">
        <v>5277</v>
      </c>
      <c r="C3974" s="145" t="s">
        <v>9702</v>
      </c>
      <c r="D3974" s="145" t="s">
        <v>9703</v>
      </c>
      <c r="E3974" s="145" t="s">
        <v>9703</v>
      </c>
      <c r="F3974" s="16" t="s">
        <v>9704</v>
      </c>
      <c r="G3974" s="4" t="s">
        <v>3190</v>
      </c>
      <c r="H3974" s="17">
        <v>1</v>
      </c>
      <c r="I3974" s="18">
        <v>710000000</v>
      </c>
      <c r="J3974" s="4" t="s">
        <v>1931</v>
      </c>
      <c r="K3974" s="4" t="s">
        <v>9683</v>
      </c>
      <c r="L3974" s="4" t="s">
        <v>9682</v>
      </c>
      <c r="M3974" s="1"/>
      <c r="N3974" s="4" t="s">
        <v>1408</v>
      </c>
      <c r="O3974" s="4" t="s">
        <v>6232</v>
      </c>
      <c r="P3974" s="1"/>
      <c r="Q3974" s="4"/>
      <c r="R3974" s="26"/>
      <c r="S3974" s="26"/>
      <c r="T3974" s="130">
        <v>1750000</v>
      </c>
      <c r="U3974" s="26">
        <f t="shared" si="2633"/>
        <v>1960000.0000000002</v>
      </c>
      <c r="V3974" s="11" t="s">
        <v>3182</v>
      </c>
      <c r="W3974" s="11">
        <v>2015</v>
      </c>
      <c r="X3974" s="27"/>
    </row>
    <row r="3975" spans="1:27" s="28" customFormat="1" ht="99" customHeight="1" x14ac:dyDescent="0.2">
      <c r="A3975" s="1" t="s">
        <v>9723</v>
      </c>
      <c r="B3975" s="15" t="s">
        <v>5277</v>
      </c>
      <c r="C3975" s="145" t="s">
        <v>9709</v>
      </c>
      <c r="D3975" s="16" t="s">
        <v>9898</v>
      </c>
      <c r="E3975" s="16" t="s">
        <v>9899</v>
      </c>
      <c r="F3975" s="16" t="s">
        <v>9710</v>
      </c>
      <c r="G3975" s="4" t="s">
        <v>3190</v>
      </c>
      <c r="H3975" s="17">
        <v>1</v>
      </c>
      <c r="I3975" s="18">
        <v>710000000</v>
      </c>
      <c r="J3975" s="4" t="s">
        <v>1931</v>
      </c>
      <c r="K3975" s="4" t="s">
        <v>9683</v>
      </c>
      <c r="L3975" s="4" t="s">
        <v>9682</v>
      </c>
      <c r="M3975" s="1"/>
      <c r="N3975" s="4" t="s">
        <v>1408</v>
      </c>
      <c r="O3975" s="4" t="s">
        <v>6232</v>
      </c>
      <c r="P3975" s="1"/>
      <c r="Q3975" s="4"/>
      <c r="R3975" s="26"/>
      <c r="S3975" s="26"/>
      <c r="T3975" s="130">
        <v>1600000</v>
      </c>
      <c r="U3975" s="26">
        <f t="shared" si="2633"/>
        <v>1792000.0000000002</v>
      </c>
      <c r="V3975" s="11" t="s">
        <v>3182</v>
      </c>
      <c r="W3975" s="11">
        <v>2015</v>
      </c>
      <c r="X3975" s="27"/>
    </row>
    <row r="3976" spans="1:27" s="28" customFormat="1" ht="99" customHeight="1" x14ac:dyDescent="0.2">
      <c r="A3976" s="1" t="s">
        <v>9724</v>
      </c>
      <c r="B3976" s="15" t="s">
        <v>5277</v>
      </c>
      <c r="C3976" s="145" t="s">
        <v>9705</v>
      </c>
      <c r="D3976" s="145" t="s">
        <v>9706</v>
      </c>
      <c r="E3976" s="145" t="s">
        <v>9707</v>
      </c>
      <c r="F3976" s="16" t="s">
        <v>9708</v>
      </c>
      <c r="G3976" s="4" t="s">
        <v>3190</v>
      </c>
      <c r="H3976" s="17">
        <v>1</v>
      </c>
      <c r="I3976" s="18">
        <v>710000000</v>
      </c>
      <c r="J3976" s="4" t="s">
        <v>1931</v>
      </c>
      <c r="K3976" s="4" t="s">
        <v>9683</v>
      </c>
      <c r="L3976" s="4" t="s">
        <v>9682</v>
      </c>
      <c r="M3976" s="1"/>
      <c r="N3976" s="4" t="s">
        <v>1408</v>
      </c>
      <c r="O3976" s="4" t="s">
        <v>6232</v>
      </c>
      <c r="P3976" s="1"/>
      <c r="Q3976" s="4"/>
      <c r="R3976" s="26"/>
      <c r="S3976" s="26"/>
      <c r="T3976" s="130">
        <v>1700000</v>
      </c>
      <c r="U3976" s="26">
        <f t="shared" si="2633"/>
        <v>1904000.0000000002</v>
      </c>
      <c r="V3976" s="11" t="s">
        <v>3182</v>
      </c>
      <c r="W3976" s="11">
        <v>2015</v>
      </c>
      <c r="X3976" s="27"/>
    </row>
    <row r="3977" spans="1:27" s="28" customFormat="1" ht="111.75" customHeight="1" x14ac:dyDescent="0.2">
      <c r="A3977" s="1" t="s">
        <v>9725</v>
      </c>
      <c r="B3977" s="15" t="s">
        <v>5277</v>
      </c>
      <c r="C3977" s="145" t="s">
        <v>9711</v>
      </c>
      <c r="D3977" s="145" t="s">
        <v>9712</v>
      </c>
      <c r="E3977" s="145" t="s">
        <v>9713</v>
      </c>
      <c r="F3977" s="16" t="s">
        <v>9714</v>
      </c>
      <c r="G3977" s="4" t="s">
        <v>3190</v>
      </c>
      <c r="H3977" s="17">
        <v>1</v>
      </c>
      <c r="I3977" s="18">
        <v>710000000</v>
      </c>
      <c r="J3977" s="4" t="s">
        <v>1931</v>
      </c>
      <c r="K3977" s="4" t="s">
        <v>9683</v>
      </c>
      <c r="L3977" s="4" t="s">
        <v>9682</v>
      </c>
      <c r="M3977" s="1"/>
      <c r="N3977" s="4" t="s">
        <v>1408</v>
      </c>
      <c r="O3977" s="4" t="s">
        <v>6232</v>
      </c>
      <c r="P3977" s="1"/>
      <c r="Q3977" s="4"/>
      <c r="R3977" s="26"/>
      <c r="S3977" s="26"/>
      <c r="T3977" s="130">
        <v>1742000</v>
      </c>
      <c r="U3977" s="26">
        <f t="shared" si="2633"/>
        <v>1951040.0000000002</v>
      </c>
      <c r="V3977" s="11" t="s">
        <v>3182</v>
      </c>
      <c r="W3977" s="11">
        <v>2015</v>
      </c>
      <c r="X3977" s="27"/>
    </row>
    <row r="3978" spans="1:27" s="28" customFormat="1" ht="111.75" customHeight="1" x14ac:dyDescent="0.2">
      <c r="A3978" s="1" t="s">
        <v>9742</v>
      </c>
      <c r="B3978" s="15" t="s">
        <v>5277</v>
      </c>
      <c r="C3978" s="16" t="s">
        <v>9743</v>
      </c>
      <c r="D3978" s="16" t="s">
        <v>9744</v>
      </c>
      <c r="E3978" s="16" t="s">
        <v>9745</v>
      </c>
      <c r="F3978" s="16" t="s">
        <v>9746</v>
      </c>
      <c r="G3978" s="4" t="s">
        <v>3190</v>
      </c>
      <c r="H3978" s="17">
        <v>1</v>
      </c>
      <c r="I3978" s="18">
        <v>710000000</v>
      </c>
      <c r="J3978" s="4" t="s">
        <v>1931</v>
      </c>
      <c r="K3978" s="4" t="s">
        <v>9683</v>
      </c>
      <c r="L3978" s="7" t="s">
        <v>1409</v>
      </c>
      <c r="M3978" s="1"/>
      <c r="N3978" s="4" t="s">
        <v>1408</v>
      </c>
      <c r="O3978" s="4" t="s">
        <v>6232</v>
      </c>
      <c r="P3978" s="1"/>
      <c r="Q3978" s="4"/>
      <c r="R3978" s="26"/>
      <c r="S3978" s="26"/>
      <c r="T3978" s="130">
        <v>485000</v>
      </c>
      <c r="U3978" s="26">
        <f t="shared" si="2633"/>
        <v>543200</v>
      </c>
      <c r="V3978" s="11" t="s">
        <v>3182</v>
      </c>
      <c r="W3978" s="11">
        <v>2015</v>
      </c>
      <c r="X3978" s="27"/>
    </row>
    <row r="3979" spans="1:27" s="28" customFormat="1" ht="111.75" customHeight="1" x14ac:dyDescent="0.2">
      <c r="A3979" s="1" t="s">
        <v>9807</v>
      </c>
      <c r="B3979" s="15" t="s">
        <v>5277</v>
      </c>
      <c r="C3979" s="16" t="s">
        <v>9808</v>
      </c>
      <c r="D3979" s="16" t="s">
        <v>9809</v>
      </c>
      <c r="E3979" s="16" t="s">
        <v>9810</v>
      </c>
      <c r="F3979" s="16" t="s">
        <v>9811</v>
      </c>
      <c r="G3979" s="4" t="s">
        <v>3190</v>
      </c>
      <c r="H3979" s="17">
        <v>1</v>
      </c>
      <c r="I3979" s="18">
        <v>710000000</v>
      </c>
      <c r="J3979" s="4" t="s">
        <v>1931</v>
      </c>
      <c r="K3979" s="4" t="s">
        <v>9683</v>
      </c>
      <c r="L3979" s="7" t="s">
        <v>9812</v>
      </c>
      <c r="M3979" s="1"/>
      <c r="N3979" s="4" t="s">
        <v>1408</v>
      </c>
      <c r="O3979" s="4" t="s">
        <v>6232</v>
      </c>
      <c r="P3979" s="1"/>
      <c r="Q3979" s="4"/>
      <c r="R3979" s="26"/>
      <c r="S3979" s="26"/>
      <c r="T3979" s="130">
        <v>1217173.2139999999</v>
      </c>
      <c r="U3979" s="26">
        <f t="shared" ref="U3979" si="2634">T3979*1.12</f>
        <v>1363233.9996800001</v>
      </c>
      <c r="V3979" s="11" t="s">
        <v>3182</v>
      </c>
      <c r="W3979" s="11">
        <v>2015</v>
      </c>
      <c r="X3979" s="27"/>
      <c r="AA3979" s="146"/>
    </row>
    <row r="3980" spans="1:27" s="28" customFormat="1" ht="111.75" customHeight="1" x14ac:dyDescent="0.2">
      <c r="A3980" s="1" t="s">
        <v>9860</v>
      </c>
      <c r="B3980" s="15" t="s">
        <v>5277</v>
      </c>
      <c r="C3980" s="16" t="s">
        <v>9861</v>
      </c>
      <c r="D3980" s="16" t="s">
        <v>9862</v>
      </c>
      <c r="E3980" s="16" t="s">
        <v>6251</v>
      </c>
      <c r="F3980" s="16" t="s">
        <v>9863</v>
      </c>
      <c r="G3980" s="4" t="s">
        <v>3190</v>
      </c>
      <c r="H3980" s="17">
        <v>1</v>
      </c>
      <c r="I3980" s="18">
        <v>710000000</v>
      </c>
      <c r="J3980" s="4" t="s">
        <v>1931</v>
      </c>
      <c r="K3980" s="4" t="s">
        <v>9683</v>
      </c>
      <c r="L3980" s="7" t="s">
        <v>1409</v>
      </c>
      <c r="M3980" s="1"/>
      <c r="N3980" s="4" t="s">
        <v>1408</v>
      </c>
      <c r="O3980" s="4" t="s">
        <v>6232</v>
      </c>
      <c r="P3980" s="1"/>
      <c r="Q3980" s="4"/>
      <c r="R3980" s="26"/>
      <c r="S3980" s="26"/>
      <c r="T3980" s="130">
        <v>163033.60000000001</v>
      </c>
      <c r="U3980" s="26">
        <f t="shared" ref="U3980:U3981" si="2635">T3980*1.12</f>
        <v>182597.63200000001</v>
      </c>
      <c r="V3980" s="11" t="s">
        <v>3182</v>
      </c>
      <c r="W3980" s="11">
        <v>2015</v>
      </c>
      <c r="X3980" s="27"/>
      <c r="AA3980" s="146"/>
    </row>
    <row r="3981" spans="1:27" s="61" customFormat="1" ht="90.75" customHeight="1" outlineLevel="1" x14ac:dyDescent="0.2">
      <c r="A3981" s="1" t="s">
        <v>9871</v>
      </c>
      <c r="B3981" s="24" t="s">
        <v>5277</v>
      </c>
      <c r="C3981" s="18" t="s">
        <v>9221</v>
      </c>
      <c r="D3981" s="18" t="s">
        <v>9222</v>
      </c>
      <c r="E3981" s="18" t="s">
        <v>9222</v>
      </c>
      <c r="F3981" s="18" t="s">
        <v>9872</v>
      </c>
      <c r="G3981" s="1" t="s">
        <v>3190</v>
      </c>
      <c r="H3981" s="17">
        <v>0.5</v>
      </c>
      <c r="I3981" s="18">
        <v>710000000</v>
      </c>
      <c r="J3981" s="4" t="s">
        <v>8957</v>
      </c>
      <c r="K3981" s="8" t="s">
        <v>7595</v>
      </c>
      <c r="L3981" s="18" t="s">
        <v>2985</v>
      </c>
      <c r="M3981" s="8"/>
      <c r="N3981" s="8" t="s">
        <v>1408</v>
      </c>
      <c r="O3981" s="4" t="s">
        <v>6232</v>
      </c>
      <c r="P3981" s="1"/>
      <c r="Q3981" s="4"/>
      <c r="R3981" s="120"/>
      <c r="S3981" s="120"/>
      <c r="T3981" s="120">
        <v>0</v>
      </c>
      <c r="U3981" s="120">
        <f t="shared" si="2635"/>
        <v>0</v>
      </c>
      <c r="V3981" s="8" t="s">
        <v>3182</v>
      </c>
      <c r="W3981" s="11" t="s">
        <v>8960</v>
      </c>
      <c r="X3981" s="1" t="s">
        <v>7281</v>
      </c>
      <c r="Y3981" s="21"/>
      <c r="AA3981" s="234"/>
    </row>
    <row r="3982" spans="1:27" s="61" customFormat="1" ht="90.75" customHeight="1" outlineLevel="1" x14ac:dyDescent="0.2">
      <c r="A3982" s="1" t="s">
        <v>9949</v>
      </c>
      <c r="B3982" s="24" t="s">
        <v>5277</v>
      </c>
      <c r="C3982" s="18" t="s">
        <v>9221</v>
      </c>
      <c r="D3982" s="18" t="s">
        <v>9222</v>
      </c>
      <c r="E3982" s="18" t="s">
        <v>9222</v>
      </c>
      <c r="F3982" s="18" t="s">
        <v>9950</v>
      </c>
      <c r="G3982" s="1" t="s">
        <v>3190</v>
      </c>
      <c r="H3982" s="17">
        <v>0.5</v>
      </c>
      <c r="I3982" s="18">
        <v>710000000</v>
      </c>
      <c r="J3982" s="4" t="s">
        <v>8957</v>
      </c>
      <c r="K3982" s="8" t="s">
        <v>9867</v>
      </c>
      <c r="L3982" s="18" t="s">
        <v>2985</v>
      </c>
      <c r="M3982" s="8"/>
      <c r="N3982" s="8" t="s">
        <v>1408</v>
      </c>
      <c r="O3982" s="4" t="s">
        <v>6232</v>
      </c>
      <c r="P3982" s="1"/>
      <c r="Q3982" s="4"/>
      <c r="R3982" s="120"/>
      <c r="S3982" s="120"/>
      <c r="T3982" s="120">
        <v>133928.57139999999</v>
      </c>
      <c r="U3982" s="120">
        <f t="shared" ref="U3982" si="2636">T3982*1.12</f>
        <v>149999.99996799999</v>
      </c>
      <c r="V3982" s="8" t="s">
        <v>3182</v>
      </c>
      <c r="W3982" s="11" t="s">
        <v>8960</v>
      </c>
      <c r="X3982" s="1"/>
      <c r="Y3982" s="21"/>
      <c r="AA3982" s="234"/>
    </row>
    <row r="3983" spans="1:27" s="61" customFormat="1" ht="98.25" customHeight="1" outlineLevel="1" x14ac:dyDescent="0.2">
      <c r="A3983" s="1" t="s">
        <v>9913</v>
      </c>
      <c r="B3983" s="24" t="s">
        <v>5277</v>
      </c>
      <c r="C3983" s="18" t="s">
        <v>6561</v>
      </c>
      <c r="D3983" s="18" t="s">
        <v>6559</v>
      </c>
      <c r="E3983" s="18" t="s">
        <v>6560</v>
      </c>
      <c r="F3983" s="18" t="s">
        <v>9914</v>
      </c>
      <c r="G3983" s="1" t="s">
        <v>3187</v>
      </c>
      <c r="H3983" s="17">
        <v>0.5</v>
      </c>
      <c r="I3983" s="18">
        <v>710000000</v>
      </c>
      <c r="J3983" s="4" t="s">
        <v>8957</v>
      </c>
      <c r="K3983" s="8" t="s">
        <v>9683</v>
      </c>
      <c r="L3983" s="18" t="s">
        <v>2985</v>
      </c>
      <c r="M3983" s="8"/>
      <c r="N3983" s="8" t="s">
        <v>1408</v>
      </c>
      <c r="O3983" s="4" t="s">
        <v>6232</v>
      </c>
      <c r="P3983" s="1"/>
      <c r="Q3983" s="4"/>
      <c r="R3983" s="120"/>
      <c r="S3983" s="120"/>
      <c r="T3983" s="120">
        <v>5000000</v>
      </c>
      <c r="U3983" s="120">
        <f t="shared" ref="U3983" si="2637">T3983*1.12</f>
        <v>5600000.0000000009</v>
      </c>
      <c r="V3983" s="8" t="s">
        <v>3182</v>
      </c>
      <c r="W3983" s="11" t="s">
        <v>8960</v>
      </c>
      <c r="X3983" s="1"/>
      <c r="Y3983" s="21"/>
      <c r="Z3983" s="234"/>
      <c r="AA3983" s="234"/>
    </row>
    <row r="3984" spans="1:27" s="28" customFormat="1" ht="120" customHeight="1" x14ac:dyDescent="0.2">
      <c r="A3984" s="1" t="s">
        <v>10127</v>
      </c>
      <c r="B3984" s="24" t="s">
        <v>5277</v>
      </c>
      <c r="C3984" s="4" t="s">
        <v>6561</v>
      </c>
      <c r="D3984" s="4" t="s">
        <v>6559</v>
      </c>
      <c r="E3984" s="4" t="s">
        <v>6560</v>
      </c>
      <c r="F3984" s="4" t="s">
        <v>10128</v>
      </c>
      <c r="G3984" s="4" t="s">
        <v>3187</v>
      </c>
      <c r="H3984" s="17">
        <v>0.5</v>
      </c>
      <c r="I3984" s="18">
        <v>710000000</v>
      </c>
      <c r="J3984" s="4" t="s">
        <v>1931</v>
      </c>
      <c r="K3984" s="4" t="s">
        <v>10033</v>
      </c>
      <c r="L3984" s="18" t="s">
        <v>1708</v>
      </c>
      <c r="M3984" s="144"/>
      <c r="N3984" s="4" t="s">
        <v>1408</v>
      </c>
      <c r="O3984" s="4" t="s">
        <v>6232</v>
      </c>
      <c r="P3984" s="1"/>
      <c r="Q3984" s="1"/>
      <c r="R3984" s="26"/>
      <c r="S3984" s="26"/>
      <c r="T3984" s="26">
        <f>3000000/1.12</f>
        <v>2678571.4285714282</v>
      </c>
      <c r="U3984" s="26">
        <f>T3984*1.12</f>
        <v>3000000</v>
      </c>
      <c r="V3984" s="56" t="s">
        <v>3182</v>
      </c>
      <c r="W3984" s="11">
        <v>2015</v>
      </c>
      <c r="X3984" s="27"/>
    </row>
    <row r="3985" spans="1:24" s="28" customFormat="1" ht="120" customHeight="1" x14ac:dyDescent="0.2">
      <c r="A3985" s="1" t="s">
        <v>10129</v>
      </c>
      <c r="B3985" s="24" t="s">
        <v>5277</v>
      </c>
      <c r="C3985" s="4" t="s">
        <v>10130</v>
      </c>
      <c r="D3985" s="4" t="s">
        <v>10131</v>
      </c>
      <c r="E3985" s="4" t="s">
        <v>10131</v>
      </c>
      <c r="F3985" s="4" t="s">
        <v>10145</v>
      </c>
      <c r="G3985" s="1" t="s">
        <v>3190</v>
      </c>
      <c r="H3985" s="17">
        <v>0.5</v>
      </c>
      <c r="I3985" s="18">
        <v>710000000</v>
      </c>
      <c r="J3985" s="4" t="s">
        <v>1931</v>
      </c>
      <c r="K3985" s="4" t="s">
        <v>10090</v>
      </c>
      <c r="L3985" s="18" t="s">
        <v>1708</v>
      </c>
      <c r="M3985" s="144"/>
      <c r="N3985" s="4" t="s">
        <v>1408</v>
      </c>
      <c r="O3985" s="4" t="s">
        <v>6232</v>
      </c>
      <c r="P3985" s="1"/>
      <c r="Q3985" s="1"/>
      <c r="R3985" s="26"/>
      <c r="S3985" s="26"/>
      <c r="T3985" s="26">
        <f>348000/1.12</f>
        <v>310714.28571428568</v>
      </c>
      <c r="U3985" s="26">
        <f>T3985*1.12</f>
        <v>348000</v>
      </c>
      <c r="V3985" s="56" t="s">
        <v>3182</v>
      </c>
      <c r="W3985" s="1">
        <v>2015</v>
      </c>
      <c r="X3985" s="27"/>
    </row>
    <row r="3986" spans="1:24" s="28" customFormat="1" ht="120" customHeight="1" x14ac:dyDescent="0.2">
      <c r="A3986" s="1" t="s">
        <v>10132</v>
      </c>
      <c r="B3986" s="24" t="s">
        <v>5277</v>
      </c>
      <c r="C3986" s="4" t="s">
        <v>10133</v>
      </c>
      <c r="D3986" s="4" t="s">
        <v>10134</v>
      </c>
      <c r="E3986" s="4" t="s">
        <v>10135</v>
      </c>
      <c r="F3986" s="4" t="s">
        <v>10144</v>
      </c>
      <c r="G3986" s="1" t="s">
        <v>3190</v>
      </c>
      <c r="H3986" s="17">
        <v>0.5</v>
      </c>
      <c r="I3986" s="18">
        <v>710000000</v>
      </c>
      <c r="J3986" s="4" t="s">
        <v>1931</v>
      </c>
      <c r="K3986" s="4" t="s">
        <v>10090</v>
      </c>
      <c r="L3986" s="3" t="s">
        <v>2140</v>
      </c>
      <c r="M3986" s="144"/>
      <c r="N3986" s="4" t="s">
        <v>1408</v>
      </c>
      <c r="O3986" s="4" t="s">
        <v>6232</v>
      </c>
      <c r="P3986" s="1"/>
      <c r="Q3986" s="1"/>
      <c r="R3986" s="26"/>
      <c r="S3986" s="26"/>
      <c r="T3986" s="26">
        <f>1460000/1.12</f>
        <v>1303571.4285714284</v>
      </c>
      <c r="U3986" s="26">
        <f>T3986*1.12</f>
        <v>1460000</v>
      </c>
      <c r="V3986" s="56" t="s">
        <v>3182</v>
      </c>
      <c r="W3986" s="1">
        <v>2015</v>
      </c>
      <c r="X3986" s="27"/>
    </row>
    <row r="3987" spans="1:24" s="28" customFormat="1" ht="120" customHeight="1" x14ac:dyDescent="0.2">
      <c r="A3987" s="1" t="s">
        <v>10151</v>
      </c>
      <c r="B3987" s="24" t="s">
        <v>5277</v>
      </c>
      <c r="C3987" s="4" t="s">
        <v>10153</v>
      </c>
      <c r="D3987" s="4" t="s">
        <v>10152</v>
      </c>
      <c r="E3987" s="4" t="s">
        <v>10152</v>
      </c>
      <c r="F3987" s="4" t="s">
        <v>10155</v>
      </c>
      <c r="G3987" s="1" t="s">
        <v>3190</v>
      </c>
      <c r="H3987" s="17">
        <v>0.5</v>
      </c>
      <c r="I3987" s="18">
        <v>710000000</v>
      </c>
      <c r="J3987" s="4" t="s">
        <v>1931</v>
      </c>
      <c r="K3987" s="4" t="s">
        <v>10090</v>
      </c>
      <c r="L3987" s="18" t="s">
        <v>1708</v>
      </c>
      <c r="M3987" s="144"/>
      <c r="N3987" s="4" t="s">
        <v>1408</v>
      </c>
      <c r="O3987" s="4" t="s">
        <v>10154</v>
      </c>
      <c r="P3987" s="1"/>
      <c r="Q3987" s="1"/>
      <c r="R3987" s="26"/>
      <c r="S3987" s="26"/>
      <c r="T3987" s="26">
        <v>1250000</v>
      </c>
      <c r="U3987" s="26">
        <f>T3987*1.12</f>
        <v>1400000.0000000002</v>
      </c>
      <c r="V3987" s="56" t="s">
        <v>3182</v>
      </c>
      <c r="W3987" s="1">
        <v>2015</v>
      </c>
      <c r="X3987" s="27"/>
    </row>
    <row r="3988" spans="1:24" s="28" customFormat="1" ht="120" customHeight="1" x14ac:dyDescent="0.2">
      <c r="A3988" s="1" t="s">
        <v>10200</v>
      </c>
      <c r="B3988" s="24" t="s">
        <v>5277</v>
      </c>
      <c r="C3988" s="4" t="s">
        <v>10199</v>
      </c>
      <c r="D3988" s="4" t="s">
        <v>10201</v>
      </c>
      <c r="E3988" s="4" t="s">
        <v>10201</v>
      </c>
      <c r="F3988" s="4" t="s">
        <v>10202</v>
      </c>
      <c r="G3988" s="1" t="s">
        <v>3190</v>
      </c>
      <c r="H3988" s="17">
        <v>0.5</v>
      </c>
      <c r="I3988" s="18">
        <v>710000000</v>
      </c>
      <c r="J3988" s="4" t="s">
        <v>1931</v>
      </c>
      <c r="K3988" s="4" t="s">
        <v>10090</v>
      </c>
      <c r="L3988" s="7" t="s">
        <v>7579</v>
      </c>
      <c r="M3988" s="144"/>
      <c r="N3988" s="4" t="s">
        <v>1408</v>
      </c>
      <c r="O3988" s="4" t="s">
        <v>10154</v>
      </c>
      <c r="P3988" s="1"/>
      <c r="Q3988" s="1"/>
      <c r="R3988" s="26"/>
      <c r="S3988" s="26"/>
      <c r="T3988" s="26">
        <v>120089.28569999999</v>
      </c>
      <c r="U3988" s="26">
        <f>T3988*1.12</f>
        <v>134499.99998399999</v>
      </c>
      <c r="V3988" s="56" t="s">
        <v>3182</v>
      </c>
      <c r="W3988" s="1">
        <v>2015</v>
      </c>
      <c r="X3988" s="27"/>
    </row>
    <row r="3989" spans="1:24" s="28" customFormat="1" ht="12.75" customHeight="1" x14ac:dyDescent="0.2">
      <c r="A3989" s="230" t="s">
        <v>10256</v>
      </c>
      <c r="B3989" s="252"/>
      <c r="C3989" s="253"/>
      <c r="D3989" s="4"/>
      <c r="E3989" s="4"/>
      <c r="F3989" s="1"/>
      <c r="G3989" s="1"/>
      <c r="H3989" s="1"/>
      <c r="I3989" s="18"/>
      <c r="J3989" s="1"/>
      <c r="K3989" s="4"/>
      <c r="L3989" s="1"/>
      <c r="M3989" s="1"/>
      <c r="N3989" s="1"/>
      <c r="O3989" s="1"/>
      <c r="P3989" s="1"/>
      <c r="Q3989" s="1"/>
      <c r="R3989" s="26" t="s">
        <v>3178</v>
      </c>
      <c r="S3989" s="26"/>
      <c r="T3989" s="106">
        <f>SUM(T3884:T3988)</f>
        <v>1000465555.8166714</v>
      </c>
      <c r="U3989" s="106">
        <f>SUM(U3884:U3988)</f>
        <v>1120521422.514672</v>
      </c>
      <c r="V3989" s="11"/>
      <c r="W3989" s="11"/>
      <c r="X3989" s="20"/>
    </row>
    <row r="3990" spans="1:24" s="28" customFormat="1" ht="12.75" customHeight="1" x14ac:dyDescent="0.2">
      <c r="A3990" s="230" t="s">
        <v>6256</v>
      </c>
      <c r="B3990" s="255"/>
      <c r="C3990" s="256"/>
      <c r="D3990" s="257"/>
      <c r="E3990" s="256"/>
      <c r="F3990" s="255"/>
      <c r="G3990" s="255"/>
      <c r="H3990" s="255"/>
      <c r="I3990" s="18"/>
      <c r="J3990" s="255"/>
      <c r="K3990" s="256"/>
      <c r="L3990" s="255"/>
      <c r="M3990" s="255"/>
      <c r="N3990" s="255"/>
      <c r="O3990" s="255"/>
      <c r="P3990" s="255"/>
      <c r="Q3990" s="255"/>
      <c r="R3990" s="258"/>
      <c r="S3990" s="258"/>
      <c r="T3990" s="258"/>
      <c r="U3990" s="259"/>
      <c r="V3990" s="104"/>
      <c r="W3990" s="11"/>
      <c r="X3990" s="20"/>
    </row>
    <row r="3991" spans="1:24" s="28" customFormat="1" ht="38.25" customHeight="1" x14ac:dyDescent="0.2">
      <c r="A3991" s="1" t="s">
        <v>3179</v>
      </c>
      <c r="B3991" s="15" t="s">
        <v>5277</v>
      </c>
      <c r="C3991" s="4" t="s">
        <v>3635</v>
      </c>
      <c r="D3991" s="4" t="s">
        <v>6264</v>
      </c>
      <c r="E3991" s="4" t="s">
        <v>6265</v>
      </c>
      <c r="F3991" s="4"/>
      <c r="G3991" s="4" t="s">
        <v>1888</v>
      </c>
      <c r="H3991" s="17">
        <v>1</v>
      </c>
      <c r="I3991" s="18">
        <v>710000000</v>
      </c>
      <c r="J3991" s="4" t="s">
        <v>1931</v>
      </c>
      <c r="K3991" s="4" t="s">
        <v>1696</v>
      </c>
      <c r="L3991" s="4" t="s">
        <v>2985</v>
      </c>
      <c r="M3991" s="1"/>
      <c r="N3991" s="4" t="s">
        <v>1408</v>
      </c>
      <c r="O3991" s="4" t="s">
        <v>6257</v>
      </c>
      <c r="P3991" s="1"/>
      <c r="Q3991" s="4"/>
      <c r="R3991" s="26"/>
      <c r="S3991" s="26"/>
      <c r="T3991" s="26">
        <v>0</v>
      </c>
      <c r="U3991" s="26">
        <f t="shared" ref="U3991:U4056" si="2638">T3991*1.12</f>
        <v>0</v>
      </c>
      <c r="V3991" s="11" t="s">
        <v>3182</v>
      </c>
      <c r="W3991" s="11">
        <v>2015</v>
      </c>
      <c r="X3991" s="27" t="s">
        <v>7006</v>
      </c>
    </row>
    <row r="3992" spans="1:24" s="28" customFormat="1" ht="38.25" customHeight="1" x14ac:dyDescent="0.2">
      <c r="A3992" s="1" t="s">
        <v>7296</v>
      </c>
      <c r="B3992" s="15" t="s">
        <v>5277</v>
      </c>
      <c r="C3992" s="4" t="s">
        <v>3635</v>
      </c>
      <c r="D3992" s="4" t="s">
        <v>6264</v>
      </c>
      <c r="E3992" s="4" t="s">
        <v>6265</v>
      </c>
      <c r="F3992" s="4"/>
      <c r="G3992" s="4" t="s">
        <v>1888</v>
      </c>
      <c r="H3992" s="17">
        <v>1</v>
      </c>
      <c r="I3992" s="18">
        <v>710000000</v>
      </c>
      <c r="J3992" s="4" t="s">
        <v>1931</v>
      </c>
      <c r="K3992" s="4" t="s">
        <v>7300</v>
      </c>
      <c r="L3992" s="4" t="s">
        <v>2985</v>
      </c>
      <c r="M3992" s="1"/>
      <c r="N3992" s="4" t="s">
        <v>1408</v>
      </c>
      <c r="O3992" s="4" t="s">
        <v>6257</v>
      </c>
      <c r="P3992" s="1"/>
      <c r="Q3992" s="4"/>
      <c r="R3992" s="26"/>
      <c r="S3992" s="26"/>
      <c r="T3992" s="26">
        <v>16733000</v>
      </c>
      <c r="U3992" s="26">
        <f t="shared" ref="U3992" si="2639">T3992*1.12</f>
        <v>18740960</v>
      </c>
      <c r="V3992" s="11" t="s">
        <v>3182</v>
      </c>
      <c r="W3992" s="11">
        <v>2015</v>
      </c>
      <c r="X3992" s="27"/>
    </row>
    <row r="3993" spans="1:24" s="28" customFormat="1" ht="38.25" customHeight="1" x14ac:dyDescent="0.2">
      <c r="A3993" s="1" t="s">
        <v>3603</v>
      </c>
      <c r="B3993" s="15" t="s">
        <v>5277</v>
      </c>
      <c r="C3993" s="4" t="s">
        <v>3635</v>
      </c>
      <c r="D3993" s="4" t="s">
        <v>6264</v>
      </c>
      <c r="E3993" s="4" t="s">
        <v>6265</v>
      </c>
      <c r="F3993" s="4"/>
      <c r="G3993" s="4" t="s">
        <v>1888</v>
      </c>
      <c r="H3993" s="17">
        <v>1</v>
      </c>
      <c r="I3993" s="18">
        <v>710000000</v>
      </c>
      <c r="J3993" s="4" t="s">
        <v>1931</v>
      </c>
      <c r="K3993" s="4" t="s">
        <v>1696</v>
      </c>
      <c r="L3993" s="7" t="s">
        <v>1409</v>
      </c>
      <c r="M3993" s="1"/>
      <c r="N3993" s="4" t="s">
        <v>1408</v>
      </c>
      <c r="O3993" s="4" t="s">
        <v>6257</v>
      </c>
      <c r="P3993" s="1"/>
      <c r="Q3993" s="4"/>
      <c r="R3993" s="26"/>
      <c r="S3993" s="26"/>
      <c r="T3993" s="26">
        <v>0</v>
      </c>
      <c r="U3993" s="26">
        <f t="shared" si="2638"/>
        <v>0</v>
      </c>
      <c r="V3993" s="11" t="s">
        <v>3182</v>
      </c>
      <c r="W3993" s="11">
        <v>2015</v>
      </c>
      <c r="X3993" s="27" t="s">
        <v>7006</v>
      </c>
    </row>
    <row r="3994" spans="1:24" s="28" customFormat="1" ht="38.25" customHeight="1" x14ac:dyDescent="0.2">
      <c r="A3994" s="1" t="s">
        <v>7297</v>
      </c>
      <c r="B3994" s="15" t="s">
        <v>5277</v>
      </c>
      <c r="C3994" s="4" t="s">
        <v>3635</v>
      </c>
      <c r="D3994" s="4" t="s">
        <v>6264</v>
      </c>
      <c r="E3994" s="4" t="s">
        <v>6265</v>
      </c>
      <c r="F3994" s="4"/>
      <c r="G3994" s="4" t="s">
        <v>1888</v>
      </c>
      <c r="H3994" s="17">
        <v>1</v>
      </c>
      <c r="I3994" s="18">
        <v>710000000</v>
      </c>
      <c r="J3994" s="4" t="s">
        <v>1931</v>
      </c>
      <c r="K3994" s="4" t="s">
        <v>7300</v>
      </c>
      <c r="L3994" s="7" t="s">
        <v>1409</v>
      </c>
      <c r="M3994" s="1"/>
      <c r="N3994" s="4" t="s">
        <v>1408</v>
      </c>
      <c r="O3994" s="4" t="s">
        <v>6257</v>
      </c>
      <c r="P3994" s="1"/>
      <c r="Q3994" s="4"/>
      <c r="R3994" s="26"/>
      <c r="S3994" s="26"/>
      <c r="T3994" s="26">
        <f>424000+281000+36000</f>
        <v>741000</v>
      </c>
      <c r="U3994" s="26">
        <f t="shared" ref="U3994" si="2640">T3994*1.12</f>
        <v>829920.00000000012</v>
      </c>
      <c r="V3994" s="11" t="s">
        <v>3182</v>
      </c>
      <c r="W3994" s="11">
        <v>2015</v>
      </c>
      <c r="X3994" s="27"/>
    </row>
    <row r="3995" spans="1:24" s="28" customFormat="1" ht="38.25" customHeight="1" x14ac:dyDescent="0.2">
      <c r="A3995" s="1" t="s">
        <v>3604</v>
      </c>
      <c r="B3995" s="15" t="s">
        <v>5277</v>
      </c>
      <c r="C3995" s="4" t="s">
        <v>3635</v>
      </c>
      <c r="D3995" s="4" t="s">
        <v>6264</v>
      </c>
      <c r="E3995" s="4" t="s">
        <v>6265</v>
      </c>
      <c r="F3995" s="4"/>
      <c r="G3995" s="4" t="s">
        <v>1888</v>
      </c>
      <c r="H3995" s="17">
        <v>1</v>
      </c>
      <c r="I3995" s="18">
        <v>710000000</v>
      </c>
      <c r="J3995" s="4" t="s">
        <v>1931</v>
      </c>
      <c r="K3995" s="4" t="s">
        <v>1696</v>
      </c>
      <c r="L3995" s="7" t="s">
        <v>1356</v>
      </c>
      <c r="M3995" s="1"/>
      <c r="N3995" s="4" t="s">
        <v>1408</v>
      </c>
      <c r="O3995" s="4" t="s">
        <v>6257</v>
      </c>
      <c r="P3995" s="1"/>
      <c r="Q3995" s="4"/>
      <c r="R3995" s="26"/>
      <c r="S3995" s="26"/>
      <c r="T3995" s="26">
        <v>0</v>
      </c>
      <c r="U3995" s="26">
        <f t="shared" si="2638"/>
        <v>0</v>
      </c>
      <c r="V3995" s="11" t="s">
        <v>3182</v>
      </c>
      <c r="W3995" s="11">
        <v>2015</v>
      </c>
      <c r="X3995" s="27" t="s">
        <v>7006</v>
      </c>
    </row>
    <row r="3996" spans="1:24" s="28" customFormat="1" ht="38.25" customHeight="1" x14ac:dyDescent="0.2">
      <c r="A3996" s="1" t="s">
        <v>7298</v>
      </c>
      <c r="B3996" s="15" t="s">
        <v>5277</v>
      </c>
      <c r="C3996" s="4" t="s">
        <v>3635</v>
      </c>
      <c r="D3996" s="4" t="s">
        <v>6264</v>
      </c>
      <c r="E3996" s="4" t="s">
        <v>6265</v>
      </c>
      <c r="F3996" s="4"/>
      <c r="G3996" s="4" t="s">
        <v>1888</v>
      </c>
      <c r="H3996" s="17">
        <v>1</v>
      </c>
      <c r="I3996" s="18">
        <v>710000000</v>
      </c>
      <c r="J3996" s="4" t="s">
        <v>1931</v>
      </c>
      <c r="K3996" s="4" t="s">
        <v>7300</v>
      </c>
      <c r="L3996" s="7" t="s">
        <v>1356</v>
      </c>
      <c r="M3996" s="1"/>
      <c r="N3996" s="4" t="s">
        <v>1408</v>
      </c>
      <c r="O3996" s="4" t="s">
        <v>6257</v>
      </c>
      <c r="P3996" s="1"/>
      <c r="Q3996" s="4"/>
      <c r="R3996" s="26"/>
      <c r="S3996" s="26"/>
      <c r="T3996" s="26">
        <v>2650700</v>
      </c>
      <c r="U3996" s="26">
        <f t="shared" ref="U3996" si="2641">T3996*1.12</f>
        <v>2968784.0000000005</v>
      </c>
      <c r="V3996" s="11" t="s">
        <v>3182</v>
      </c>
      <c r="W3996" s="11">
        <v>2015</v>
      </c>
      <c r="X3996" s="27"/>
    </row>
    <row r="3997" spans="1:24" s="28" customFormat="1" ht="38.25" customHeight="1" x14ac:dyDescent="0.2">
      <c r="A3997" s="1" t="s">
        <v>3605</v>
      </c>
      <c r="B3997" s="24" t="s">
        <v>5277</v>
      </c>
      <c r="C3997" s="4" t="s">
        <v>3635</v>
      </c>
      <c r="D3997" s="4" t="s">
        <v>6264</v>
      </c>
      <c r="E3997" s="4" t="s">
        <v>6265</v>
      </c>
      <c r="F3997" s="4"/>
      <c r="G3997" s="4" t="s">
        <v>1888</v>
      </c>
      <c r="H3997" s="17">
        <v>1</v>
      </c>
      <c r="I3997" s="18">
        <v>710000000</v>
      </c>
      <c r="J3997" s="4" t="s">
        <v>1931</v>
      </c>
      <c r="K3997" s="4" t="s">
        <v>1696</v>
      </c>
      <c r="L3997" s="7" t="s">
        <v>3335</v>
      </c>
      <c r="M3997" s="1"/>
      <c r="N3997" s="4" t="s">
        <v>1408</v>
      </c>
      <c r="O3997" s="4" t="s">
        <v>6257</v>
      </c>
      <c r="P3997" s="1"/>
      <c r="Q3997" s="4"/>
      <c r="R3997" s="26"/>
      <c r="S3997" s="26"/>
      <c r="T3997" s="26">
        <v>0</v>
      </c>
      <c r="U3997" s="26">
        <f t="shared" si="2638"/>
        <v>0</v>
      </c>
      <c r="V3997" s="11" t="s">
        <v>3182</v>
      </c>
      <c r="W3997" s="11">
        <v>2015</v>
      </c>
      <c r="X3997" s="27" t="s">
        <v>7006</v>
      </c>
    </row>
    <row r="3998" spans="1:24" s="28" customFormat="1" ht="38.25" customHeight="1" x14ac:dyDescent="0.2">
      <c r="A3998" s="1" t="s">
        <v>7299</v>
      </c>
      <c r="B3998" s="24" t="s">
        <v>5277</v>
      </c>
      <c r="C3998" s="4" t="s">
        <v>3635</v>
      </c>
      <c r="D3998" s="4" t="s">
        <v>6264</v>
      </c>
      <c r="E3998" s="4" t="s">
        <v>6265</v>
      </c>
      <c r="F3998" s="4"/>
      <c r="G3998" s="4" t="s">
        <v>1888</v>
      </c>
      <c r="H3998" s="17">
        <v>1</v>
      </c>
      <c r="I3998" s="18">
        <v>710000000</v>
      </c>
      <c r="J3998" s="4" t="s">
        <v>1931</v>
      </c>
      <c r="K3998" s="4" t="s">
        <v>7300</v>
      </c>
      <c r="L3998" s="7" t="s">
        <v>3335</v>
      </c>
      <c r="M3998" s="1"/>
      <c r="N3998" s="4" t="s">
        <v>1408</v>
      </c>
      <c r="O3998" s="4" t="s">
        <v>6257</v>
      </c>
      <c r="P3998" s="1"/>
      <c r="Q3998" s="4"/>
      <c r="R3998" s="26"/>
      <c r="S3998" s="26"/>
      <c r="T3998" s="26">
        <v>1039795</v>
      </c>
      <c r="U3998" s="26">
        <f t="shared" ref="U3998" si="2642">T3998*1.12</f>
        <v>1164570.4000000001</v>
      </c>
      <c r="V3998" s="11" t="s">
        <v>3182</v>
      </c>
      <c r="W3998" s="11">
        <v>2015</v>
      </c>
      <c r="X3998" s="27"/>
    </row>
    <row r="3999" spans="1:24" s="28" customFormat="1" ht="114.75" customHeight="1" x14ac:dyDescent="0.2">
      <c r="A3999" s="1" t="s">
        <v>3606</v>
      </c>
      <c r="B3999" s="15" t="s">
        <v>5277</v>
      </c>
      <c r="C3999" s="4" t="s">
        <v>3647</v>
      </c>
      <c r="D3999" s="4" t="s">
        <v>6287</v>
      </c>
      <c r="E3999" s="4" t="s">
        <v>3648</v>
      </c>
      <c r="F3999" s="4"/>
      <c r="G3999" s="4" t="s">
        <v>1888</v>
      </c>
      <c r="H3999" s="17">
        <v>1</v>
      </c>
      <c r="I3999" s="18">
        <v>710000000</v>
      </c>
      <c r="J3999" s="4" t="s">
        <v>1931</v>
      </c>
      <c r="K3999" s="4" t="s">
        <v>1696</v>
      </c>
      <c r="L3999" s="4" t="s">
        <v>2985</v>
      </c>
      <c r="M3999" s="1"/>
      <c r="N3999" s="4" t="s">
        <v>1408</v>
      </c>
      <c r="O3999" s="4" t="s">
        <v>6257</v>
      </c>
      <c r="P3999" s="1"/>
      <c r="Q3999" s="4"/>
      <c r="R3999" s="26"/>
      <c r="S3999" s="26"/>
      <c r="T3999" s="26">
        <v>54418000</v>
      </c>
      <c r="U3999" s="26">
        <f t="shared" si="2638"/>
        <v>60948160.000000007</v>
      </c>
      <c r="V3999" s="11" t="s">
        <v>3182</v>
      </c>
      <c r="W3999" s="11">
        <v>2015</v>
      </c>
      <c r="X3999" s="27"/>
    </row>
    <row r="4000" spans="1:24" s="28" customFormat="1" ht="114.75" customHeight="1" x14ac:dyDescent="0.2">
      <c r="A4000" s="1" t="s">
        <v>3607</v>
      </c>
      <c r="B4000" s="15" t="s">
        <v>5277</v>
      </c>
      <c r="C4000" s="4" t="s">
        <v>3647</v>
      </c>
      <c r="D4000" s="4" t="s">
        <v>6287</v>
      </c>
      <c r="E4000" s="4" t="s">
        <v>3648</v>
      </c>
      <c r="F4000" s="4"/>
      <c r="G4000" s="4" t="s">
        <v>1888</v>
      </c>
      <c r="H4000" s="17">
        <v>1</v>
      </c>
      <c r="I4000" s="18">
        <v>710000000</v>
      </c>
      <c r="J4000" s="4" t="s">
        <v>1931</v>
      </c>
      <c r="K4000" s="4" t="s">
        <v>1696</v>
      </c>
      <c r="L4000" s="7" t="s">
        <v>1409</v>
      </c>
      <c r="M4000" s="1"/>
      <c r="N4000" s="4" t="s">
        <v>1408</v>
      </c>
      <c r="O4000" s="4" t="s">
        <v>6257</v>
      </c>
      <c r="P4000" s="1"/>
      <c r="Q4000" s="4"/>
      <c r="R4000" s="26"/>
      <c r="S4000" s="26"/>
      <c r="T4000" s="26">
        <v>592000</v>
      </c>
      <c r="U4000" s="26">
        <f t="shared" si="2638"/>
        <v>663040.00000000012</v>
      </c>
      <c r="V4000" s="11" t="s">
        <v>3182</v>
      </c>
      <c r="W4000" s="11">
        <v>2015</v>
      </c>
      <c r="X4000" s="27"/>
    </row>
    <row r="4001" spans="1:24" s="28" customFormat="1" ht="114.75" customHeight="1" x14ac:dyDescent="0.2">
      <c r="A4001" s="1" t="s">
        <v>3608</v>
      </c>
      <c r="B4001" s="24" t="s">
        <v>5277</v>
      </c>
      <c r="C4001" s="4" t="s">
        <v>3647</v>
      </c>
      <c r="D4001" s="4" t="s">
        <v>6287</v>
      </c>
      <c r="E4001" s="4" t="s">
        <v>3648</v>
      </c>
      <c r="F4001" s="4"/>
      <c r="G4001" s="4" t="s">
        <v>1888</v>
      </c>
      <c r="H4001" s="17">
        <v>1</v>
      </c>
      <c r="I4001" s="18">
        <v>710000000</v>
      </c>
      <c r="J4001" s="4" t="s">
        <v>1931</v>
      </c>
      <c r="K4001" s="4" t="s">
        <v>1696</v>
      </c>
      <c r="L4001" s="7" t="s">
        <v>3335</v>
      </c>
      <c r="M4001" s="1"/>
      <c r="N4001" s="4" t="s">
        <v>1408</v>
      </c>
      <c r="O4001" s="4" t="s">
        <v>6257</v>
      </c>
      <c r="P4001" s="1"/>
      <c r="Q4001" s="4"/>
      <c r="R4001" s="26"/>
      <c r="S4001" s="26"/>
      <c r="T4001" s="26">
        <v>1819817.48</v>
      </c>
      <c r="U4001" s="26">
        <f t="shared" si="2638"/>
        <v>2038195.5776000002</v>
      </c>
      <c r="V4001" s="11" t="s">
        <v>3182</v>
      </c>
      <c r="W4001" s="11">
        <v>2015</v>
      </c>
      <c r="X4001" s="27"/>
    </row>
    <row r="4002" spans="1:24" s="28" customFormat="1" ht="114.75" customHeight="1" x14ac:dyDescent="0.2">
      <c r="A4002" s="1" t="s">
        <v>3609</v>
      </c>
      <c r="B4002" s="24" t="s">
        <v>5277</v>
      </c>
      <c r="C4002" s="4" t="s">
        <v>3647</v>
      </c>
      <c r="D4002" s="4" t="s">
        <v>6287</v>
      </c>
      <c r="E4002" s="4" t="s">
        <v>3648</v>
      </c>
      <c r="F4002" s="4"/>
      <c r="G4002" s="4" t="s">
        <v>1888</v>
      </c>
      <c r="H4002" s="17">
        <v>1</v>
      </c>
      <c r="I4002" s="18">
        <v>710000000</v>
      </c>
      <c r="J4002" s="4" t="s">
        <v>1931</v>
      </c>
      <c r="K4002" s="4" t="s">
        <v>1696</v>
      </c>
      <c r="L4002" s="7" t="s">
        <v>1356</v>
      </c>
      <c r="M4002" s="1"/>
      <c r="N4002" s="4" t="s">
        <v>1408</v>
      </c>
      <c r="O4002" s="4" t="s">
        <v>6257</v>
      </c>
      <c r="P4002" s="1"/>
      <c r="Q4002" s="4"/>
      <c r="R4002" s="26"/>
      <c r="S4002" s="26"/>
      <c r="T4002" s="26">
        <v>2783205</v>
      </c>
      <c r="U4002" s="26">
        <f t="shared" si="2638"/>
        <v>3117189.6</v>
      </c>
      <c r="V4002" s="11" t="s">
        <v>3182</v>
      </c>
      <c r="W4002" s="11">
        <v>2015</v>
      </c>
      <c r="X4002" s="27"/>
    </row>
    <row r="4003" spans="1:24" s="28" customFormat="1" ht="63.75" customHeight="1" x14ac:dyDescent="0.2">
      <c r="A4003" s="1" t="s">
        <v>3610</v>
      </c>
      <c r="B4003" s="15" t="s">
        <v>5277</v>
      </c>
      <c r="C4003" s="4" t="s">
        <v>3655</v>
      </c>
      <c r="D4003" s="4" t="s">
        <v>6290</v>
      </c>
      <c r="E4003" s="4" t="s">
        <v>6291</v>
      </c>
      <c r="F4003" s="4" t="s">
        <v>6292</v>
      </c>
      <c r="G4003" s="1" t="s">
        <v>3187</v>
      </c>
      <c r="H4003" s="17">
        <v>1</v>
      </c>
      <c r="I4003" s="18">
        <v>710000000</v>
      </c>
      <c r="J4003" s="4" t="s">
        <v>1931</v>
      </c>
      <c r="K4003" s="4" t="s">
        <v>1696</v>
      </c>
      <c r="L4003" s="4" t="s">
        <v>2985</v>
      </c>
      <c r="M4003" s="1"/>
      <c r="N4003" s="4" t="s">
        <v>1408</v>
      </c>
      <c r="O4003" s="4" t="s">
        <v>6257</v>
      </c>
      <c r="P4003" s="1"/>
      <c r="Q4003" s="4"/>
      <c r="R4003" s="26"/>
      <c r="S4003" s="26"/>
      <c r="T4003" s="26">
        <v>6210000</v>
      </c>
      <c r="U4003" s="26">
        <f t="shared" si="2638"/>
        <v>6955200.0000000009</v>
      </c>
      <c r="V4003" s="11" t="s">
        <v>3182</v>
      </c>
      <c r="W4003" s="11">
        <v>2015</v>
      </c>
      <c r="X4003" s="27"/>
    </row>
    <row r="4004" spans="1:24" s="28" customFormat="1" ht="38.25" customHeight="1" x14ac:dyDescent="0.2">
      <c r="A4004" s="1" t="s">
        <v>3611</v>
      </c>
      <c r="B4004" s="15" t="s">
        <v>5277</v>
      </c>
      <c r="C4004" s="4" t="s">
        <v>3514</v>
      </c>
      <c r="D4004" s="4" t="s">
        <v>6345</v>
      </c>
      <c r="E4004" s="4" t="s">
        <v>6345</v>
      </c>
      <c r="F4004" s="4" t="s">
        <v>1751</v>
      </c>
      <c r="G4004" s="4" t="s">
        <v>1888</v>
      </c>
      <c r="H4004" s="17">
        <v>1</v>
      </c>
      <c r="I4004" s="18">
        <v>710000000</v>
      </c>
      <c r="J4004" s="4" t="s">
        <v>1931</v>
      </c>
      <c r="K4004" s="4" t="s">
        <v>5282</v>
      </c>
      <c r="L4004" s="4" t="s">
        <v>2985</v>
      </c>
      <c r="M4004" s="1"/>
      <c r="N4004" s="4" t="s">
        <v>1408</v>
      </c>
      <c r="O4004" s="4" t="s">
        <v>6257</v>
      </c>
      <c r="P4004" s="1"/>
      <c r="Q4004" s="4"/>
      <c r="R4004" s="26"/>
      <c r="S4004" s="26"/>
      <c r="T4004" s="26">
        <v>0</v>
      </c>
      <c r="U4004" s="26">
        <f t="shared" si="2638"/>
        <v>0</v>
      </c>
      <c r="V4004" s="11" t="s">
        <v>3182</v>
      </c>
      <c r="W4004" s="11">
        <v>2015</v>
      </c>
      <c r="X4004" s="27" t="s">
        <v>7006</v>
      </c>
    </row>
    <row r="4005" spans="1:24" s="28" customFormat="1" ht="38.25" customHeight="1" x14ac:dyDescent="0.2">
      <c r="A4005" s="1" t="s">
        <v>7059</v>
      </c>
      <c r="B4005" s="15" t="s">
        <v>5277</v>
      </c>
      <c r="C4005" s="4" t="s">
        <v>3514</v>
      </c>
      <c r="D4005" s="4" t="s">
        <v>6345</v>
      </c>
      <c r="E4005" s="4" t="s">
        <v>6345</v>
      </c>
      <c r="F4005" s="4" t="s">
        <v>1751</v>
      </c>
      <c r="G4005" s="4" t="s">
        <v>1888</v>
      </c>
      <c r="H4005" s="17">
        <v>1</v>
      </c>
      <c r="I4005" s="18">
        <v>710000000</v>
      </c>
      <c r="J4005" s="4" t="s">
        <v>1931</v>
      </c>
      <c r="K4005" s="4" t="s">
        <v>7269</v>
      </c>
      <c r="L4005" s="4" t="s">
        <v>2985</v>
      </c>
      <c r="M4005" s="1"/>
      <c r="N4005" s="4" t="s">
        <v>1408</v>
      </c>
      <c r="O4005" s="4" t="s">
        <v>6257</v>
      </c>
      <c r="P4005" s="1"/>
      <c r="Q4005" s="4"/>
      <c r="R4005" s="26"/>
      <c r="S4005" s="26"/>
      <c r="T4005" s="26">
        <v>39789029</v>
      </c>
      <c r="U4005" s="26">
        <f t="shared" ref="U4005" si="2643">T4005*1.12</f>
        <v>44563712.480000004</v>
      </c>
      <c r="V4005" s="11" t="s">
        <v>3182</v>
      </c>
      <c r="W4005" s="11">
        <v>2015</v>
      </c>
      <c r="X4005" s="27"/>
    </row>
    <row r="4006" spans="1:24" s="28" customFormat="1" ht="51" customHeight="1" x14ac:dyDescent="0.2">
      <c r="A4006" s="1" t="s">
        <v>3612</v>
      </c>
      <c r="B4006" s="15" t="s">
        <v>5277</v>
      </c>
      <c r="C4006" s="4" t="s">
        <v>1752</v>
      </c>
      <c r="D4006" s="4" t="s">
        <v>1753</v>
      </c>
      <c r="E4006" s="4" t="s">
        <v>1753</v>
      </c>
      <c r="F4006" s="4" t="s">
        <v>1754</v>
      </c>
      <c r="G4006" s="1" t="s">
        <v>3187</v>
      </c>
      <c r="H4006" s="17">
        <v>1</v>
      </c>
      <c r="I4006" s="18">
        <v>710000000</v>
      </c>
      <c r="J4006" s="4" t="s">
        <v>1931</v>
      </c>
      <c r="K4006" s="4" t="s">
        <v>1696</v>
      </c>
      <c r="L4006" s="4" t="s">
        <v>2985</v>
      </c>
      <c r="M4006" s="1"/>
      <c r="N4006" s="4" t="s">
        <v>1408</v>
      </c>
      <c r="O4006" s="4" t="s">
        <v>6257</v>
      </c>
      <c r="P4006" s="1"/>
      <c r="Q4006" s="4"/>
      <c r="R4006" s="26"/>
      <c r="S4006" s="26"/>
      <c r="T4006" s="26">
        <v>0</v>
      </c>
      <c r="U4006" s="26">
        <f t="shared" si="2638"/>
        <v>0</v>
      </c>
      <c r="V4006" s="11" t="s">
        <v>3182</v>
      </c>
      <c r="W4006" s="11">
        <v>2015</v>
      </c>
      <c r="X4006" s="27" t="s">
        <v>6574</v>
      </c>
    </row>
    <row r="4007" spans="1:24" s="28" customFormat="1" ht="51" customHeight="1" x14ac:dyDescent="0.2">
      <c r="A4007" s="1" t="s">
        <v>6570</v>
      </c>
      <c r="B4007" s="15" t="s">
        <v>5277</v>
      </c>
      <c r="C4007" s="4" t="s">
        <v>1752</v>
      </c>
      <c r="D4007" s="4" t="s">
        <v>1753</v>
      </c>
      <c r="E4007" s="4" t="s">
        <v>1753</v>
      </c>
      <c r="F4007" s="4" t="s">
        <v>6573</v>
      </c>
      <c r="G4007" s="1" t="s">
        <v>3187</v>
      </c>
      <c r="H4007" s="17">
        <v>1</v>
      </c>
      <c r="I4007" s="18">
        <v>710000000</v>
      </c>
      <c r="J4007" s="4" t="s">
        <v>1931</v>
      </c>
      <c r="K4007" s="4" t="s">
        <v>1696</v>
      </c>
      <c r="L4007" s="4" t="s">
        <v>2985</v>
      </c>
      <c r="M4007" s="1"/>
      <c r="N4007" s="4" t="s">
        <v>1408</v>
      </c>
      <c r="O4007" s="4" t="s">
        <v>6257</v>
      </c>
      <c r="P4007" s="1"/>
      <c r="Q4007" s="4"/>
      <c r="R4007" s="26"/>
      <c r="S4007" s="26"/>
      <c r="T4007" s="26">
        <f>3683036-1116071.71</f>
        <v>2566964.29</v>
      </c>
      <c r="U4007" s="26">
        <f t="shared" ref="U4007" si="2644">T4007*1.12</f>
        <v>2875000.0048000002</v>
      </c>
      <c r="V4007" s="11" t="s">
        <v>3182</v>
      </c>
      <c r="W4007" s="11">
        <v>2015</v>
      </c>
      <c r="X4007" s="27"/>
    </row>
    <row r="4008" spans="1:24" s="28" customFormat="1" ht="51" customHeight="1" x14ac:dyDescent="0.2">
      <c r="A4008" s="1" t="s">
        <v>3613</v>
      </c>
      <c r="B4008" s="15" t="s">
        <v>5277</v>
      </c>
      <c r="C4008" s="4" t="s">
        <v>1752</v>
      </c>
      <c r="D4008" s="4" t="s">
        <v>1753</v>
      </c>
      <c r="E4008" s="4" t="s">
        <v>1753</v>
      </c>
      <c r="F4008" s="4" t="s">
        <v>6346</v>
      </c>
      <c r="G4008" s="1" t="s">
        <v>3187</v>
      </c>
      <c r="H4008" s="17">
        <v>1</v>
      </c>
      <c r="I4008" s="18">
        <v>710000000</v>
      </c>
      <c r="J4008" s="4" t="s">
        <v>1931</v>
      </c>
      <c r="K4008" s="4" t="s">
        <v>1696</v>
      </c>
      <c r="L4008" s="4" t="s">
        <v>2985</v>
      </c>
      <c r="M4008" s="1"/>
      <c r="N4008" s="4" t="s">
        <v>1408</v>
      </c>
      <c r="O4008" s="4" t="s">
        <v>6257</v>
      </c>
      <c r="P4008" s="1"/>
      <c r="Q4008" s="4"/>
      <c r="R4008" s="26"/>
      <c r="S4008" s="26"/>
      <c r="T4008" s="26">
        <v>0</v>
      </c>
      <c r="U4008" s="26">
        <f t="shared" si="2638"/>
        <v>0</v>
      </c>
      <c r="V4008" s="11" t="s">
        <v>3182</v>
      </c>
      <c r="W4008" s="11">
        <v>2015</v>
      </c>
      <c r="X4008" s="27" t="s">
        <v>6567</v>
      </c>
    </row>
    <row r="4009" spans="1:24" s="28" customFormat="1" ht="51" customHeight="1" x14ac:dyDescent="0.2">
      <c r="A4009" s="1" t="s">
        <v>6571</v>
      </c>
      <c r="B4009" s="15" t="s">
        <v>5277</v>
      </c>
      <c r="C4009" s="4" t="s">
        <v>1752</v>
      </c>
      <c r="D4009" s="4" t="s">
        <v>1753</v>
      </c>
      <c r="E4009" s="4" t="s">
        <v>1753</v>
      </c>
      <c r="F4009" s="4" t="s">
        <v>6346</v>
      </c>
      <c r="G4009" s="1" t="s">
        <v>3187</v>
      </c>
      <c r="H4009" s="17">
        <v>1</v>
      </c>
      <c r="I4009" s="18">
        <v>710000000</v>
      </c>
      <c r="J4009" s="4" t="s">
        <v>1931</v>
      </c>
      <c r="K4009" s="4" t="s">
        <v>6572</v>
      </c>
      <c r="L4009" s="4" t="s">
        <v>2985</v>
      </c>
      <c r="M4009" s="1"/>
      <c r="N4009" s="4" t="s">
        <v>1408</v>
      </c>
      <c r="O4009" s="4" t="s">
        <v>6257</v>
      </c>
      <c r="P4009" s="1"/>
      <c r="Q4009" s="4"/>
      <c r="R4009" s="26"/>
      <c r="S4009" s="26"/>
      <c r="T4009" s="26">
        <f>848214+401786</f>
        <v>1250000</v>
      </c>
      <c r="U4009" s="26">
        <f t="shared" ref="U4009" si="2645">T4009*1.12</f>
        <v>1400000.0000000002</v>
      </c>
      <c r="V4009" s="11" t="s">
        <v>3182</v>
      </c>
      <c r="W4009" s="11">
        <v>2015</v>
      </c>
      <c r="X4009" s="27"/>
    </row>
    <row r="4010" spans="1:24" s="28" customFormat="1" ht="38.25" customHeight="1" x14ac:dyDescent="0.2">
      <c r="A4010" s="1" t="s">
        <v>2986</v>
      </c>
      <c r="B4010" s="15" t="s">
        <v>5277</v>
      </c>
      <c r="C4010" s="4" t="s">
        <v>3515</v>
      </c>
      <c r="D4010" s="4" t="s">
        <v>3516</v>
      </c>
      <c r="E4010" s="4" t="s">
        <v>3517</v>
      </c>
      <c r="F4010" s="4" t="s">
        <v>3619</v>
      </c>
      <c r="G4010" s="4" t="s">
        <v>1888</v>
      </c>
      <c r="H4010" s="17">
        <v>1</v>
      </c>
      <c r="I4010" s="18">
        <v>710000000</v>
      </c>
      <c r="J4010" s="4" t="s">
        <v>1931</v>
      </c>
      <c r="K4010" s="4" t="s">
        <v>1696</v>
      </c>
      <c r="L4010" s="4" t="s">
        <v>2985</v>
      </c>
      <c r="M4010" s="1"/>
      <c r="N4010" s="4" t="s">
        <v>1408</v>
      </c>
      <c r="O4010" s="4" t="s">
        <v>6257</v>
      </c>
      <c r="P4010" s="1"/>
      <c r="Q4010" s="4"/>
      <c r="R4010" s="26"/>
      <c r="S4010" s="26"/>
      <c r="T4010" s="26">
        <v>27912064</v>
      </c>
      <c r="U4010" s="26">
        <f t="shared" si="2638"/>
        <v>31261511.680000003</v>
      </c>
      <c r="V4010" s="11" t="s">
        <v>3182</v>
      </c>
      <c r="W4010" s="11">
        <v>2015</v>
      </c>
      <c r="X4010" s="27"/>
    </row>
    <row r="4011" spans="1:24" s="28" customFormat="1" ht="93.75" customHeight="1" x14ac:dyDescent="0.2">
      <c r="A4011" s="1" t="s">
        <v>2988</v>
      </c>
      <c r="B4011" s="15" t="s">
        <v>5277</v>
      </c>
      <c r="C4011" s="4" t="s">
        <v>1755</v>
      </c>
      <c r="D4011" s="4" t="s">
        <v>1756</v>
      </c>
      <c r="E4011" s="4" t="s">
        <v>1757</v>
      </c>
      <c r="F4011" s="4" t="s">
        <v>1758</v>
      </c>
      <c r="G4011" s="4" t="s">
        <v>1888</v>
      </c>
      <c r="H4011" s="17">
        <v>1</v>
      </c>
      <c r="I4011" s="18">
        <v>710000000</v>
      </c>
      <c r="J4011" s="4" t="s">
        <v>1931</v>
      </c>
      <c r="K4011" s="4" t="s">
        <v>1696</v>
      </c>
      <c r="L4011" s="4" t="s">
        <v>2985</v>
      </c>
      <c r="M4011" s="1"/>
      <c r="N4011" s="4" t="s">
        <v>1408</v>
      </c>
      <c r="O4011" s="4" t="s">
        <v>6257</v>
      </c>
      <c r="P4011" s="1"/>
      <c r="Q4011" s="4"/>
      <c r="R4011" s="26"/>
      <c r="S4011" s="26"/>
      <c r="T4011" s="26">
        <v>0</v>
      </c>
      <c r="U4011" s="26">
        <f t="shared" si="2638"/>
        <v>0</v>
      </c>
      <c r="V4011" s="11" t="s">
        <v>3182</v>
      </c>
      <c r="W4011" s="11">
        <v>2015</v>
      </c>
      <c r="X4011" s="27" t="s">
        <v>7281</v>
      </c>
    </row>
    <row r="4012" spans="1:24" s="28" customFormat="1" ht="92.25" customHeight="1" x14ac:dyDescent="0.2">
      <c r="A4012" s="1" t="s">
        <v>9113</v>
      </c>
      <c r="B4012" s="15" t="s">
        <v>5277</v>
      </c>
      <c r="C4012" s="4" t="s">
        <v>1755</v>
      </c>
      <c r="D4012" s="4" t="s">
        <v>1756</v>
      </c>
      <c r="E4012" s="4" t="s">
        <v>1757</v>
      </c>
      <c r="F4012" s="4" t="s">
        <v>9114</v>
      </c>
      <c r="G4012" s="4" t="s">
        <v>1888</v>
      </c>
      <c r="H4012" s="17">
        <v>1</v>
      </c>
      <c r="I4012" s="18">
        <v>710000000</v>
      </c>
      <c r="J4012" s="4" t="s">
        <v>1931</v>
      </c>
      <c r="K4012" s="4" t="s">
        <v>9115</v>
      </c>
      <c r="L4012" s="4" t="s">
        <v>2985</v>
      </c>
      <c r="M4012" s="1"/>
      <c r="N4012" s="4" t="s">
        <v>1408</v>
      </c>
      <c r="O4012" s="4" t="s">
        <v>6257</v>
      </c>
      <c r="P4012" s="1"/>
      <c r="Q4012" s="4"/>
      <c r="R4012" s="26"/>
      <c r="S4012" s="26"/>
      <c r="T4012" s="26">
        <f>39600000+2750000</f>
        <v>42350000</v>
      </c>
      <c r="U4012" s="26">
        <f t="shared" ref="U4012" si="2646">T4012*1.12</f>
        <v>47432000.000000007</v>
      </c>
      <c r="V4012" s="11" t="s">
        <v>3182</v>
      </c>
      <c r="W4012" s="11">
        <v>2015</v>
      </c>
      <c r="X4012" s="27"/>
    </row>
    <row r="4013" spans="1:24" s="28" customFormat="1" ht="76.5" customHeight="1" x14ac:dyDescent="0.2">
      <c r="A4013" s="1" t="s">
        <v>1835</v>
      </c>
      <c r="B4013" s="15" t="s">
        <v>5277</v>
      </c>
      <c r="C4013" s="4" t="s">
        <v>1755</v>
      </c>
      <c r="D4013" s="4" t="s">
        <v>1756</v>
      </c>
      <c r="E4013" s="4" t="s">
        <v>1757</v>
      </c>
      <c r="F4013" s="4" t="s">
        <v>1759</v>
      </c>
      <c r="G4013" s="4" t="s">
        <v>1888</v>
      </c>
      <c r="H4013" s="17">
        <v>1</v>
      </c>
      <c r="I4013" s="18">
        <v>710000000</v>
      </c>
      <c r="J4013" s="4" t="s">
        <v>1931</v>
      </c>
      <c r="K4013" s="4" t="s">
        <v>1696</v>
      </c>
      <c r="L4013" s="4" t="s">
        <v>2985</v>
      </c>
      <c r="M4013" s="1"/>
      <c r="N4013" s="4" t="s">
        <v>1408</v>
      </c>
      <c r="O4013" s="4" t="s">
        <v>6257</v>
      </c>
      <c r="P4013" s="1"/>
      <c r="Q4013" s="4"/>
      <c r="R4013" s="26"/>
      <c r="S4013" s="26"/>
      <c r="T4013" s="26">
        <v>0</v>
      </c>
      <c r="U4013" s="26">
        <f t="shared" si="2638"/>
        <v>0</v>
      </c>
      <c r="V4013" s="11" t="s">
        <v>3182</v>
      </c>
      <c r="W4013" s="11">
        <v>2015</v>
      </c>
      <c r="X4013" s="27" t="s">
        <v>7281</v>
      </c>
    </row>
    <row r="4014" spans="1:24" s="28" customFormat="1" ht="76.5" customHeight="1" x14ac:dyDescent="0.2">
      <c r="A4014" s="1" t="s">
        <v>9151</v>
      </c>
      <c r="B4014" s="15" t="s">
        <v>5277</v>
      </c>
      <c r="C4014" s="4" t="s">
        <v>1755</v>
      </c>
      <c r="D4014" s="4" t="s">
        <v>1756</v>
      </c>
      <c r="E4014" s="4" t="s">
        <v>1757</v>
      </c>
      <c r="F4014" s="4" t="s">
        <v>9152</v>
      </c>
      <c r="G4014" s="4" t="s">
        <v>1888</v>
      </c>
      <c r="H4014" s="17">
        <v>1</v>
      </c>
      <c r="I4014" s="18">
        <v>710000000</v>
      </c>
      <c r="J4014" s="4" t="s">
        <v>1931</v>
      </c>
      <c r="K4014" s="4" t="s">
        <v>9153</v>
      </c>
      <c r="L4014" s="4" t="s">
        <v>2985</v>
      </c>
      <c r="M4014" s="1"/>
      <c r="N4014" s="4" t="s">
        <v>1408</v>
      </c>
      <c r="O4014" s="4" t="s">
        <v>6257</v>
      </c>
      <c r="P4014" s="1"/>
      <c r="Q4014" s="4"/>
      <c r="R4014" s="26"/>
      <c r="S4014" s="26"/>
      <c r="T4014" s="26">
        <f>7800000+3250000</f>
        <v>11050000</v>
      </c>
      <c r="U4014" s="26">
        <f t="shared" ref="U4014" si="2647">T4014*1.12</f>
        <v>12376000.000000002</v>
      </c>
      <c r="V4014" s="11" t="s">
        <v>3182</v>
      </c>
      <c r="W4014" s="11">
        <v>2015</v>
      </c>
      <c r="X4014" s="27"/>
    </row>
    <row r="4015" spans="1:24" s="28" customFormat="1" ht="76.5" customHeight="1" x14ac:dyDescent="0.2">
      <c r="A4015" s="1" t="s">
        <v>3012</v>
      </c>
      <c r="B4015" s="15" t="s">
        <v>5277</v>
      </c>
      <c r="C4015" s="4" t="s">
        <v>1755</v>
      </c>
      <c r="D4015" s="4" t="s">
        <v>1756</v>
      </c>
      <c r="E4015" s="4" t="s">
        <v>1757</v>
      </c>
      <c r="F4015" s="4" t="s">
        <v>1760</v>
      </c>
      <c r="G4015" s="4" t="s">
        <v>1888</v>
      </c>
      <c r="H4015" s="17">
        <v>1</v>
      </c>
      <c r="I4015" s="18">
        <v>710000000</v>
      </c>
      <c r="J4015" s="4" t="s">
        <v>1931</v>
      </c>
      <c r="K4015" s="4" t="s">
        <v>1696</v>
      </c>
      <c r="L4015" s="4" t="s">
        <v>2985</v>
      </c>
      <c r="M4015" s="1"/>
      <c r="N4015" s="4" t="s">
        <v>1408</v>
      </c>
      <c r="O4015" s="4" t="s">
        <v>6257</v>
      </c>
      <c r="P4015" s="1"/>
      <c r="Q4015" s="4"/>
      <c r="R4015" s="26"/>
      <c r="S4015" s="26"/>
      <c r="T4015" s="26">
        <v>0</v>
      </c>
      <c r="U4015" s="26">
        <f t="shared" si="2638"/>
        <v>0</v>
      </c>
      <c r="V4015" s="11" t="s">
        <v>3182</v>
      </c>
      <c r="W4015" s="11">
        <v>2015</v>
      </c>
      <c r="X4015" s="27" t="s">
        <v>7669</v>
      </c>
    </row>
    <row r="4016" spans="1:24" s="28" customFormat="1" ht="76.5" customHeight="1" x14ac:dyDescent="0.2">
      <c r="A4016" s="1" t="s">
        <v>9116</v>
      </c>
      <c r="B4016" s="15" t="s">
        <v>5277</v>
      </c>
      <c r="C4016" s="4" t="s">
        <v>1755</v>
      </c>
      <c r="D4016" s="4" t="s">
        <v>1756</v>
      </c>
      <c r="E4016" s="4" t="s">
        <v>1757</v>
      </c>
      <c r="F4016" s="4" t="s">
        <v>1760</v>
      </c>
      <c r="G4016" s="4" t="s">
        <v>1888</v>
      </c>
      <c r="H4016" s="17">
        <v>1</v>
      </c>
      <c r="I4016" s="18">
        <v>710000000</v>
      </c>
      <c r="J4016" s="4" t="s">
        <v>1931</v>
      </c>
      <c r="K4016" s="4" t="s">
        <v>9115</v>
      </c>
      <c r="L4016" s="4" t="s">
        <v>2985</v>
      </c>
      <c r="M4016" s="1"/>
      <c r="N4016" s="4" t="s">
        <v>9117</v>
      </c>
      <c r="O4016" s="4" t="s">
        <v>6257</v>
      </c>
      <c r="P4016" s="1"/>
      <c r="Q4016" s="4"/>
      <c r="R4016" s="26"/>
      <c r="S4016" s="26"/>
      <c r="T4016" s="26">
        <v>0</v>
      </c>
      <c r="U4016" s="26">
        <f t="shared" ref="U4016" si="2648">T4016*1.12</f>
        <v>0</v>
      </c>
      <c r="V4016" s="11" t="s">
        <v>3182</v>
      </c>
      <c r="W4016" s="11">
        <v>2015</v>
      </c>
      <c r="X4016" s="27" t="s">
        <v>7669</v>
      </c>
    </row>
    <row r="4017" spans="1:24" s="28" customFormat="1" ht="76.5" customHeight="1" x14ac:dyDescent="0.2">
      <c r="A4017" s="1" t="s">
        <v>9466</v>
      </c>
      <c r="B4017" s="15" t="s">
        <v>5277</v>
      </c>
      <c r="C4017" s="4" t="s">
        <v>1755</v>
      </c>
      <c r="D4017" s="4" t="s">
        <v>1756</v>
      </c>
      <c r="E4017" s="4" t="s">
        <v>1757</v>
      </c>
      <c r="F4017" s="4" t="s">
        <v>1760</v>
      </c>
      <c r="G4017" s="4" t="s">
        <v>1888</v>
      </c>
      <c r="H4017" s="17">
        <v>1</v>
      </c>
      <c r="I4017" s="18">
        <v>710000000</v>
      </c>
      <c r="J4017" s="4" t="s">
        <v>1931</v>
      </c>
      <c r="K4017" s="4" t="s">
        <v>9467</v>
      </c>
      <c r="L4017" s="4" t="s">
        <v>2985</v>
      </c>
      <c r="M4017" s="1"/>
      <c r="N4017" s="4" t="s">
        <v>9468</v>
      </c>
      <c r="O4017" s="4" t="s">
        <v>6257</v>
      </c>
      <c r="P4017" s="1"/>
      <c r="Q4017" s="4"/>
      <c r="R4017" s="26"/>
      <c r="S4017" s="26"/>
      <c r="T4017" s="26">
        <f>9600000-4000000+800000</f>
        <v>6400000</v>
      </c>
      <c r="U4017" s="26">
        <f t="shared" ref="U4017" si="2649">T4017*1.12</f>
        <v>7168000.0000000009</v>
      </c>
      <c r="V4017" s="11" t="s">
        <v>3182</v>
      </c>
      <c r="W4017" s="11">
        <v>2015</v>
      </c>
      <c r="X4017" s="27"/>
    </row>
    <row r="4018" spans="1:24" s="28" customFormat="1" ht="76.5" customHeight="1" x14ac:dyDescent="0.2">
      <c r="A4018" s="1" t="s">
        <v>3014</v>
      </c>
      <c r="B4018" s="15" t="s">
        <v>5277</v>
      </c>
      <c r="C4018" s="4" t="s">
        <v>1755</v>
      </c>
      <c r="D4018" s="4" t="s">
        <v>1756</v>
      </c>
      <c r="E4018" s="4" t="s">
        <v>1757</v>
      </c>
      <c r="F4018" s="4" t="s">
        <v>1761</v>
      </c>
      <c r="G4018" s="4" t="s">
        <v>1888</v>
      </c>
      <c r="H4018" s="17">
        <v>1</v>
      </c>
      <c r="I4018" s="18">
        <v>710000000</v>
      </c>
      <c r="J4018" s="4" t="s">
        <v>1931</v>
      </c>
      <c r="K4018" s="4" t="s">
        <v>1696</v>
      </c>
      <c r="L4018" s="4" t="s">
        <v>2985</v>
      </c>
      <c r="M4018" s="1"/>
      <c r="N4018" s="4" t="s">
        <v>1408</v>
      </c>
      <c r="O4018" s="4" t="s">
        <v>6257</v>
      </c>
      <c r="P4018" s="1"/>
      <c r="Q4018" s="4"/>
      <c r="R4018" s="26"/>
      <c r="S4018" s="26"/>
      <c r="T4018" s="26">
        <v>0</v>
      </c>
      <c r="U4018" s="26">
        <f t="shared" si="2638"/>
        <v>0</v>
      </c>
      <c r="V4018" s="11" t="s">
        <v>3182</v>
      </c>
      <c r="W4018" s="11">
        <v>2015</v>
      </c>
      <c r="X4018" s="27" t="s">
        <v>7281</v>
      </c>
    </row>
    <row r="4019" spans="1:24" s="28" customFormat="1" ht="76.5" customHeight="1" x14ac:dyDescent="0.2">
      <c r="A4019" s="1" t="s">
        <v>7279</v>
      </c>
      <c r="B4019" s="15" t="s">
        <v>5277</v>
      </c>
      <c r="C4019" s="4" t="s">
        <v>1755</v>
      </c>
      <c r="D4019" s="4" t="s">
        <v>1756</v>
      </c>
      <c r="E4019" s="4" t="s">
        <v>1757</v>
      </c>
      <c r="F4019" s="4" t="s">
        <v>7280</v>
      </c>
      <c r="G4019" s="4" t="s">
        <v>1888</v>
      </c>
      <c r="H4019" s="17">
        <v>1</v>
      </c>
      <c r="I4019" s="18">
        <v>710000000</v>
      </c>
      <c r="J4019" s="4" t="s">
        <v>1931</v>
      </c>
      <c r="K4019" s="4" t="s">
        <v>7146</v>
      </c>
      <c r="L4019" s="4" t="s">
        <v>2985</v>
      </c>
      <c r="M4019" s="1"/>
      <c r="N4019" s="4" t="s">
        <v>1408</v>
      </c>
      <c r="O4019" s="4" t="s">
        <v>6257</v>
      </c>
      <c r="P4019" s="1"/>
      <c r="Q4019" s="4"/>
      <c r="R4019" s="26"/>
      <c r="S4019" s="26"/>
      <c r="T4019" s="26">
        <f>11760000+4900000</f>
        <v>16660000</v>
      </c>
      <c r="U4019" s="26">
        <f t="shared" ref="U4019" si="2650">T4019*1.12</f>
        <v>18659200</v>
      </c>
      <c r="V4019" s="11" t="s">
        <v>3182</v>
      </c>
      <c r="W4019" s="11">
        <v>2015</v>
      </c>
      <c r="X4019" s="27"/>
    </row>
    <row r="4020" spans="1:24" s="28" customFormat="1" ht="63.75" customHeight="1" x14ac:dyDescent="0.2">
      <c r="A4020" s="1" t="s">
        <v>3015</v>
      </c>
      <c r="B4020" s="15" t="s">
        <v>5277</v>
      </c>
      <c r="C4020" s="4" t="s">
        <v>1762</v>
      </c>
      <c r="D4020" s="4" t="s">
        <v>1763</v>
      </c>
      <c r="E4020" s="4" t="s">
        <v>1764</v>
      </c>
      <c r="F4020" s="4" t="s">
        <v>1765</v>
      </c>
      <c r="G4020" s="4" t="s">
        <v>1888</v>
      </c>
      <c r="H4020" s="17">
        <v>1</v>
      </c>
      <c r="I4020" s="18">
        <v>710000000</v>
      </c>
      <c r="J4020" s="4" t="s">
        <v>1931</v>
      </c>
      <c r="K4020" s="4" t="s">
        <v>1696</v>
      </c>
      <c r="L4020" s="4" t="s">
        <v>2985</v>
      </c>
      <c r="M4020" s="1"/>
      <c r="N4020" s="4" t="s">
        <v>1408</v>
      </c>
      <c r="O4020" s="4" t="s">
        <v>6257</v>
      </c>
      <c r="P4020" s="1"/>
      <c r="Q4020" s="4"/>
      <c r="R4020" s="26"/>
      <c r="S4020" s="26"/>
      <c r="T4020" s="26">
        <v>7632000</v>
      </c>
      <c r="U4020" s="26">
        <f t="shared" si="2638"/>
        <v>8547840</v>
      </c>
      <c r="V4020" s="11" t="s">
        <v>3182</v>
      </c>
      <c r="W4020" s="11">
        <v>2015</v>
      </c>
      <c r="X4020" s="27"/>
    </row>
    <row r="4021" spans="1:24" ht="51" customHeight="1" x14ac:dyDescent="0.2">
      <c r="A4021" s="1" t="s">
        <v>4206</v>
      </c>
      <c r="B4021" s="15" t="s">
        <v>5277</v>
      </c>
      <c r="C4021" s="4" t="s">
        <v>1766</v>
      </c>
      <c r="D4021" s="4" t="s">
        <v>6335</v>
      </c>
      <c r="E4021" s="4" t="s">
        <v>1767</v>
      </c>
      <c r="F4021" s="4" t="s">
        <v>1768</v>
      </c>
      <c r="G4021" s="4" t="s">
        <v>1888</v>
      </c>
      <c r="H4021" s="17">
        <v>1</v>
      </c>
      <c r="I4021" s="18">
        <v>710000000</v>
      </c>
      <c r="J4021" s="4" t="s">
        <v>1931</v>
      </c>
      <c r="K4021" s="4" t="s">
        <v>1696</v>
      </c>
      <c r="L4021" s="4" t="s">
        <v>2985</v>
      </c>
      <c r="M4021" s="1"/>
      <c r="N4021" s="4" t="s">
        <v>1408</v>
      </c>
      <c r="O4021" s="4" t="s">
        <v>6257</v>
      </c>
      <c r="P4021" s="1"/>
      <c r="Q4021" s="4"/>
      <c r="R4021" s="26"/>
      <c r="S4021" s="26"/>
      <c r="T4021" s="26">
        <v>0</v>
      </c>
      <c r="U4021" s="26">
        <f t="shared" si="2638"/>
        <v>0</v>
      </c>
      <c r="V4021" s="11" t="s">
        <v>3182</v>
      </c>
      <c r="W4021" s="11">
        <v>2015</v>
      </c>
      <c r="X4021" s="27" t="s">
        <v>7281</v>
      </c>
    </row>
    <row r="4022" spans="1:24" s="28" customFormat="1" ht="51" customHeight="1" x14ac:dyDescent="0.2">
      <c r="A4022" s="1" t="s">
        <v>7282</v>
      </c>
      <c r="B4022" s="15" t="s">
        <v>5277</v>
      </c>
      <c r="C4022" s="4" t="s">
        <v>1766</v>
      </c>
      <c r="D4022" s="4" t="s">
        <v>6335</v>
      </c>
      <c r="E4022" s="4" t="s">
        <v>1767</v>
      </c>
      <c r="F4022" s="4" t="s">
        <v>7294</v>
      </c>
      <c r="G4022" s="4" t="s">
        <v>1888</v>
      </c>
      <c r="H4022" s="17">
        <v>1</v>
      </c>
      <c r="I4022" s="18">
        <v>710000000</v>
      </c>
      <c r="J4022" s="4" t="s">
        <v>1931</v>
      </c>
      <c r="K4022" s="4" t="s">
        <v>7146</v>
      </c>
      <c r="L4022" s="4" t="s">
        <v>2985</v>
      </c>
      <c r="M4022" s="1"/>
      <c r="N4022" s="4" t="s">
        <v>1408</v>
      </c>
      <c r="O4022" s="4" t="s">
        <v>6257</v>
      </c>
      <c r="P4022" s="1"/>
      <c r="Q4022" s="4"/>
      <c r="R4022" s="26"/>
      <c r="S4022" s="26"/>
      <c r="T4022" s="26">
        <v>0</v>
      </c>
      <c r="U4022" s="26">
        <f t="shared" ref="U4022" si="2651">T4022*1.12</f>
        <v>0</v>
      </c>
      <c r="V4022" s="11" t="s">
        <v>3182</v>
      </c>
      <c r="W4022" s="11">
        <v>2015</v>
      </c>
      <c r="X4022" s="27" t="s">
        <v>6574</v>
      </c>
    </row>
    <row r="4023" spans="1:24" s="28" customFormat="1" ht="57.75" customHeight="1" x14ac:dyDescent="0.2">
      <c r="A4023" s="1" t="s">
        <v>7551</v>
      </c>
      <c r="B4023" s="15" t="s">
        <v>5277</v>
      </c>
      <c r="C4023" s="4" t="s">
        <v>1766</v>
      </c>
      <c r="D4023" s="4" t="s">
        <v>6335</v>
      </c>
      <c r="E4023" s="4" t="s">
        <v>1767</v>
      </c>
      <c r="F4023" s="4" t="s">
        <v>7552</v>
      </c>
      <c r="G4023" s="4" t="s">
        <v>1888</v>
      </c>
      <c r="H4023" s="17">
        <v>1</v>
      </c>
      <c r="I4023" s="18">
        <v>710000000</v>
      </c>
      <c r="J4023" s="4" t="s">
        <v>1931</v>
      </c>
      <c r="K4023" s="4" t="s">
        <v>7146</v>
      </c>
      <c r="L4023" s="4" t="s">
        <v>2985</v>
      </c>
      <c r="M4023" s="1"/>
      <c r="N4023" s="4" t="s">
        <v>1408</v>
      </c>
      <c r="O4023" s="4" t="s">
        <v>6257</v>
      </c>
      <c r="P4023" s="1"/>
      <c r="Q4023" s="4"/>
      <c r="R4023" s="26"/>
      <c r="S4023" s="26"/>
      <c r="T4023" s="26">
        <f>20045808+10000000-5000000</f>
        <v>25045808</v>
      </c>
      <c r="U4023" s="26">
        <f t="shared" ref="U4023" si="2652">T4023*1.12</f>
        <v>28051304.960000001</v>
      </c>
      <c r="V4023" s="11" t="s">
        <v>3182</v>
      </c>
      <c r="W4023" s="11">
        <v>2015</v>
      </c>
      <c r="X4023" s="27" t="s">
        <v>7281</v>
      </c>
    </row>
    <row r="4024" spans="1:24" s="28" customFormat="1" ht="57.75" customHeight="1" x14ac:dyDescent="0.2">
      <c r="A4024" s="1" t="s">
        <v>9464</v>
      </c>
      <c r="B4024" s="15" t="s">
        <v>5277</v>
      </c>
      <c r="C4024" s="4" t="s">
        <v>1766</v>
      </c>
      <c r="D4024" s="4" t="s">
        <v>6335</v>
      </c>
      <c r="E4024" s="4" t="s">
        <v>1767</v>
      </c>
      <c r="F4024" s="4" t="s">
        <v>9491</v>
      </c>
      <c r="G4024" s="4" t="s">
        <v>1888</v>
      </c>
      <c r="H4024" s="17">
        <v>1</v>
      </c>
      <c r="I4024" s="18">
        <v>710000000</v>
      </c>
      <c r="J4024" s="4" t="s">
        <v>1931</v>
      </c>
      <c r="K4024" s="4" t="s">
        <v>9465</v>
      </c>
      <c r="L4024" s="4" t="s">
        <v>2985</v>
      </c>
      <c r="M4024" s="1"/>
      <c r="N4024" s="4" t="s">
        <v>1408</v>
      </c>
      <c r="O4024" s="4" t="s">
        <v>6257</v>
      </c>
      <c r="P4024" s="1"/>
      <c r="Q4024" s="4"/>
      <c r="R4024" s="26"/>
      <c r="S4024" s="26"/>
      <c r="T4024" s="26">
        <f>20045808+10000000-5000000+1505118</f>
        <v>26550926</v>
      </c>
      <c r="U4024" s="26">
        <f t="shared" ref="U4024" si="2653">T4024*1.12</f>
        <v>29737037.120000001</v>
      </c>
      <c r="V4024" s="11" t="s">
        <v>3182</v>
      </c>
      <c r="W4024" s="11">
        <v>2015</v>
      </c>
      <c r="X4024" s="27"/>
    </row>
    <row r="4025" spans="1:24" s="28" customFormat="1" ht="89.25" customHeight="1" x14ac:dyDescent="0.2">
      <c r="A4025" s="1" t="s">
        <v>4207</v>
      </c>
      <c r="B4025" s="15" t="s">
        <v>5277</v>
      </c>
      <c r="C4025" s="4" t="s">
        <v>2987</v>
      </c>
      <c r="D4025" s="4" t="s">
        <v>6314</v>
      </c>
      <c r="E4025" s="4" t="s">
        <v>6315</v>
      </c>
      <c r="F4025" s="4" t="s">
        <v>6379</v>
      </c>
      <c r="G4025" s="1" t="s">
        <v>3187</v>
      </c>
      <c r="H4025" s="17">
        <v>1</v>
      </c>
      <c r="I4025" s="18">
        <v>710000000</v>
      </c>
      <c r="J4025" s="4" t="s">
        <v>1931</v>
      </c>
      <c r="K4025" s="4" t="s">
        <v>1696</v>
      </c>
      <c r="L4025" s="4" t="s">
        <v>2985</v>
      </c>
      <c r="M4025" s="1"/>
      <c r="N4025" s="4" t="s">
        <v>1408</v>
      </c>
      <c r="O4025" s="4" t="s">
        <v>6257</v>
      </c>
      <c r="P4025" s="1"/>
      <c r="Q4025" s="4"/>
      <c r="R4025" s="26"/>
      <c r="S4025" s="26"/>
      <c r="T4025" s="26">
        <v>2644000</v>
      </c>
      <c r="U4025" s="26">
        <f t="shared" si="2638"/>
        <v>2961280.0000000005</v>
      </c>
      <c r="V4025" s="56" t="s">
        <v>3182</v>
      </c>
      <c r="W4025" s="11">
        <v>2015</v>
      </c>
      <c r="X4025" s="27"/>
    </row>
    <row r="4026" spans="1:24" s="28" customFormat="1" ht="63.75" customHeight="1" x14ac:dyDescent="0.2">
      <c r="A4026" s="1" t="s">
        <v>4208</v>
      </c>
      <c r="B4026" s="24" t="s">
        <v>5277</v>
      </c>
      <c r="C4026" s="4" t="s">
        <v>1769</v>
      </c>
      <c r="D4026" s="4" t="s">
        <v>1770</v>
      </c>
      <c r="E4026" s="4" t="s">
        <v>1770</v>
      </c>
      <c r="F4026" s="4"/>
      <c r="G4026" s="1" t="s">
        <v>1888</v>
      </c>
      <c r="H4026" s="17">
        <v>0.5</v>
      </c>
      <c r="I4026" s="18">
        <v>710000000</v>
      </c>
      <c r="J4026" s="4" t="s">
        <v>1931</v>
      </c>
      <c r="K4026" s="4" t="s">
        <v>1696</v>
      </c>
      <c r="L4026" s="4" t="s">
        <v>2985</v>
      </c>
      <c r="M4026" s="1"/>
      <c r="N4026" s="4" t="s">
        <v>1408</v>
      </c>
      <c r="O4026" s="4" t="s">
        <v>6257</v>
      </c>
      <c r="P4026" s="1"/>
      <c r="Q4026" s="4"/>
      <c r="R4026" s="26"/>
      <c r="S4026" s="26"/>
      <c r="T4026" s="26">
        <v>4894000</v>
      </c>
      <c r="U4026" s="26">
        <f t="shared" si="2638"/>
        <v>5481280.0000000009</v>
      </c>
      <c r="V4026" s="11" t="s">
        <v>3182</v>
      </c>
      <c r="W4026" s="11">
        <v>2015</v>
      </c>
      <c r="X4026" s="27"/>
    </row>
    <row r="4027" spans="1:24" s="28" customFormat="1" ht="63.75" customHeight="1" x14ac:dyDescent="0.2">
      <c r="A4027" s="1" t="s">
        <v>4209</v>
      </c>
      <c r="B4027" s="24" t="s">
        <v>5277</v>
      </c>
      <c r="C4027" s="4" t="s">
        <v>1769</v>
      </c>
      <c r="D4027" s="4" t="s">
        <v>1770</v>
      </c>
      <c r="E4027" s="4" t="s">
        <v>1770</v>
      </c>
      <c r="F4027" s="4"/>
      <c r="G4027" s="1" t="s">
        <v>1888</v>
      </c>
      <c r="H4027" s="17">
        <v>0.5</v>
      </c>
      <c r="I4027" s="18">
        <v>710000000</v>
      </c>
      <c r="J4027" s="4" t="s">
        <v>1931</v>
      </c>
      <c r="K4027" s="4" t="s">
        <v>1696</v>
      </c>
      <c r="L4027" s="7" t="s">
        <v>3335</v>
      </c>
      <c r="M4027" s="1"/>
      <c r="N4027" s="4" t="s">
        <v>1408</v>
      </c>
      <c r="O4027" s="4" t="s">
        <v>6257</v>
      </c>
      <c r="P4027" s="1"/>
      <c r="Q4027" s="4"/>
      <c r="R4027" s="26"/>
      <c r="S4027" s="26"/>
      <c r="T4027" s="26">
        <v>1778800</v>
      </c>
      <c r="U4027" s="26">
        <f t="shared" si="2638"/>
        <v>1992256.0000000002</v>
      </c>
      <c r="V4027" s="11" t="s">
        <v>3182</v>
      </c>
      <c r="W4027" s="11">
        <v>2015</v>
      </c>
      <c r="X4027" s="27"/>
    </row>
    <row r="4028" spans="1:24" s="28" customFormat="1" ht="38.25" customHeight="1" x14ac:dyDescent="0.2">
      <c r="A4028" s="1" t="s">
        <v>4210</v>
      </c>
      <c r="B4028" s="15" t="s">
        <v>5277</v>
      </c>
      <c r="C4028" s="4" t="s">
        <v>3637</v>
      </c>
      <c r="D4028" s="4" t="s">
        <v>6271</v>
      </c>
      <c r="E4028" s="4" t="s">
        <v>6272</v>
      </c>
      <c r="F4028" s="4" t="s">
        <v>576</v>
      </c>
      <c r="G4028" s="4" t="s">
        <v>1888</v>
      </c>
      <c r="H4028" s="17">
        <v>0.5</v>
      </c>
      <c r="I4028" s="18">
        <v>710000000</v>
      </c>
      <c r="J4028" s="4" t="s">
        <v>1931</v>
      </c>
      <c r="K4028" s="4" t="s">
        <v>5282</v>
      </c>
      <c r="L4028" s="4" t="s">
        <v>2985</v>
      </c>
      <c r="M4028" s="1"/>
      <c r="N4028" s="4" t="s">
        <v>1408</v>
      </c>
      <c r="O4028" s="4" t="s">
        <v>6257</v>
      </c>
      <c r="P4028" s="1"/>
      <c r="Q4028" s="4"/>
      <c r="R4028" s="26"/>
      <c r="S4028" s="26"/>
      <c r="T4028" s="26">
        <v>9427000</v>
      </c>
      <c r="U4028" s="26">
        <f t="shared" si="2638"/>
        <v>10558240.000000002</v>
      </c>
      <c r="V4028" s="11" t="s">
        <v>3182</v>
      </c>
      <c r="W4028" s="11">
        <v>2015</v>
      </c>
      <c r="X4028" s="27"/>
    </row>
    <row r="4029" spans="1:24" s="28" customFormat="1" ht="38.25" customHeight="1" x14ac:dyDescent="0.2">
      <c r="A4029" s="1" t="s">
        <v>4211</v>
      </c>
      <c r="B4029" s="15" t="s">
        <v>5277</v>
      </c>
      <c r="C4029" s="4" t="s">
        <v>3642</v>
      </c>
      <c r="D4029" s="4" t="s">
        <v>6280</v>
      </c>
      <c r="E4029" s="4" t="s">
        <v>6281</v>
      </c>
      <c r="F4029" s="233"/>
      <c r="G4029" s="1" t="s">
        <v>1888</v>
      </c>
      <c r="H4029" s="17">
        <v>0.5</v>
      </c>
      <c r="I4029" s="18">
        <v>710000000</v>
      </c>
      <c r="J4029" s="4" t="s">
        <v>1931</v>
      </c>
      <c r="K4029" s="4" t="s">
        <v>1696</v>
      </c>
      <c r="L4029" s="4" t="s">
        <v>2985</v>
      </c>
      <c r="M4029" s="1"/>
      <c r="N4029" s="4" t="s">
        <v>1408</v>
      </c>
      <c r="O4029" s="4" t="s">
        <v>6257</v>
      </c>
      <c r="P4029" s="1"/>
      <c r="Q4029" s="4"/>
      <c r="R4029" s="26"/>
      <c r="S4029" s="26"/>
      <c r="T4029" s="26">
        <v>7529000</v>
      </c>
      <c r="U4029" s="26">
        <f t="shared" si="2638"/>
        <v>8432480</v>
      </c>
      <c r="V4029" s="11" t="s">
        <v>3182</v>
      </c>
      <c r="W4029" s="11">
        <v>2015</v>
      </c>
      <c r="X4029" s="27"/>
    </row>
    <row r="4030" spans="1:24" s="28" customFormat="1" ht="63.75" customHeight="1" x14ac:dyDescent="0.2">
      <c r="A4030" s="1" t="s">
        <v>4212</v>
      </c>
      <c r="B4030" s="15" t="s">
        <v>5277</v>
      </c>
      <c r="C4030" s="4" t="s">
        <v>3388</v>
      </c>
      <c r="D4030" s="4" t="s">
        <v>6371</v>
      </c>
      <c r="E4030" s="4" t="s">
        <v>6371</v>
      </c>
      <c r="F4030" s="4"/>
      <c r="G4030" s="4" t="s">
        <v>1888</v>
      </c>
      <c r="H4030" s="17">
        <v>1</v>
      </c>
      <c r="I4030" s="18">
        <v>710000000</v>
      </c>
      <c r="J4030" s="4" t="s">
        <v>1931</v>
      </c>
      <c r="K4030" s="4" t="s">
        <v>1696</v>
      </c>
      <c r="L4030" s="4" t="s">
        <v>2985</v>
      </c>
      <c r="M4030" s="1"/>
      <c r="N4030" s="4" t="s">
        <v>1408</v>
      </c>
      <c r="O4030" s="4" t="s">
        <v>6257</v>
      </c>
      <c r="P4030" s="1"/>
      <c r="Q4030" s="4"/>
      <c r="R4030" s="26"/>
      <c r="S4030" s="26"/>
      <c r="T4030" s="26">
        <v>6339000</v>
      </c>
      <c r="U4030" s="26">
        <f t="shared" si="2638"/>
        <v>7099680.0000000009</v>
      </c>
      <c r="V4030" s="11" t="s">
        <v>3182</v>
      </c>
      <c r="W4030" s="11">
        <v>2015</v>
      </c>
      <c r="X4030" s="27"/>
    </row>
    <row r="4031" spans="1:24" s="28" customFormat="1" ht="63.75" customHeight="1" x14ac:dyDescent="0.2">
      <c r="A4031" s="1" t="s">
        <v>3020</v>
      </c>
      <c r="B4031" s="24" t="s">
        <v>5277</v>
      </c>
      <c r="C4031" s="4" t="s">
        <v>3388</v>
      </c>
      <c r="D4031" s="4" t="s">
        <v>6371</v>
      </c>
      <c r="E4031" s="4" t="s">
        <v>6371</v>
      </c>
      <c r="F4031" s="4"/>
      <c r="G4031" s="4" t="s">
        <v>1888</v>
      </c>
      <c r="H4031" s="17">
        <v>1</v>
      </c>
      <c r="I4031" s="18">
        <v>710000000</v>
      </c>
      <c r="J4031" s="4" t="s">
        <v>1931</v>
      </c>
      <c r="K4031" s="4" t="s">
        <v>1696</v>
      </c>
      <c r="L4031" s="7" t="s">
        <v>3335</v>
      </c>
      <c r="M4031" s="1"/>
      <c r="N4031" s="4" t="s">
        <v>1408</v>
      </c>
      <c r="O4031" s="4" t="s">
        <v>6257</v>
      </c>
      <c r="P4031" s="1"/>
      <c r="Q4031" s="4"/>
      <c r="R4031" s="26"/>
      <c r="S4031" s="26"/>
      <c r="T4031" s="26">
        <v>5231509.8099999996</v>
      </c>
      <c r="U4031" s="26">
        <f t="shared" si="2638"/>
        <v>5859290.9872000003</v>
      </c>
      <c r="V4031" s="11" t="s">
        <v>3182</v>
      </c>
      <c r="W4031" s="11">
        <v>2015</v>
      </c>
      <c r="X4031" s="27"/>
    </row>
    <row r="4032" spans="1:24" s="28" customFormat="1" ht="63.75" customHeight="1" x14ac:dyDescent="0.2">
      <c r="A4032" s="1" t="s">
        <v>3021</v>
      </c>
      <c r="B4032" s="15" t="s">
        <v>5277</v>
      </c>
      <c r="C4032" s="4" t="s">
        <v>3388</v>
      </c>
      <c r="D4032" s="4" t="s">
        <v>6371</v>
      </c>
      <c r="E4032" s="4" t="s">
        <v>6371</v>
      </c>
      <c r="F4032" s="4"/>
      <c r="G4032" s="4" t="s">
        <v>1888</v>
      </c>
      <c r="H4032" s="17">
        <v>1</v>
      </c>
      <c r="I4032" s="18">
        <v>710000000</v>
      </c>
      <c r="J4032" s="4" t="s">
        <v>1931</v>
      </c>
      <c r="K4032" s="4" t="s">
        <v>1696</v>
      </c>
      <c r="L4032" s="7" t="s">
        <v>1356</v>
      </c>
      <c r="M4032" s="1"/>
      <c r="N4032" s="4" t="s">
        <v>1408</v>
      </c>
      <c r="O4032" s="4" t="s">
        <v>6257</v>
      </c>
      <c r="P4032" s="1"/>
      <c r="Q4032" s="4"/>
      <c r="R4032" s="26"/>
      <c r="S4032" s="26"/>
      <c r="T4032" s="26">
        <v>5351025</v>
      </c>
      <c r="U4032" s="26">
        <f t="shared" si="2638"/>
        <v>5993148.0000000009</v>
      </c>
      <c r="V4032" s="11" t="s">
        <v>3182</v>
      </c>
      <c r="W4032" s="11">
        <v>2015</v>
      </c>
      <c r="X4032" s="27"/>
    </row>
    <row r="4033" spans="1:24" s="28" customFormat="1" ht="114.75" customHeight="1" x14ac:dyDescent="0.2">
      <c r="A4033" s="1" t="s">
        <v>3046</v>
      </c>
      <c r="B4033" s="15" t="s">
        <v>5277</v>
      </c>
      <c r="C4033" s="4" t="s">
        <v>3391</v>
      </c>
      <c r="D4033" s="4" t="s">
        <v>6293</v>
      </c>
      <c r="E4033" s="4" t="s">
        <v>3648</v>
      </c>
      <c r="F4033" s="4"/>
      <c r="G4033" s="1" t="s">
        <v>3187</v>
      </c>
      <c r="H4033" s="17">
        <v>1</v>
      </c>
      <c r="I4033" s="18">
        <v>710000000</v>
      </c>
      <c r="J4033" s="4" t="s">
        <v>1931</v>
      </c>
      <c r="K4033" s="4" t="s">
        <v>1696</v>
      </c>
      <c r="L4033" s="7" t="s">
        <v>1356</v>
      </c>
      <c r="M4033" s="1"/>
      <c r="N4033" s="4" t="s">
        <v>1408</v>
      </c>
      <c r="O4033" s="4" t="s">
        <v>6257</v>
      </c>
      <c r="P4033" s="1"/>
      <c r="Q4033" s="4"/>
      <c r="R4033" s="26"/>
      <c r="S4033" s="26"/>
      <c r="T4033" s="26">
        <v>3192916</v>
      </c>
      <c r="U4033" s="26">
        <f t="shared" si="2638"/>
        <v>3576065.9200000004</v>
      </c>
      <c r="V4033" s="11" t="s">
        <v>3182</v>
      </c>
      <c r="W4033" s="11">
        <v>2015</v>
      </c>
      <c r="X4033" s="27"/>
    </row>
    <row r="4034" spans="1:24" s="28" customFormat="1" ht="114.75" customHeight="1" x14ac:dyDescent="0.2">
      <c r="A4034" s="1" t="s">
        <v>3614</v>
      </c>
      <c r="B4034" s="15" t="s">
        <v>5277</v>
      </c>
      <c r="C4034" s="4" t="s">
        <v>3391</v>
      </c>
      <c r="D4034" s="4" t="s">
        <v>6293</v>
      </c>
      <c r="E4034" s="4" t="s">
        <v>3648</v>
      </c>
      <c r="F4034" s="4"/>
      <c r="G4034" s="1" t="s">
        <v>3187</v>
      </c>
      <c r="H4034" s="17">
        <v>1</v>
      </c>
      <c r="I4034" s="18">
        <v>710000000</v>
      </c>
      <c r="J4034" s="4" t="s">
        <v>1931</v>
      </c>
      <c r="K4034" s="4" t="s">
        <v>1696</v>
      </c>
      <c r="L4034" s="7" t="s">
        <v>3335</v>
      </c>
      <c r="M4034" s="1"/>
      <c r="N4034" s="4" t="s">
        <v>1408</v>
      </c>
      <c r="O4034" s="4" t="s">
        <v>6257</v>
      </c>
      <c r="P4034" s="1"/>
      <c r="Q4034" s="4"/>
      <c r="R4034" s="26"/>
      <c r="S4034" s="26"/>
      <c r="T4034" s="26">
        <v>1689680</v>
      </c>
      <c r="U4034" s="26">
        <f t="shared" si="2638"/>
        <v>1892441.6</v>
      </c>
      <c r="V4034" s="11" t="s">
        <v>3182</v>
      </c>
      <c r="W4034" s="11">
        <v>2015</v>
      </c>
      <c r="X4034" s="27"/>
    </row>
    <row r="4035" spans="1:24" s="28" customFormat="1" ht="38.25" customHeight="1" x14ac:dyDescent="0.2">
      <c r="A4035" s="1" t="s">
        <v>3047</v>
      </c>
      <c r="B4035" s="15" t="s">
        <v>5277</v>
      </c>
      <c r="C4035" s="4" t="s">
        <v>3656</v>
      </c>
      <c r="D4035" s="4" t="s">
        <v>6268</v>
      </c>
      <c r="E4035" s="4" t="s">
        <v>6269</v>
      </c>
      <c r="F4035" s="10"/>
      <c r="G4035" s="1" t="s">
        <v>3187</v>
      </c>
      <c r="H4035" s="17">
        <v>1</v>
      </c>
      <c r="I4035" s="18">
        <v>710000000</v>
      </c>
      <c r="J4035" s="4" t="s">
        <v>1931</v>
      </c>
      <c r="K4035" s="4" t="s">
        <v>1696</v>
      </c>
      <c r="L4035" s="4" t="s">
        <v>2985</v>
      </c>
      <c r="M4035" s="1"/>
      <c r="N4035" s="4" t="s">
        <v>1408</v>
      </c>
      <c r="O4035" s="4" t="s">
        <v>6257</v>
      </c>
      <c r="P4035" s="1"/>
      <c r="Q4035" s="4"/>
      <c r="R4035" s="26"/>
      <c r="S4035" s="26"/>
      <c r="T4035" s="26">
        <v>2000000</v>
      </c>
      <c r="U4035" s="26">
        <f t="shared" si="2638"/>
        <v>2240000</v>
      </c>
      <c r="V4035" s="11" t="s">
        <v>3182</v>
      </c>
      <c r="W4035" s="11">
        <v>2015</v>
      </c>
      <c r="X4035" s="27"/>
    </row>
    <row r="4036" spans="1:24" s="28" customFormat="1" ht="357" customHeight="1" x14ac:dyDescent="0.2">
      <c r="A4036" s="1" t="s">
        <v>1836</v>
      </c>
      <c r="B4036" s="15" t="s">
        <v>5277</v>
      </c>
      <c r="C4036" s="4" t="s">
        <v>3183</v>
      </c>
      <c r="D4036" s="4" t="s">
        <v>6294</v>
      </c>
      <c r="E4036" s="4" t="s">
        <v>6294</v>
      </c>
      <c r="F4036" s="4" t="s">
        <v>1771</v>
      </c>
      <c r="G4036" s="4" t="s">
        <v>1888</v>
      </c>
      <c r="H4036" s="22">
        <v>0.5</v>
      </c>
      <c r="I4036" s="4">
        <v>710000000</v>
      </c>
      <c r="J4036" s="4" t="s">
        <v>1931</v>
      </c>
      <c r="K4036" s="4" t="s">
        <v>1696</v>
      </c>
      <c r="L4036" s="4" t="s">
        <v>1772</v>
      </c>
      <c r="M4036" s="1"/>
      <c r="N4036" s="4" t="s">
        <v>1408</v>
      </c>
      <c r="O4036" s="4" t="s">
        <v>6257</v>
      </c>
      <c r="P4036" s="30"/>
      <c r="Q4036" s="4"/>
      <c r="R4036" s="26"/>
      <c r="S4036" s="26"/>
      <c r="T4036" s="26">
        <v>0</v>
      </c>
      <c r="U4036" s="26">
        <f t="shared" si="2638"/>
        <v>0</v>
      </c>
      <c r="V4036" s="11" t="s">
        <v>3182</v>
      </c>
      <c r="W4036" s="11">
        <v>2015</v>
      </c>
      <c r="X4036" s="27" t="s">
        <v>7006</v>
      </c>
    </row>
    <row r="4037" spans="1:24" s="28" customFormat="1" ht="357" customHeight="1" x14ac:dyDescent="0.2">
      <c r="A4037" s="1" t="s">
        <v>7145</v>
      </c>
      <c r="B4037" s="15" t="s">
        <v>5277</v>
      </c>
      <c r="C4037" s="4" t="s">
        <v>3183</v>
      </c>
      <c r="D4037" s="4" t="s">
        <v>6294</v>
      </c>
      <c r="E4037" s="4" t="s">
        <v>6294</v>
      </c>
      <c r="F4037" s="4" t="s">
        <v>1771</v>
      </c>
      <c r="G4037" s="4" t="s">
        <v>1888</v>
      </c>
      <c r="H4037" s="22">
        <v>0.5</v>
      </c>
      <c r="I4037" s="4">
        <v>710000000</v>
      </c>
      <c r="J4037" s="4" t="s">
        <v>1931</v>
      </c>
      <c r="K4037" s="4" t="s">
        <v>7146</v>
      </c>
      <c r="L4037" s="4" t="s">
        <v>1772</v>
      </c>
      <c r="M4037" s="1"/>
      <c r="N4037" s="4" t="s">
        <v>1408</v>
      </c>
      <c r="O4037" s="4" t="s">
        <v>6257</v>
      </c>
      <c r="P4037" s="30"/>
      <c r="Q4037" s="4"/>
      <c r="R4037" s="26"/>
      <c r="S4037" s="26"/>
      <c r="T4037" s="26">
        <v>147092843</v>
      </c>
      <c r="U4037" s="26">
        <f t="shared" ref="U4037" si="2654">T4037*1.12</f>
        <v>164743984.16000003</v>
      </c>
      <c r="V4037" s="11" t="s">
        <v>3182</v>
      </c>
      <c r="W4037" s="11">
        <v>2015</v>
      </c>
      <c r="X4037" s="27"/>
    </row>
    <row r="4038" spans="1:24" s="28" customFormat="1" ht="357" customHeight="1" x14ac:dyDescent="0.2">
      <c r="A4038" s="1" t="s">
        <v>3048</v>
      </c>
      <c r="B4038" s="15" t="s">
        <v>5277</v>
      </c>
      <c r="C4038" s="4" t="s">
        <v>3186</v>
      </c>
      <c r="D4038" s="4" t="s">
        <v>6548</v>
      </c>
      <c r="E4038" s="4" t="s">
        <v>6295</v>
      </c>
      <c r="F4038" s="4" t="s">
        <v>6296</v>
      </c>
      <c r="G4038" s="4" t="s">
        <v>1888</v>
      </c>
      <c r="H4038" s="22">
        <v>1</v>
      </c>
      <c r="I4038" s="4">
        <v>710000000</v>
      </c>
      <c r="J4038" s="4" t="s">
        <v>1931</v>
      </c>
      <c r="K4038" s="4" t="s">
        <v>1696</v>
      </c>
      <c r="L4038" s="4" t="s">
        <v>1772</v>
      </c>
      <c r="M4038" s="1"/>
      <c r="N4038" s="4" t="s">
        <v>1408</v>
      </c>
      <c r="O4038" s="4" t="s">
        <v>6257</v>
      </c>
      <c r="P4038" s="1"/>
      <c r="Q4038" s="4"/>
      <c r="R4038" s="26"/>
      <c r="S4038" s="26"/>
      <c r="T4038" s="26">
        <v>11700000</v>
      </c>
      <c r="U4038" s="26">
        <f t="shared" si="2638"/>
        <v>13104000.000000002</v>
      </c>
      <c r="V4038" s="11" t="s">
        <v>3182</v>
      </c>
      <c r="W4038" s="11">
        <v>2015</v>
      </c>
      <c r="X4038" s="27"/>
    </row>
    <row r="4039" spans="1:24" s="28" customFormat="1" ht="357" customHeight="1" x14ac:dyDescent="0.2">
      <c r="A4039" s="1" t="s">
        <v>3049</v>
      </c>
      <c r="B4039" s="15" t="s">
        <v>5277</v>
      </c>
      <c r="C4039" s="4" t="s">
        <v>3181</v>
      </c>
      <c r="D4039" s="4" t="s">
        <v>1773</v>
      </c>
      <c r="E4039" s="4" t="s">
        <v>6300</v>
      </c>
      <c r="F4039" s="4" t="s">
        <v>1774</v>
      </c>
      <c r="G4039" s="4" t="s">
        <v>1888</v>
      </c>
      <c r="H4039" s="22">
        <v>0.3</v>
      </c>
      <c r="I4039" s="4">
        <v>710000000</v>
      </c>
      <c r="J4039" s="4" t="s">
        <v>1931</v>
      </c>
      <c r="K4039" s="4" t="s">
        <v>1696</v>
      </c>
      <c r="L4039" s="4" t="s">
        <v>1772</v>
      </c>
      <c r="M4039" s="1"/>
      <c r="N4039" s="4" t="s">
        <v>1408</v>
      </c>
      <c r="O4039" s="4" t="s">
        <v>6257</v>
      </c>
      <c r="P4039" s="1"/>
      <c r="Q4039" s="4"/>
      <c r="R4039" s="26"/>
      <c r="S4039" s="26"/>
      <c r="T4039" s="26">
        <v>2183874</v>
      </c>
      <c r="U4039" s="26">
        <f t="shared" si="2638"/>
        <v>2445938.8800000004</v>
      </c>
      <c r="V4039" s="11" t="s">
        <v>3182</v>
      </c>
      <c r="W4039" s="11">
        <v>2015</v>
      </c>
      <c r="X4039" s="27"/>
    </row>
    <row r="4040" spans="1:24" s="28" customFormat="1" ht="357" customHeight="1" x14ac:dyDescent="0.2">
      <c r="A4040" s="1" t="s">
        <v>3050</v>
      </c>
      <c r="B4040" s="15" t="s">
        <v>5277</v>
      </c>
      <c r="C4040" s="4" t="s">
        <v>3188</v>
      </c>
      <c r="D4040" s="4" t="s">
        <v>6302</v>
      </c>
      <c r="E4040" s="4" t="s">
        <v>1775</v>
      </c>
      <c r="F4040" s="4" t="s">
        <v>6303</v>
      </c>
      <c r="G4040" s="4" t="s">
        <v>1888</v>
      </c>
      <c r="H4040" s="17">
        <v>0.5</v>
      </c>
      <c r="I4040" s="18">
        <v>710000000</v>
      </c>
      <c r="J4040" s="4" t="s">
        <v>1931</v>
      </c>
      <c r="K4040" s="4" t="s">
        <v>1696</v>
      </c>
      <c r="L4040" s="4" t="s">
        <v>1772</v>
      </c>
      <c r="M4040" s="1"/>
      <c r="N4040" s="4" t="s">
        <v>1408</v>
      </c>
      <c r="O4040" s="4" t="s">
        <v>6257</v>
      </c>
      <c r="P4040" s="1"/>
      <c r="Q4040" s="4"/>
      <c r="R4040" s="26"/>
      <c r="S4040" s="26"/>
      <c r="T4040" s="26">
        <v>3209866</v>
      </c>
      <c r="U4040" s="26">
        <f t="shared" si="2638"/>
        <v>3595049.9200000004</v>
      </c>
      <c r="V4040" s="11" t="s">
        <v>3182</v>
      </c>
      <c r="W4040" s="11">
        <v>2015</v>
      </c>
      <c r="X4040" s="27"/>
    </row>
    <row r="4041" spans="1:24" s="28" customFormat="1" ht="357" customHeight="1" x14ac:dyDescent="0.2">
      <c r="A4041" s="1" t="s">
        <v>3051</v>
      </c>
      <c r="B4041" s="15" t="s">
        <v>5277</v>
      </c>
      <c r="C4041" s="4" t="s">
        <v>3180</v>
      </c>
      <c r="D4041" s="4" t="s">
        <v>6549</v>
      </c>
      <c r="E4041" s="4" t="s">
        <v>6550</v>
      </c>
      <c r="F4041" s="4" t="s">
        <v>6297</v>
      </c>
      <c r="G4041" s="4" t="s">
        <v>1888</v>
      </c>
      <c r="H4041" s="17">
        <v>1</v>
      </c>
      <c r="I4041" s="18">
        <v>710000000</v>
      </c>
      <c r="J4041" s="4" t="s">
        <v>1931</v>
      </c>
      <c r="K4041" s="4" t="s">
        <v>1696</v>
      </c>
      <c r="L4041" s="4" t="s">
        <v>1772</v>
      </c>
      <c r="M4041" s="1"/>
      <c r="N4041" s="4" t="s">
        <v>1408</v>
      </c>
      <c r="O4041" s="4" t="s">
        <v>6257</v>
      </c>
      <c r="P4041" s="1"/>
      <c r="Q4041" s="4"/>
      <c r="R4041" s="26"/>
      <c r="S4041" s="26"/>
      <c r="T4041" s="26">
        <v>39568371</v>
      </c>
      <c r="U4041" s="26">
        <f t="shared" si="2638"/>
        <v>44316575.520000003</v>
      </c>
      <c r="V4041" s="11" t="s">
        <v>3182</v>
      </c>
      <c r="W4041" s="11">
        <v>2015</v>
      </c>
      <c r="X4041" s="27"/>
    </row>
    <row r="4042" spans="1:24" s="28" customFormat="1" ht="357" customHeight="1" x14ac:dyDescent="0.2">
      <c r="A4042" s="1" t="s">
        <v>3052</v>
      </c>
      <c r="B4042" s="15" t="s">
        <v>5277</v>
      </c>
      <c r="C4042" s="4" t="s">
        <v>3184</v>
      </c>
      <c r="D4042" s="4" t="s">
        <v>6298</v>
      </c>
      <c r="E4042" s="4" t="s">
        <v>6298</v>
      </c>
      <c r="F4042" s="4" t="s">
        <v>6299</v>
      </c>
      <c r="G4042" s="4" t="s">
        <v>1888</v>
      </c>
      <c r="H4042" s="17">
        <v>1</v>
      </c>
      <c r="I4042" s="18">
        <v>710000000</v>
      </c>
      <c r="J4042" s="4" t="s">
        <v>1931</v>
      </c>
      <c r="K4042" s="4" t="s">
        <v>1696</v>
      </c>
      <c r="L4042" s="4" t="s">
        <v>1772</v>
      </c>
      <c r="M4042" s="1"/>
      <c r="N4042" s="4" t="s">
        <v>1408</v>
      </c>
      <c r="O4042" s="4" t="s">
        <v>6257</v>
      </c>
      <c r="P4042" s="1"/>
      <c r="Q4042" s="4"/>
      <c r="R4042" s="26"/>
      <c r="S4042" s="26"/>
      <c r="T4042" s="26">
        <v>15591761</v>
      </c>
      <c r="U4042" s="26">
        <f t="shared" si="2638"/>
        <v>17462772.32</v>
      </c>
      <c r="V4042" s="11" t="s">
        <v>3182</v>
      </c>
      <c r="W4042" s="11">
        <v>2015</v>
      </c>
      <c r="X4042" s="27"/>
    </row>
    <row r="4043" spans="1:24" s="28" customFormat="1" ht="357" customHeight="1" x14ac:dyDescent="0.2">
      <c r="A4043" s="1" t="s">
        <v>3057</v>
      </c>
      <c r="B4043" s="15" t="s">
        <v>5277</v>
      </c>
      <c r="C4043" s="4" t="s">
        <v>3185</v>
      </c>
      <c r="D4043" s="4" t="s">
        <v>1776</v>
      </c>
      <c r="E4043" s="4" t="s">
        <v>1777</v>
      </c>
      <c r="F4043" s="4" t="s">
        <v>6301</v>
      </c>
      <c r="G4043" s="4" t="s">
        <v>1888</v>
      </c>
      <c r="H4043" s="17">
        <v>0.5</v>
      </c>
      <c r="I4043" s="18">
        <v>710000000</v>
      </c>
      <c r="J4043" s="4" t="s">
        <v>1931</v>
      </c>
      <c r="K4043" s="4" t="s">
        <v>1696</v>
      </c>
      <c r="L4043" s="4" t="s">
        <v>1772</v>
      </c>
      <c r="M4043" s="1"/>
      <c r="N4043" s="4" t="s">
        <v>1408</v>
      </c>
      <c r="O4043" s="4" t="s">
        <v>6257</v>
      </c>
      <c r="P4043" s="1"/>
      <c r="Q4043" s="4"/>
      <c r="R4043" s="26"/>
      <c r="S4043" s="26"/>
      <c r="T4043" s="26">
        <v>4317476</v>
      </c>
      <c r="U4043" s="26">
        <f t="shared" si="2638"/>
        <v>4835573.12</v>
      </c>
      <c r="V4043" s="11" t="s">
        <v>3182</v>
      </c>
      <c r="W4043" s="11">
        <v>2015</v>
      </c>
      <c r="X4043" s="27"/>
    </row>
    <row r="4044" spans="1:24" s="28" customFormat="1" ht="76.5" customHeight="1" x14ac:dyDescent="0.2">
      <c r="A4044" s="1" t="s">
        <v>3060</v>
      </c>
      <c r="B4044" s="15" t="s">
        <v>5277</v>
      </c>
      <c r="C4044" s="4" t="s">
        <v>3638</v>
      </c>
      <c r="D4044" s="4" t="s">
        <v>6273</v>
      </c>
      <c r="E4044" s="4" t="s">
        <v>6274</v>
      </c>
      <c r="F4044" s="4"/>
      <c r="G4044" s="4" t="s">
        <v>1888</v>
      </c>
      <c r="H4044" s="17">
        <v>1</v>
      </c>
      <c r="I4044" s="18">
        <v>710000000</v>
      </c>
      <c r="J4044" s="4" t="s">
        <v>1931</v>
      </c>
      <c r="K4044" s="4" t="s">
        <v>1696</v>
      </c>
      <c r="L4044" s="4" t="s">
        <v>2985</v>
      </c>
      <c r="M4044" s="1"/>
      <c r="N4044" s="4" t="s">
        <v>1408</v>
      </c>
      <c r="O4044" s="4" t="s">
        <v>6257</v>
      </c>
      <c r="P4044" s="1"/>
      <c r="Q4044" s="4"/>
      <c r="R4044" s="26"/>
      <c r="S4044" s="26"/>
      <c r="T4044" s="26">
        <v>2508012.85</v>
      </c>
      <c r="U4044" s="26">
        <f t="shared" si="2638"/>
        <v>2808974.3920000005</v>
      </c>
      <c r="V4044" s="19" t="s">
        <v>3182</v>
      </c>
      <c r="W4044" s="11">
        <v>2015</v>
      </c>
      <c r="X4044" s="27"/>
    </row>
    <row r="4045" spans="1:24" s="28" customFormat="1" ht="63.75" customHeight="1" x14ac:dyDescent="0.2">
      <c r="A4045" s="1" t="s">
        <v>3061</v>
      </c>
      <c r="B4045" s="15" t="s">
        <v>5277</v>
      </c>
      <c r="C4045" s="4" t="s">
        <v>3639</v>
      </c>
      <c r="D4045" s="4" t="s">
        <v>6275</v>
      </c>
      <c r="E4045" s="4" t="s">
        <v>6276</v>
      </c>
      <c r="F4045" s="4"/>
      <c r="G4045" s="4" t="s">
        <v>1888</v>
      </c>
      <c r="H4045" s="17">
        <v>1</v>
      </c>
      <c r="I4045" s="18">
        <v>710000000</v>
      </c>
      <c r="J4045" s="4" t="s">
        <v>1931</v>
      </c>
      <c r="K4045" s="4" t="s">
        <v>1696</v>
      </c>
      <c r="L4045" s="4" t="s">
        <v>2985</v>
      </c>
      <c r="M4045" s="1"/>
      <c r="N4045" s="4" t="s">
        <v>1408</v>
      </c>
      <c r="O4045" s="4" t="s">
        <v>6257</v>
      </c>
      <c r="P4045" s="1"/>
      <c r="Q4045" s="4"/>
      <c r="R4045" s="26"/>
      <c r="S4045" s="26"/>
      <c r="T4045" s="26">
        <v>2819144.82</v>
      </c>
      <c r="U4045" s="26">
        <f t="shared" si="2638"/>
        <v>3157442.1984000001</v>
      </c>
      <c r="V4045" s="19" t="s">
        <v>3182</v>
      </c>
      <c r="W4045" s="11">
        <v>2015</v>
      </c>
      <c r="X4045" s="27"/>
    </row>
    <row r="4046" spans="1:24" s="28" customFormat="1" ht="51" customHeight="1" x14ac:dyDescent="0.2">
      <c r="A4046" s="1" t="s">
        <v>3319</v>
      </c>
      <c r="B4046" s="15" t="s">
        <v>5277</v>
      </c>
      <c r="C4046" s="4" t="s">
        <v>1778</v>
      </c>
      <c r="D4046" s="4" t="s">
        <v>6277</v>
      </c>
      <c r="E4046" s="4" t="s">
        <v>6278</v>
      </c>
      <c r="F4046" s="4"/>
      <c r="G4046" s="4" t="s">
        <v>1888</v>
      </c>
      <c r="H4046" s="17">
        <v>1</v>
      </c>
      <c r="I4046" s="18">
        <v>710000000</v>
      </c>
      <c r="J4046" s="4" t="s">
        <v>1931</v>
      </c>
      <c r="K4046" s="4" t="s">
        <v>1696</v>
      </c>
      <c r="L4046" s="4" t="s">
        <v>2985</v>
      </c>
      <c r="M4046" s="1"/>
      <c r="N4046" s="4" t="s">
        <v>1408</v>
      </c>
      <c r="O4046" s="4" t="s">
        <v>6257</v>
      </c>
      <c r="P4046" s="1"/>
      <c r="Q4046" s="4"/>
      <c r="R4046" s="26"/>
      <c r="S4046" s="26"/>
      <c r="T4046" s="26">
        <v>935842.33</v>
      </c>
      <c r="U4046" s="26">
        <f t="shared" si="2638"/>
        <v>1048143.4096</v>
      </c>
      <c r="V4046" s="19" t="s">
        <v>3182</v>
      </c>
      <c r="W4046" s="11">
        <v>2015</v>
      </c>
      <c r="X4046" s="27"/>
    </row>
    <row r="4047" spans="1:24" s="28" customFormat="1" ht="76.5" customHeight="1" x14ac:dyDescent="0.2">
      <c r="A4047" s="1" t="s">
        <v>3320</v>
      </c>
      <c r="B4047" s="24" t="s">
        <v>5277</v>
      </c>
      <c r="C4047" s="4" t="s">
        <v>3638</v>
      </c>
      <c r="D4047" s="4" t="s">
        <v>6273</v>
      </c>
      <c r="E4047" s="4" t="s">
        <v>6274</v>
      </c>
      <c r="F4047" s="4"/>
      <c r="G4047" s="4" t="s">
        <v>1888</v>
      </c>
      <c r="H4047" s="17">
        <v>1</v>
      </c>
      <c r="I4047" s="18">
        <v>710000000</v>
      </c>
      <c r="J4047" s="4" t="s">
        <v>1931</v>
      </c>
      <c r="K4047" s="4" t="s">
        <v>1696</v>
      </c>
      <c r="L4047" s="7" t="s">
        <v>1409</v>
      </c>
      <c r="M4047" s="1"/>
      <c r="N4047" s="4" t="s">
        <v>1408</v>
      </c>
      <c r="O4047" s="4" t="s">
        <v>6257</v>
      </c>
      <c r="P4047" s="1"/>
      <c r="Q4047" s="4"/>
      <c r="R4047" s="26"/>
      <c r="S4047" s="26"/>
      <c r="T4047" s="26">
        <v>0</v>
      </c>
      <c r="U4047" s="26">
        <v>0</v>
      </c>
      <c r="V4047" s="11" t="s">
        <v>3182</v>
      </c>
      <c r="W4047" s="11">
        <v>2015</v>
      </c>
      <c r="X4047" s="27" t="s">
        <v>7006</v>
      </c>
    </row>
    <row r="4048" spans="1:24" s="28" customFormat="1" ht="76.5" customHeight="1" x14ac:dyDescent="0.2">
      <c r="A4048" s="1" t="s">
        <v>7301</v>
      </c>
      <c r="B4048" s="24" t="s">
        <v>5277</v>
      </c>
      <c r="C4048" s="4" t="s">
        <v>3638</v>
      </c>
      <c r="D4048" s="4" t="s">
        <v>6273</v>
      </c>
      <c r="E4048" s="4" t="s">
        <v>6274</v>
      </c>
      <c r="F4048" s="4"/>
      <c r="G4048" s="4" t="s">
        <v>1888</v>
      </c>
      <c r="H4048" s="17">
        <v>1</v>
      </c>
      <c r="I4048" s="18">
        <v>710000000</v>
      </c>
      <c r="J4048" s="4" t="s">
        <v>1931</v>
      </c>
      <c r="K4048" s="4" t="s">
        <v>7146</v>
      </c>
      <c r="L4048" s="7" t="s">
        <v>1409</v>
      </c>
      <c r="M4048" s="1"/>
      <c r="N4048" s="4" t="s">
        <v>1408</v>
      </c>
      <c r="O4048" s="4" t="s">
        <v>6257</v>
      </c>
      <c r="P4048" s="1"/>
      <c r="Q4048" s="4"/>
      <c r="R4048" s="26"/>
      <c r="S4048" s="26"/>
      <c r="T4048" s="26">
        <v>179727</v>
      </c>
      <c r="U4048" s="26">
        <v>201294.24000000002</v>
      </c>
      <c r="V4048" s="11" t="s">
        <v>3182</v>
      </c>
      <c r="W4048" s="11">
        <v>2015</v>
      </c>
      <c r="X4048" s="27"/>
    </row>
    <row r="4049" spans="1:24" s="28" customFormat="1" ht="63.75" customHeight="1" x14ac:dyDescent="0.2">
      <c r="A4049" s="1" t="s">
        <v>3321</v>
      </c>
      <c r="B4049" s="24" t="s">
        <v>5277</v>
      </c>
      <c r="C4049" s="4" t="s">
        <v>3639</v>
      </c>
      <c r="D4049" s="4" t="s">
        <v>6275</v>
      </c>
      <c r="E4049" s="4" t="s">
        <v>6276</v>
      </c>
      <c r="F4049" s="4"/>
      <c r="G4049" s="4" t="s">
        <v>1888</v>
      </c>
      <c r="H4049" s="17">
        <v>1</v>
      </c>
      <c r="I4049" s="18">
        <v>710000000</v>
      </c>
      <c r="J4049" s="4" t="s">
        <v>1931</v>
      </c>
      <c r="K4049" s="4" t="s">
        <v>1696</v>
      </c>
      <c r="L4049" s="7" t="s">
        <v>1409</v>
      </c>
      <c r="M4049" s="1"/>
      <c r="N4049" s="4" t="s">
        <v>1408</v>
      </c>
      <c r="O4049" s="4" t="s">
        <v>6257</v>
      </c>
      <c r="P4049" s="1"/>
      <c r="Q4049" s="4"/>
      <c r="R4049" s="26"/>
      <c r="S4049" s="26"/>
      <c r="T4049" s="26">
        <v>0</v>
      </c>
      <c r="U4049" s="26">
        <f t="shared" si="2638"/>
        <v>0</v>
      </c>
      <c r="V4049" s="11" t="s">
        <v>3182</v>
      </c>
      <c r="W4049" s="11">
        <v>2015</v>
      </c>
      <c r="X4049" s="27" t="s">
        <v>7006</v>
      </c>
    </row>
    <row r="4050" spans="1:24" s="28" customFormat="1" ht="63.75" customHeight="1" x14ac:dyDescent="0.2">
      <c r="A4050" s="1" t="s">
        <v>7302</v>
      </c>
      <c r="B4050" s="24" t="s">
        <v>5277</v>
      </c>
      <c r="C4050" s="4" t="s">
        <v>3639</v>
      </c>
      <c r="D4050" s="4" t="s">
        <v>6275</v>
      </c>
      <c r="E4050" s="4" t="s">
        <v>6276</v>
      </c>
      <c r="F4050" s="4"/>
      <c r="G4050" s="4" t="s">
        <v>1888</v>
      </c>
      <c r="H4050" s="17">
        <v>1</v>
      </c>
      <c r="I4050" s="18">
        <v>710000000</v>
      </c>
      <c r="J4050" s="4" t="s">
        <v>1931</v>
      </c>
      <c r="K4050" s="4" t="s">
        <v>7146</v>
      </c>
      <c r="L4050" s="7" t="s">
        <v>1409</v>
      </c>
      <c r="M4050" s="1"/>
      <c r="N4050" s="4" t="s">
        <v>1408</v>
      </c>
      <c r="O4050" s="4" t="s">
        <v>6257</v>
      </c>
      <c r="P4050" s="1"/>
      <c r="Q4050" s="4"/>
      <c r="R4050" s="26"/>
      <c r="S4050" s="26"/>
      <c r="T4050" s="26">
        <v>583303</v>
      </c>
      <c r="U4050" s="26">
        <v>653299.3600000001</v>
      </c>
      <c r="V4050" s="11" t="s">
        <v>3182</v>
      </c>
      <c r="W4050" s="11">
        <v>2015</v>
      </c>
      <c r="X4050" s="27"/>
    </row>
    <row r="4051" spans="1:24" s="28" customFormat="1" ht="51" customHeight="1" x14ac:dyDescent="0.2">
      <c r="A4051" s="1" t="s">
        <v>3322</v>
      </c>
      <c r="B4051" s="24" t="s">
        <v>5277</v>
      </c>
      <c r="C4051" s="4" t="s">
        <v>1778</v>
      </c>
      <c r="D4051" s="4" t="s">
        <v>6277</v>
      </c>
      <c r="E4051" s="4" t="s">
        <v>6278</v>
      </c>
      <c r="F4051" s="4"/>
      <c r="G4051" s="4" t="s">
        <v>1888</v>
      </c>
      <c r="H4051" s="17">
        <v>1</v>
      </c>
      <c r="I4051" s="18">
        <v>710000000</v>
      </c>
      <c r="J4051" s="4" t="s">
        <v>1931</v>
      </c>
      <c r="K4051" s="4" t="s">
        <v>1696</v>
      </c>
      <c r="L4051" s="7" t="s">
        <v>1356</v>
      </c>
      <c r="M4051" s="1"/>
      <c r="N4051" s="4" t="s">
        <v>1408</v>
      </c>
      <c r="O4051" s="4" t="s">
        <v>6257</v>
      </c>
      <c r="P4051" s="1"/>
      <c r="Q4051" s="4"/>
      <c r="R4051" s="26"/>
      <c r="S4051" s="26"/>
      <c r="T4051" s="26">
        <v>1289034</v>
      </c>
      <c r="U4051" s="26">
        <f t="shared" si="2638"/>
        <v>1443718.08</v>
      </c>
      <c r="V4051" s="11" t="s">
        <v>3182</v>
      </c>
      <c r="W4051" s="11">
        <v>2015</v>
      </c>
      <c r="X4051" s="27"/>
    </row>
    <row r="4052" spans="1:24" s="28" customFormat="1" ht="76.5" customHeight="1" x14ac:dyDescent="0.2">
      <c r="A4052" s="1" t="s">
        <v>3323</v>
      </c>
      <c r="B4052" s="15" t="s">
        <v>5277</v>
      </c>
      <c r="C4052" s="4" t="s">
        <v>3638</v>
      </c>
      <c r="D4052" s="4" t="s">
        <v>6273</v>
      </c>
      <c r="E4052" s="4" t="s">
        <v>6274</v>
      </c>
      <c r="F4052" s="4"/>
      <c r="G4052" s="4" t="s">
        <v>1888</v>
      </c>
      <c r="H4052" s="17">
        <v>1</v>
      </c>
      <c r="I4052" s="18">
        <v>710000000</v>
      </c>
      <c r="J4052" s="4" t="s">
        <v>1931</v>
      </c>
      <c r="K4052" s="4" t="s">
        <v>1696</v>
      </c>
      <c r="L4052" s="7" t="s">
        <v>1356</v>
      </c>
      <c r="M4052" s="1"/>
      <c r="N4052" s="4" t="s">
        <v>1408</v>
      </c>
      <c r="O4052" s="4" t="s">
        <v>6257</v>
      </c>
      <c r="P4052" s="1"/>
      <c r="Q4052" s="4"/>
      <c r="R4052" s="26"/>
      <c r="S4052" s="26"/>
      <c r="T4052" s="26">
        <v>1289034</v>
      </c>
      <c r="U4052" s="26">
        <f t="shared" si="2638"/>
        <v>1443718.08</v>
      </c>
      <c r="V4052" s="19" t="s">
        <v>3182</v>
      </c>
      <c r="W4052" s="11">
        <v>2015</v>
      </c>
      <c r="X4052" s="27"/>
    </row>
    <row r="4053" spans="1:24" s="28" customFormat="1" ht="63.75" customHeight="1" x14ac:dyDescent="0.2">
      <c r="A4053" s="1" t="s">
        <v>3520</v>
      </c>
      <c r="B4053" s="15" t="s">
        <v>5277</v>
      </c>
      <c r="C4053" s="4" t="s">
        <v>3639</v>
      </c>
      <c r="D4053" s="4" t="s">
        <v>6275</v>
      </c>
      <c r="E4053" s="4" t="s">
        <v>6276</v>
      </c>
      <c r="F4053" s="4"/>
      <c r="G4053" s="4" t="s">
        <v>1888</v>
      </c>
      <c r="H4053" s="17">
        <v>1</v>
      </c>
      <c r="I4053" s="18">
        <v>710000000</v>
      </c>
      <c r="J4053" s="4" t="s">
        <v>1931</v>
      </c>
      <c r="K4053" s="4" t="s">
        <v>1696</v>
      </c>
      <c r="L4053" s="7" t="s">
        <v>1356</v>
      </c>
      <c r="M4053" s="1"/>
      <c r="N4053" s="4" t="s">
        <v>1408</v>
      </c>
      <c r="O4053" s="4" t="s">
        <v>6257</v>
      </c>
      <c r="P4053" s="1"/>
      <c r="Q4053" s="4"/>
      <c r="R4053" s="26"/>
      <c r="S4053" s="26"/>
      <c r="T4053" s="26">
        <v>340000</v>
      </c>
      <c r="U4053" s="26">
        <f t="shared" si="2638"/>
        <v>380800.00000000006</v>
      </c>
      <c r="V4053" s="19" t="s">
        <v>3182</v>
      </c>
      <c r="W4053" s="11">
        <v>2015</v>
      </c>
      <c r="X4053" s="27"/>
    </row>
    <row r="4054" spans="1:24" s="28" customFormat="1" ht="76.5" customHeight="1" x14ac:dyDescent="0.2">
      <c r="A4054" s="1" t="s">
        <v>3521</v>
      </c>
      <c r="B4054" s="15" t="s">
        <v>5277</v>
      </c>
      <c r="C4054" s="4" t="s">
        <v>3638</v>
      </c>
      <c r="D4054" s="4" t="s">
        <v>6273</v>
      </c>
      <c r="E4054" s="4" t="s">
        <v>6274</v>
      </c>
      <c r="F4054" s="4"/>
      <c r="G4054" s="4" t="s">
        <v>1888</v>
      </c>
      <c r="H4054" s="17">
        <v>1</v>
      </c>
      <c r="I4054" s="18">
        <v>710000000</v>
      </c>
      <c r="J4054" s="4" t="s">
        <v>1931</v>
      </c>
      <c r="K4054" s="4" t="s">
        <v>1696</v>
      </c>
      <c r="L4054" s="4" t="s">
        <v>5689</v>
      </c>
      <c r="M4054" s="1"/>
      <c r="N4054" s="4" t="s">
        <v>1408</v>
      </c>
      <c r="O4054" s="4" t="s">
        <v>6257</v>
      </c>
      <c r="P4054" s="1"/>
      <c r="Q4054" s="4"/>
      <c r="R4054" s="26"/>
      <c r="S4054" s="26"/>
      <c r="T4054" s="26">
        <v>0</v>
      </c>
      <c r="U4054" s="26">
        <f t="shared" si="2638"/>
        <v>0</v>
      </c>
      <c r="V4054" s="19" t="s">
        <v>3182</v>
      </c>
      <c r="W4054" s="11">
        <v>2015</v>
      </c>
      <c r="X4054" s="27" t="s">
        <v>7006</v>
      </c>
    </row>
    <row r="4055" spans="1:24" s="28" customFormat="1" ht="76.5" customHeight="1" x14ac:dyDescent="0.2">
      <c r="A4055" s="1" t="s">
        <v>7303</v>
      </c>
      <c r="B4055" s="15" t="s">
        <v>5277</v>
      </c>
      <c r="C4055" s="4" t="s">
        <v>3638</v>
      </c>
      <c r="D4055" s="4" t="s">
        <v>6273</v>
      </c>
      <c r="E4055" s="4" t="s">
        <v>6274</v>
      </c>
      <c r="F4055" s="4"/>
      <c r="G4055" s="4" t="s">
        <v>1888</v>
      </c>
      <c r="H4055" s="17">
        <v>1</v>
      </c>
      <c r="I4055" s="18">
        <v>710000000</v>
      </c>
      <c r="J4055" s="4" t="s">
        <v>1931</v>
      </c>
      <c r="K4055" s="4" t="s">
        <v>7146</v>
      </c>
      <c r="L4055" s="4" t="s">
        <v>5689</v>
      </c>
      <c r="M4055" s="1"/>
      <c r="N4055" s="4" t="s">
        <v>1408</v>
      </c>
      <c r="O4055" s="4" t="s">
        <v>6257</v>
      </c>
      <c r="P4055" s="1"/>
      <c r="Q4055" s="4"/>
      <c r="R4055" s="26"/>
      <c r="S4055" s="26"/>
      <c r="T4055" s="26">
        <v>300000</v>
      </c>
      <c r="U4055" s="26">
        <f t="shared" ref="U4055" si="2655">T4055*1.12</f>
        <v>336000.00000000006</v>
      </c>
      <c r="V4055" s="19" t="s">
        <v>3182</v>
      </c>
      <c r="W4055" s="11">
        <v>2015</v>
      </c>
      <c r="X4055" s="27"/>
    </row>
    <row r="4056" spans="1:24" s="28" customFormat="1" ht="63.75" customHeight="1" x14ac:dyDescent="0.2">
      <c r="A4056" s="1" t="s">
        <v>3522</v>
      </c>
      <c r="B4056" s="15" t="s">
        <v>5277</v>
      </c>
      <c r="C4056" s="4" t="s">
        <v>3639</v>
      </c>
      <c r="D4056" s="4" t="s">
        <v>6275</v>
      </c>
      <c r="E4056" s="4" t="s">
        <v>6276</v>
      </c>
      <c r="F4056" s="4"/>
      <c r="G4056" s="4" t="s">
        <v>1888</v>
      </c>
      <c r="H4056" s="17">
        <v>1</v>
      </c>
      <c r="I4056" s="18">
        <v>710000000</v>
      </c>
      <c r="J4056" s="4" t="s">
        <v>1931</v>
      </c>
      <c r="K4056" s="4" t="s">
        <v>1696</v>
      </c>
      <c r="L4056" s="4" t="s">
        <v>5689</v>
      </c>
      <c r="M4056" s="1"/>
      <c r="N4056" s="4" t="s">
        <v>1408</v>
      </c>
      <c r="O4056" s="4" t="s">
        <v>6257</v>
      </c>
      <c r="P4056" s="1"/>
      <c r="Q4056" s="4"/>
      <c r="R4056" s="26"/>
      <c r="S4056" s="26"/>
      <c r="T4056" s="26">
        <v>0</v>
      </c>
      <c r="U4056" s="26">
        <f t="shared" si="2638"/>
        <v>0</v>
      </c>
      <c r="V4056" s="19" t="s">
        <v>3182</v>
      </c>
      <c r="W4056" s="11">
        <v>2015</v>
      </c>
      <c r="X4056" s="27" t="s">
        <v>7006</v>
      </c>
    </row>
    <row r="4057" spans="1:24" s="28" customFormat="1" ht="63.75" customHeight="1" x14ac:dyDescent="0.2">
      <c r="A4057" s="1" t="s">
        <v>7304</v>
      </c>
      <c r="B4057" s="15" t="s">
        <v>5277</v>
      </c>
      <c r="C4057" s="4" t="s">
        <v>3639</v>
      </c>
      <c r="D4057" s="4" t="s">
        <v>6275</v>
      </c>
      <c r="E4057" s="4" t="s">
        <v>6276</v>
      </c>
      <c r="F4057" s="4"/>
      <c r="G4057" s="4" t="s">
        <v>1888</v>
      </c>
      <c r="H4057" s="17">
        <v>1</v>
      </c>
      <c r="I4057" s="18">
        <v>710000000</v>
      </c>
      <c r="J4057" s="4" t="s">
        <v>1931</v>
      </c>
      <c r="K4057" s="4" t="s">
        <v>7146</v>
      </c>
      <c r="L4057" s="4" t="s">
        <v>5689</v>
      </c>
      <c r="M4057" s="1"/>
      <c r="N4057" s="4" t="s">
        <v>1408</v>
      </c>
      <c r="O4057" s="4" t="s">
        <v>6257</v>
      </c>
      <c r="P4057" s="1"/>
      <c r="Q4057" s="4"/>
      <c r="R4057" s="26"/>
      <c r="S4057" s="26"/>
      <c r="T4057" s="26">
        <v>300000</v>
      </c>
      <c r="U4057" s="26">
        <f t="shared" ref="U4057" si="2656">T4057*1.12</f>
        <v>336000.00000000006</v>
      </c>
      <c r="V4057" s="19" t="s">
        <v>3182</v>
      </c>
      <c r="W4057" s="11">
        <v>2015</v>
      </c>
      <c r="X4057" s="27"/>
    </row>
    <row r="4058" spans="1:24" s="28" customFormat="1" ht="51" customHeight="1" x14ac:dyDescent="0.2">
      <c r="A4058" s="1" t="s">
        <v>3523</v>
      </c>
      <c r="B4058" s="15" t="s">
        <v>5277</v>
      </c>
      <c r="C4058" s="4" t="s">
        <v>1778</v>
      </c>
      <c r="D4058" s="4" t="s">
        <v>6277</v>
      </c>
      <c r="E4058" s="4" t="s">
        <v>6278</v>
      </c>
      <c r="F4058" s="4"/>
      <c r="G4058" s="4" t="s">
        <v>1888</v>
      </c>
      <c r="H4058" s="17">
        <v>1</v>
      </c>
      <c r="I4058" s="18">
        <v>710000000</v>
      </c>
      <c r="J4058" s="4" t="s">
        <v>1931</v>
      </c>
      <c r="K4058" s="4" t="s">
        <v>1696</v>
      </c>
      <c r="L4058" s="4" t="s">
        <v>5689</v>
      </c>
      <c r="M4058" s="1"/>
      <c r="N4058" s="4" t="s">
        <v>1408</v>
      </c>
      <c r="O4058" s="4" t="s">
        <v>6257</v>
      </c>
      <c r="P4058" s="1"/>
      <c r="Q4058" s="4"/>
      <c r="R4058" s="26"/>
      <c r="S4058" s="26"/>
      <c r="T4058" s="26">
        <v>0</v>
      </c>
      <c r="U4058" s="26">
        <f>T4058*1.12</f>
        <v>0</v>
      </c>
      <c r="V4058" s="19" t="s">
        <v>3182</v>
      </c>
      <c r="W4058" s="11">
        <v>2015</v>
      </c>
      <c r="X4058" s="27" t="s">
        <v>7006</v>
      </c>
    </row>
    <row r="4059" spans="1:24" s="28" customFormat="1" ht="51" customHeight="1" x14ac:dyDescent="0.2">
      <c r="A4059" s="1" t="s">
        <v>7305</v>
      </c>
      <c r="B4059" s="15" t="s">
        <v>5277</v>
      </c>
      <c r="C4059" s="4" t="s">
        <v>1778</v>
      </c>
      <c r="D4059" s="4" t="s">
        <v>6277</v>
      </c>
      <c r="E4059" s="4" t="s">
        <v>6278</v>
      </c>
      <c r="F4059" s="4"/>
      <c r="G4059" s="4" t="s">
        <v>1888</v>
      </c>
      <c r="H4059" s="17">
        <v>1</v>
      </c>
      <c r="I4059" s="18">
        <v>710000000</v>
      </c>
      <c r="J4059" s="4" t="s">
        <v>1931</v>
      </c>
      <c r="K4059" s="4" t="s">
        <v>7146</v>
      </c>
      <c r="L4059" s="4" t="s">
        <v>5689</v>
      </c>
      <c r="M4059" s="1"/>
      <c r="N4059" s="4" t="s">
        <v>1408</v>
      </c>
      <c r="O4059" s="4" t="s">
        <v>6257</v>
      </c>
      <c r="P4059" s="1"/>
      <c r="Q4059" s="4"/>
      <c r="R4059" s="26"/>
      <c r="S4059" s="26"/>
      <c r="T4059" s="26">
        <v>290240</v>
      </c>
      <c r="U4059" s="26">
        <f>T4059*1.12</f>
        <v>325068.80000000005</v>
      </c>
      <c r="V4059" s="19" t="s">
        <v>3182</v>
      </c>
      <c r="W4059" s="11">
        <v>2015</v>
      </c>
      <c r="X4059" s="27"/>
    </row>
    <row r="4060" spans="1:24" s="28" customFormat="1" ht="63.75" customHeight="1" x14ac:dyDescent="0.2">
      <c r="A4060" s="1" t="s">
        <v>3524</v>
      </c>
      <c r="B4060" s="15" t="s">
        <v>5277</v>
      </c>
      <c r="C4060" s="4" t="s">
        <v>3387</v>
      </c>
      <c r="D4060" s="4" t="s">
        <v>6259</v>
      </c>
      <c r="E4060" s="4" t="s">
        <v>6259</v>
      </c>
      <c r="F4060" s="4"/>
      <c r="G4060" s="1" t="s">
        <v>3190</v>
      </c>
      <c r="H4060" s="17">
        <v>1</v>
      </c>
      <c r="I4060" s="18">
        <v>710000000</v>
      </c>
      <c r="J4060" s="4" t="s">
        <v>1931</v>
      </c>
      <c r="K4060" s="4" t="s">
        <v>5282</v>
      </c>
      <c r="L4060" s="7" t="s">
        <v>1027</v>
      </c>
      <c r="M4060" s="1"/>
      <c r="N4060" s="4" t="s">
        <v>1408</v>
      </c>
      <c r="O4060" s="4" t="s">
        <v>6257</v>
      </c>
      <c r="P4060" s="1"/>
      <c r="Q4060" s="4"/>
      <c r="R4060" s="26"/>
      <c r="S4060" s="26"/>
      <c r="T4060" s="26">
        <v>9843441.4100000001</v>
      </c>
      <c r="U4060" s="26">
        <f>T4060*1.12</f>
        <v>11024654.3792</v>
      </c>
      <c r="V4060" s="11" t="s">
        <v>3182</v>
      </c>
      <c r="W4060" s="11">
        <v>2015</v>
      </c>
      <c r="X4060" s="27"/>
    </row>
    <row r="4061" spans="1:24" s="28" customFormat="1" ht="38.25" customHeight="1" x14ac:dyDescent="0.2">
      <c r="A4061" s="1" t="s">
        <v>3525</v>
      </c>
      <c r="B4061" s="15" t="s">
        <v>5277</v>
      </c>
      <c r="C4061" s="4" t="s">
        <v>3631</v>
      </c>
      <c r="D4061" s="4" t="s">
        <v>6258</v>
      </c>
      <c r="E4061" s="4" t="s">
        <v>6258</v>
      </c>
      <c r="F4061" s="4"/>
      <c r="G4061" s="1" t="s">
        <v>3190</v>
      </c>
      <c r="H4061" s="17">
        <v>1</v>
      </c>
      <c r="I4061" s="18">
        <v>710000000</v>
      </c>
      <c r="J4061" s="4" t="s">
        <v>1931</v>
      </c>
      <c r="K4061" s="4" t="s">
        <v>5282</v>
      </c>
      <c r="L4061" s="4" t="s">
        <v>2985</v>
      </c>
      <c r="M4061" s="1"/>
      <c r="N4061" s="4" t="s">
        <v>1408</v>
      </c>
      <c r="O4061" s="4" t="s">
        <v>6257</v>
      </c>
      <c r="P4061" s="1"/>
      <c r="Q4061" s="4"/>
      <c r="R4061" s="26"/>
      <c r="S4061" s="26"/>
      <c r="T4061" s="26">
        <v>15926000</v>
      </c>
      <c r="U4061" s="26">
        <f>T4061*1.12</f>
        <v>17837120</v>
      </c>
      <c r="V4061" s="11" t="s">
        <v>3182</v>
      </c>
      <c r="W4061" s="11">
        <v>2015</v>
      </c>
      <c r="X4061" s="27"/>
    </row>
    <row r="4062" spans="1:24" s="28" customFormat="1" ht="38.25" customHeight="1" x14ac:dyDescent="0.2">
      <c r="A4062" s="1" t="s">
        <v>3526</v>
      </c>
      <c r="B4062" s="15" t="s">
        <v>5277</v>
      </c>
      <c r="C4062" s="4" t="s">
        <v>3631</v>
      </c>
      <c r="D4062" s="4" t="s">
        <v>6258</v>
      </c>
      <c r="E4062" s="4" t="s">
        <v>6258</v>
      </c>
      <c r="F4062" s="4"/>
      <c r="G4062" s="1" t="s">
        <v>3190</v>
      </c>
      <c r="H4062" s="17">
        <v>1</v>
      </c>
      <c r="I4062" s="18">
        <v>710000000</v>
      </c>
      <c r="J4062" s="4" t="s">
        <v>1931</v>
      </c>
      <c r="K4062" s="4" t="s">
        <v>5282</v>
      </c>
      <c r="L4062" s="7" t="s">
        <v>3040</v>
      </c>
      <c r="M4062" s="1"/>
      <c r="N4062" s="4" t="s">
        <v>1408</v>
      </c>
      <c r="O4062" s="4" t="s">
        <v>6257</v>
      </c>
      <c r="P4062" s="1"/>
      <c r="Q4062" s="4"/>
      <c r="R4062" s="26"/>
      <c r="S4062" s="26"/>
      <c r="T4062" s="26">
        <v>0</v>
      </c>
      <c r="U4062" s="26">
        <f t="shared" ref="U4062:U4139" si="2657">T4062*1.12</f>
        <v>0</v>
      </c>
      <c r="V4062" s="11" t="s">
        <v>3182</v>
      </c>
      <c r="W4062" s="11">
        <v>2015</v>
      </c>
      <c r="X4062" s="27" t="s">
        <v>6565</v>
      </c>
    </row>
    <row r="4063" spans="1:24" s="28" customFormat="1" ht="51" customHeight="1" x14ac:dyDescent="0.2">
      <c r="A4063" s="1" t="s">
        <v>3527</v>
      </c>
      <c r="B4063" s="15" t="s">
        <v>5277</v>
      </c>
      <c r="C4063" s="4" t="s">
        <v>3631</v>
      </c>
      <c r="D4063" s="4" t="s">
        <v>6258</v>
      </c>
      <c r="E4063" s="4" t="s">
        <v>6258</v>
      </c>
      <c r="F4063" s="4"/>
      <c r="G4063" s="1" t="s">
        <v>3190</v>
      </c>
      <c r="H4063" s="17">
        <v>1</v>
      </c>
      <c r="I4063" s="18">
        <v>710000000</v>
      </c>
      <c r="J4063" s="4" t="s">
        <v>1931</v>
      </c>
      <c r="K4063" s="4" t="s">
        <v>5282</v>
      </c>
      <c r="L4063" s="7" t="s">
        <v>1027</v>
      </c>
      <c r="M4063" s="1"/>
      <c r="N4063" s="4" t="s">
        <v>1408</v>
      </c>
      <c r="O4063" s="4" t="s">
        <v>6257</v>
      </c>
      <c r="P4063" s="1"/>
      <c r="Q4063" s="4"/>
      <c r="R4063" s="26"/>
      <c r="S4063" s="26"/>
      <c r="T4063" s="26">
        <v>3450881.03</v>
      </c>
      <c r="U4063" s="26">
        <f>T4063*1.12</f>
        <v>3864986.7535999999</v>
      </c>
      <c r="V4063" s="11" t="s">
        <v>3182</v>
      </c>
      <c r="W4063" s="11">
        <v>2015</v>
      </c>
      <c r="X4063" s="27"/>
    </row>
    <row r="4064" spans="1:24" s="28" customFormat="1" ht="38.25" customHeight="1" x14ac:dyDescent="0.2">
      <c r="A4064" s="1" t="s">
        <v>3528</v>
      </c>
      <c r="B4064" s="15" t="s">
        <v>5277</v>
      </c>
      <c r="C4064" s="4" t="s">
        <v>3631</v>
      </c>
      <c r="D4064" s="4" t="s">
        <v>6258</v>
      </c>
      <c r="E4064" s="4" t="s">
        <v>6258</v>
      </c>
      <c r="F4064" s="4"/>
      <c r="G4064" s="1" t="s">
        <v>3190</v>
      </c>
      <c r="H4064" s="17">
        <v>1</v>
      </c>
      <c r="I4064" s="18">
        <v>710000000</v>
      </c>
      <c r="J4064" s="4" t="s">
        <v>1931</v>
      </c>
      <c r="K4064" s="4" t="s">
        <v>5282</v>
      </c>
      <c r="L4064" s="4" t="s">
        <v>5689</v>
      </c>
      <c r="M4064" s="1"/>
      <c r="N4064" s="4" t="s">
        <v>1408</v>
      </c>
      <c r="O4064" s="4" t="s">
        <v>6257</v>
      </c>
      <c r="P4064" s="1"/>
      <c r="Q4064" s="4"/>
      <c r="R4064" s="26"/>
      <c r="S4064" s="26"/>
      <c r="T4064" s="26">
        <v>1016961</v>
      </c>
      <c r="U4064" s="26">
        <f>T4064*1.12</f>
        <v>1138996.32</v>
      </c>
      <c r="V4064" s="11" t="s">
        <v>3182</v>
      </c>
      <c r="W4064" s="11">
        <v>2015</v>
      </c>
      <c r="X4064" s="27"/>
    </row>
    <row r="4065" spans="1:24" s="28" customFormat="1" ht="38.25" customHeight="1" x14ac:dyDescent="0.2">
      <c r="A4065" s="1" t="s">
        <v>3529</v>
      </c>
      <c r="B4065" s="15" t="s">
        <v>5277</v>
      </c>
      <c r="C4065" s="4" t="s">
        <v>3632</v>
      </c>
      <c r="D4065" s="4" t="s">
        <v>6260</v>
      </c>
      <c r="E4065" s="4" t="s">
        <v>6261</v>
      </c>
      <c r="F4065" s="4"/>
      <c r="G4065" s="1" t="s">
        <v>3190</v>
      </c>
      <c r="H4065" s="17">
        <v>1</v>
      </c>
      <c r="I4065" s="18">
        <v>710000000</v>
      </c>
      <c r="J4065" s="4" t="s">
        <v>1931</v>
      </c>
      <c r="K4065" s="4" t="s">
        <v>5297</v>
      </c>
      <c r="L4065" s="4" t="s">
        <v>5689</v>
      </c>
      <c r="M4065" s="1"/>
      <c r="N4065" s="4" t="s">
        <v>1408</v>
      </c>
      <c r="O4065" s="4" t="s">
        <v>6257</v>
      </c>
      <c r="P4065" s="1"/>
      <c r="Q4065" s="4"/>
      <c r="R4065" s="26"/>
      <c r="S4065" s="26"/>
      <c r="T4065" s="26">
        <v>288365</v>
      </c>
      <c r="U4065" s="26">
        <f>T4065*1.12</f>
        <v>322968.80000000005</v>
      </c>
      <c r="V4065" s="11" t="s">
        <v>3182</v>
      </c>
      <c r="W4065" s="11">
        <v>2015</v>
      </c>
      <c r="X4065" s="27"/>
    </row>
    <row r="4066" spans="1:24" s="28" customFormat="1" ht="89.25" customHeight="1" x14ac:dyDescent="0.2">
      <c r="A4066" s="1" t="s">
        <v>3530</v>
      </c>
      <c r="B4066" s="15" t="s">
        <v>5277</v>
      </c>
      <c r="C4066" s="4" t="s">
        <v>3708</v>
      </c>
      <c r="D4066" s="4" t="s">
        <v>6374</v>
      </c>
      <c r="E4066" s="4" t="s">
        <v>6375</v>
      </c>
      <c r="F4066" s="4"/>
      <c r="G4066" s="1" t="s">
        <v>3190</v>
      </c>
      <c r="H4066" s="17">
        <v>1</v>
      </c>
      <c r="I4066" s="18">
        <v>710000000</v>
      </c>
      <c r="J4066" s="4" t="s">
        <v>1931</v>
      </c>
      <c r="K4066" s="4" t="s">
        <v>5297</v>
      </c>
      <c r="L4066" s="4" t="s">
        <v>5689</v>
      </c>
      <c r="M4066" s="1"/>
      <c r="N4066" s="4" t="s">
        <v>1408</v>
      </c>
      <c r="O4066" s="4" t="s">
        <v>6257</v>
      </c>
      <c r="P4066" s="1"/>
      <c r="Q4066" s="4"/>
      <c r="R4066" s="26"/>
      <c r="S4066" s="26"/>
      <c r="T4066" s="26">
        <v>269200</v>
      </c>
      <c r="U4066" s="26">
        <f>T4066*1.12</f>
        <v>301504</v>
      </c>
      <c r="V4066" s="11" t="s">
        <v>3182</v>
      </c>
      <c r="W4066" s="11">
        <v>2015</v>
      </c>
      <c r="X4066" s="27"/>
    </row>
    <row r="4067" spans="1:24" s="28" customFormat="1" ht="51" customHeight="1" x14ac:dyDescent="0.2">
      <c r="A4067" s="1" t="s">
        <v>3531</v>
      </c>
      <c r="B4067" s="15" t="s">
        <v>5277</v>
      </c>
      <c r="C4067" s="4" t="s">
        <v>1779</v>
      </c>
      <c r="D4067" s="4" t="s">
        <v>1780</v>
      </c>
      <c r="E4067" s="4" t="s">
        <v>1780</v>
      </c>
      <c r="F4067" s="4"/>
      <c r="G4067" s="1" t="s">
        <v>3190</v>
      </c>
      <c r="H4067" s="17">
        <v>1</v>
      </c>
      <c r="I4067" s="18">
        <v>710000000</v>
      </c>
      <c r="J4067" s="4" t="s">
        <v>1931</v>
      </c>
      <c r="K4067" s="4" t="s">
        <v>5297</v>
      </c>
      <c r="L4067" s="7" t="s">
        <v>1708</v>
      </c>
      <c r="M4067" s="1"/>
      <c r="N4067" s="4" t="s">
        <v>1408</v>
      </c>
      <c r="O4067" s="4" t="s">
        <v>6257</v>
      </c>
      <c r="P4067" s="1"/>
      <c r="Q4067" s="4"/>
      <c r="R4067" s="26"/>
      <c r="S4067" s="26"/>
      <c r="T4067" s="26">
        <v>53571</v>
      </c>
      <c r="U4067" s="26">
        <f t="shared" si="2657"/>
        <v>59999.520000000004</v>
      </c>
      <c r="V4067" s="11" t="s">
        <v>3182</v>
      </c>
      <c r="W4067" s="11">
        <v>2015</v>
      </c>
      <c r="X4067" s="27"/>
    </row>
    <row r="4068" spans="1:24" s="28" customFormat="1" ht="63.75" customHeight="1" x14ac:dyDescent="0.2">
      <c r="A4068" s="1" t="s">
        <v>3532</v>
      </c>
      <c r="B4068" s="15" t="s">
        <v>5277</v>
      </c>
      <c r="C4068" s="4" t="s">
        <v>1781</v>
      </c>
      <c r="D4068" s="4" t="s">
        <v>1782</v>
      </c>
      <c r="E4068" s="4" t="s">
        <v>1782</v>
      </c>
      <c r="F4068" s="4"/>
      <c r="G4068" s="4" t="s">
        <v>3190</v>
      </c>
      <c r="H4068" s="17">
        <v>0.5</v>
      </c>
      <c r="I4068" s="18">
        <v>710000000</v>
      </c>
      <c r="J4068" s="4" t="s">
        <v>1931</v>
      </c>
      <c r="K4068" s="4" t="s">
        <v>5297</v>
      </c>
      <c r="L4068" s="7" t="s">
        <v>1027</v>
      </c>
      <c r="M4068" s="1"/>
      <c r="N4068" s="4" t="s">
        <v>1408</v>
      </c>
      <c r="O4068" s="4" t="s">
        <v>6257</v>
      </c>
      <c r="P4068" s="235"/>
      <c r="Q4068" s="236"/>
      <c r="R4068" s="26"/>
      <c r="S4068" s="26"/>
      <c r="T4068" s="26">
        <v>2908080</v>
      </c>
      <c r="U4068" s="26">
        <f t="shared" si="2657"/>
        <v>3257049.6</v>
      </c>
      <c r="V4068" s="11" t="s">
        <v>3182</v>
      </c>
      <c r="W4068" s="11">
        <v>2015</v>
      </c>
      <c r="X4068" s="27"/>
    </row>
    <row r="4069" spans="1:24" s="28" customFormat="1" ht="63.75" customHeight="1" x14ac:dyDescent="0.2">
      <c r="A4069" s="1" t="s">
        <v>3533</v>
      </c>
      <c r="B4069" s="15" t="s">
        <v>5277</v>
      </c>
      <c r="C4069" s="4" t="s">
        <v>1783</v>
      </c>
      <c r="D4069" s="4" t="s">
        <v>725</v>
      </c>
      <c r="E4069" s="4" t="s">
        <v>725</v>
      </c>
      <c r="F4069" s="4" t="s">
        <v>575</v>
      </c>
      <c r="G4069" s="4" t="s">
        <v>3190</v>
      </c>
      <c r="H4069" s="17">
        <v>0.5</v>
      </c>
      <c r="I4069" s="18">
        <v>710000000</v>
      </c>
      <c r="J4069" s="4" t="s">
        <v>1931</v>
      </c>
      <c r="K4069" s="4" t="s">
        <v>5297</v>
      </c>
      <c r="L4069" s="7" t="s">
        <v>1027</v>
      </c>
      <c r="M4069" s="1"/>
      <c r="N4069" s="4" t="s">
        <v>1408</v>
      </c>
      <c r="O4069" s="4" t="s">
        <v>6257</v>
      </c>
      <c r="P4069" s="235"/>
      <c r="Q4069" s="236"/>
      <c r="R4069" s="26"/>
      <c r="S4069" s="26"/>
      <c r="T4069" s="26">
        <v>513600</v>
      </c>
      <c r="U4069" s="26">
        <f>T4069*1.12</f>
        <v>575232</v>
      </c>
      <c r="V4069" s="11" t="s">
        <v>3182</v>
      </c>
      <c r="W4069" s="11">
        <v>2015</v>
      </c>
      <c r="X4069" s="27"/>
    </row>
    <row r="4070" spans="1:24" s="28" customFormat="1" ht="63.75" customHeight="1" x14ac:dyDescent="0.2">
      <c r="A4070" s="1" t="s">
        <v>3534</v>
      </c>
      <c r="B4070" s="15" t="s">
        <v>5277</v>
      </c>
      <c r="C4070" s="4" t="s">
        <v>3633</v>
      </c>
      <c r="D4070" s="4" t="s">
        <v>6262</v>
      </c>
      <c r="E4070" s="4" t="s">
        <v>6263</v>
      </c>
      <c r="F4070" s="4"/>
      <c r="G4070" s="4" t="s">
        <v>3190</v>
      </c>
      <c r="H4070" s="17">
        <v>0.5</v>
      </c>
      <c r="I4070" s="18">
        <v>710000000</v>
      </c>
      <c r="J4070" s="4" t="s">
        <v>1931</v>
      </c>
      <c r="K4070" s="4" t="s">
        <v>5297</v>
      </c>
      <c r="L4070" s="7" t="s">
        <v>1027</v>
      </c>
      <c r="M4070" s="1"/>
      <c r="N4070" s="4" t="s">
        <v>1408</v>
      </c>
      <c r="O4070" s="4" t="s">
        <v>6257</v>
      </c>
      <c r="P4070" s="235"/>
      <c r="Q4070" s="236"/>
      <c r="R4070" s="26"/>
      <c r="S4070" s="26"/>
      <c r="T4070" s="26">
        <v>450000</v>
      </c>
      <c r="U4070" s="26">
        <f t="shared" si="2657"/>
        <v>504000.00000000006</v>
      </c>
      <c r="V4070" s="11" t="s">
        <v>3182</v>
      </c>
      <c r="W4070" s="11">
        <v>2015</v>
      </c>
      <c r="X4070" s="27"/>
    </row>
    <row r="4071" spans="1:24" s="28" customFormat="1" ht="63.75" customHeight="1" x14ac:dyDescent="0.2">
      <c r="A4071" s="1" t="s">
        <v>3535</v>
      </c>
      <c r="B4071" s="15" t="s">
        <v>5277</v>
      </c>
      <c r="C4071" s="4" t="s">
        <v>3633</v>
      </c>
      <c r="D4071" s="4" t="s">
        <v>6262</v>
      </c>
      <c r="E4071" s="4" t="s">
        <v>6263</v>
      </c>
      <c r="F4071" s="4"/>
      <c r="G4071" s="4" t="s">
        <v>3190</v>
      </c>
      <c r="H4071" s="17">
        <v>0.5</v>
      </c>
      <c r="I4071" s="18">
        <v>710000000</v>
      </c>
      <c r="J4071" s="4" t="s">
        <v>1931</v>
      </c>
      <c r="K4071" s="4" t="s">
        <v>5297</v>
      </c>
      <c r="L4071" s="7" t="s">
        <v>2985</v>
      </c>
      <c r="M4071" s="1"/>
      <c r="N4071" s="4" t="s">
        <v>1408</v>
      </c>
      <c r="O4071" s="4" t="s">
        <v>6257</v>
      </c>
      <c r="P4071" s="235"/>
      <c r="Q4071" s="236"/>
      <c r="R4071" s="26"/>
      <c r="S4071" s="26"/>
      <c r="T4071" s="26">
        <v>0</v>
      </c>
      <c r="U4071" s="26">
        <f t="shared" si="2657"/>
        <v>0</v>
      </c>
      <c r="V4071" s="11" t="s">
        <v>3182</v>
      </c>
      <c r="W4071" s="11">
        <v>2015</v>
      </c>
      <c r="X4071" s="27" t="s">
        <v>7312</v>
      </c>
    </row>
    <row r="4072" spans="1:24" s="28" customFormat="1" ht="63.75" customHeight="1" x14ac:dyDescent="0.2">
      <c r="A4072" s="1" t="s">
        <v>10183</v>
      </c>
      <c r="B4072" s="15" t="s">
        <v>5277</v>
      </c>
      <c r="C4072" s="4" t="s">
        <v>3633</v>
      </c>
      <c r="D4072" s="4" t="s">
        <v>6262</v>
      </c>
      <c r="E4072" s="4" t="s">
        <v>6263</v>
      </c>
      <c r="F4072" s="4"/>
      <c r="G4072" s="4" t="s">
        <v>3190</v>
      </c>
      <c r="H4072" s="17">
        <v>0.5</v>
      </c>
      <c r="I4072" s="18">
        <v>710000000</v>
      </c>
      <c r="J4072" s="4" t="s">
        <v>1931</v>
      </c>
      <c r="K4072" s="4" t="s">
        <v>10047</v>
      </c>
      <c r="L4072" s="7" t="s">
        <v>2985</v>
      </c>
      <c r="M4072" s="1"/>
      <c r="N4072" s="4" t="s">
        <v>1408</v>
      </c>
      <c r="O4072" s="4" t="s">
        <v>6257</v>
      </c>
      <c r="P4072" s="235"/>
      <c r="Q4072" s="236"/>
      <c r="R4072" s="26"/>
      <c r="S4072" s="26"/>
      <c r="T4072" s="26">
        <f>1249847.89+98049.73</f>
        <v>1347897.6199999999</v>
      </c>
      <c r="U4072" s="26">
        <f t="shared" ref="U4072" si="2658">T4072*1.12</f>
        <v>1509645.3344000001</v>
      </c>
      <c r="V4072" s="11" t="s">
        <v>3182</v>
      </c>
      <c r="W4072" s="11">
        <v>2015</v>
      </c>
      <c r="X4072" s="27"/>
    </row>
    <row r="4073" spans="1:24" s="28" customFormat="1" ht="51" customHeight="1" x14ac:dyDescent="0.2">
      <c r="A4073" s="1" t="s">
        <v>3536</v>
      </c>
      <c r="B4073" s="15" t="s">
        <v>5277</v>
      </c>
      <c r="C4073" s="4" t="s">
        <v>726</v>
      </c>
      <c r="D4073" s="4" t="s">
        <v>727</v>
      </c>
      <c r="E4073" s="4" t="s">
        <v>727</v>
      </c>
      <c r="F4073" s="4"/>
      <c r="G4073" s="4" t="s">
        <v>3190</v>
      </c>
      <c r="H4073" s="17">
        <v>0.5</v>
      </c>
      <c r="I4073" s="18">
        <v>710000000</v>
      </c>
      <c r="J4073" s="4" t="s">
        <v>1931</v>
      </c>
      <c r="K4073" s="4" t="s">
        <v>5297</v>
      </c>
      <c r="L4073" s="7" t="s">
        <v>2985</v>
      </c>
      <c r="M4073" s="1"/>
      <c r="N4073" s="4" t="s">
        <v>1408</v>
      </c>
      <c r="O4073" s="4" t="s">
        <v>6257</v>
      </c>
      <c r="P4073" s="1"/>
      <c r="Q4073" s="4"/>
      <c r="R4073" s="26"/>
      <c r="S4073" s="26"/>
      <c r="T4073" s="26">
        <v>687857.14</v>
      </c>
      <c r="U4073" s="26">
        <f t="shared" si="2657"/>
        <v>770399.99680000008</v>
      </c>
      <c r="V4073" s="11" t="s">
        <v>3182</v>
      </c>
      <c r="W4073" s="11">
        <v>2015</v>
      </c>
      <c r="X4073" s="27"/>
    </row>
    <row r="4074" spans="1:24" s="28" customFormat="1" ht="38.25" customHeight="1" x14ac:dyDescent="0.2">
      <c r="A4074" s="1" t="s">
        <v>3537</v>
      </c>
      <c r="B4074" s="15" t="s">
        <v>5277</v>
      </c>
      <c r="C4074" s="4" t="s">
        <v>3634</v>
      </c>
      <c r="D4074" s="4" t="s">
        <v>728</v>
      </c>
      <c r="E4074" s="4" t="s">
        <v>729</v>
      </c>
      <c r="F4074" s="4"/>
      <c r="G4074" s="4" t="s">
        <v>3190</v>
      </c>
      <c r="H4074" s="17">
        <v>0.5</v>
      </c>
      <c r="I4074" s="18">
        <v>710000000</v>
      </c>
      <c r="J4074" s="4" t="s">
        <v>1931</v>
      </c>
      <c r="K4074" s="4" t="s">
        <v>5297</v>
      </c>
      <c r="L4074" s="7" t="s">
        <v>2985</v>
      </c>
      <c r="M4074" s="1"/>
      <c r="N4074" s="4" t="s">
        <v>1408</v>
      </c>
      <c r="O4074" s="4" t="s">
        <v>6257</v>
      </c>
      <c r="P4074" s="1"/>
      <c r="Q4074" s="4"/>
      <c r="R4074" s="26"/>
      <c r="S4074" s="26"/>
      <c r="T4074" s="26">
        <v>643821.43000000005</v>
      </c>
      <c r="U4074" s="26">
        <f t="shared" si="2657"/>
        <v>721080.00160000008</v>
      </c>
      <c r="V4074" s="11" t="s">
        <v>3182</v>
      </c>
      <c r="W4074" s="11">
        <v>2015</v>
      </c>
      <c r="X4074" s="27"/>
    </row>
    <row r="4075" spans="1:24" s="28" customFormat="1" ht="38.25" customHeight="1" x14ac:dyDescent="0.2">
      <c r="A4075" s="1" t="s">
        <v>3538</v>
      </c>
      <c r="B4075" s="15" t="s">
        <v>5277</v>
      </c>
      <c r="C4075" s="4" t="s">
        <v>3634</v>
      </c>
      <c r="D4075" s="4" t="s">
        <v>728</v>
      </c>
      <c r="E4075" s="4" t="s">
        <v>729</v>
      </c>
      <c r="F4075" s="4"/>
      <c r="G4075" s="4" t="s">
        <v>3190</v>
      </c>
      <c r="H4075" s="17">
        <v>0.5</v>
      </c>
      <c r="I4075" s="18">
        <v>710000000</v>
      </c>
      <c r="J4075" s="4" t="s">
        <v>1931</v>
      </c>
      <c r="K4075" s="4" t="s">
        <v>5297</v>
      </c>
      <c r="L4075" s="7" t="s">
        <v>1409</v>
      </c>
      <c r="M4075" s="1"/>
      <c r="N4075" s="4" t="s">
        <v>1408</v>
      </c>
      <c r="O4075" s="4" t="s">
        <v>6257</v>
      </c>
      <c r="P4075" s="1"/>
      <c r="Q4075" s="4"/>
      <c r="R4075" s="26"/>
      <c r="S4075" s="26"/>
      <c r="T4075" s="26">
        <v>378321</v>
      </c>
      <c r="U4075" s="26">
        <f t="shared" si="2657"/>
        <v>423719.52</v>
      </c>
      <c r="V4075" s="11" t="s">
        <v>3182</v>
      </c>
      <c r="W4075" s="11">
        <v>2015</v>
      </c>
      <c r="X4075" s="27"/>
    </row>
    <row r="4076" spans="1:24" s="28" customFormat="1" ht="38.25" customHeight="1" x14ac:dyDescent="0.2">
      <c r="A4076" s="1" t="s">
        <v>3539</v>
      </c>
      <c r="B4076" s="24" t="s">
        <v>5277</v>
      </c>
      <c r="C4076" s="4" t="s">
        <v>3389</v>
      </c>
      <c r="D4076" s="4" t="s">
        <v>6343</v>
      </c>
      <c r="E4076" s="4" t="s">
        <v>6311</v>
      </c>
      <c r="F4076" s="4"/>
      <c r="G4076" s="1" t="s">
        <v>1888</v>
      </c>
      <c r="H4076" s="17">
        <v>0.5</v>
      </c>
      <c r="I4076" s="18">
        <v>710000000</v>
      </c>
      <c r="J4076" s="4" t="s">
        <v>1931</v>
      </c>
      <c r="K4076" s="4" t="s">
        <v>5297</v>
      </c>
      <c r="L4076" s="4" t="s">
        <v>2985</v>
      </c>
      <c r="M4076" s="1"/>
      <c r="N4076" s="4" t="s">
        <v>1408</v>
      </c>
      <c r="O4076" s="4" t="s">
        <v>6257</v>
      </c>
      <c r="P4076" s="1"/>
      <c r="Q4076" s="4"/>
      <c r="R4076" s="26"/>
      <c r="S4076" s="26"/>
      <c r="T4076" s="26">
        <v>0</v>
      </c>
      <c r="U4076" s="26">
        <f t="shared" si="2657"/>
        <v>0</v>
      </c>
      <c r="V4076" s="11" t="s">
        <v>3182</v>
      </c>
      <c r="W4076" s="11">
        <v>2015</v>
      </c>
      <c r="X4076" s="1">
        <v>11</v>
      </c>
    </row>
    <row r="4077" spans="1:24" s="28" customFormat="1" ht="38.25" customHeight="1" x14ac:dyDescent="0.2">
      <c r="A4077" s="1" t="s">
        <v>7557</v>
      </c>
      <c r="B4077" s="24" t="s">
        <v>5277</v>
      </c>
      <c r="C4077" s="4" t="s">
        <v>3389</v>
      </c>
      <c r="D4077" s="4" t="s">
        <v>6343</v>
      </c>
      <c r="E4077" s="4" t="s">
        <v>6311</v>
      </c>
      <c r="F4077" s="4"/>
      <c r="G4077" s="1" t="s">
        <v>1888</v>
      </c>
      <c r="H4077" s="17">
        <v>0.5</v>
      </c>
      <c r="I4077" s="18">
        <v>710000000</v>
      </c>
      <c r="J4077" s="4" t="s">
        <v>1931</v>
      </c>
      <c r="K4077" s="4" t="s">
        <v>5292</v>
      </c>
      <c r="L4077" s="4" t="s">
        <v>2985</v>
      </c>
      <c r="M4077" s="1"/>
      <c r="N4077" s="4" t="s">
        <v>1408</v>
      </c>
      <c r="O4077" s="4" t="s">
        <v>6257</v>
      </c>
      <c r="P4077" s="1"/>
      <c r="Q4077" s="4"/>
      <c r="R4077" s="26"/>
      <c r="S4077" s="26"/>
      <c r="T4077" s="26">
        <v>0</v>
      </c>
      <c r="U4077" s="26">
        <f t="shared" ref="U4077" si="2659">T4077*1.12</f>
        <v>0</v>
      </c>
      <c r="V4077" s="11" t="s">
        <v>3182</v>
      </c>
      <c r="W4077" s="11">
        <v>2015</v>
      </c>
      <c r="X4077" s="1" t="s">
        <v>7312</v>
      </c>
    </row>
    <row r="4078" spans="1:24" s="28" customFormat="1" ht="38.25" customHeight="1" x14ac:dyDescent="0.2">
      <c r="A4078" s="1" t="s">
        <v>9507</v>
      </c>
      <c r="B4078" s="24" t="s">
        <v>5277</v>
      </c>
      <c r="C4078" s="4" t="s">
        <v>3389</v>
      </c>
      <c r="D4078" s="4" t="s">
        <v>6343</v>
      </c>
      <c r="E4078" s="4" t="s">
        <v>6311</v>
      </c>
      <c r="F4078" s="4"/>
      <c r="G4078" s="1" t="s">
        <v>1888</v>
      </c>
      <c r="H4078" s="17">
        <v>0.5</v>
      </c>
      <c r="I4078" s="18">
        <v>710000000</v>
      </c>
      <c r="J4078" s="4" t="s">
        <v>1931</v>
      </c>
      <c r="K4078" s="4" t="s">
        <v>9508</v>
      </c>
      <c r="L4078" s="4" t="s">
        <v>2985</v>
      </c>
      <c r="M4078" s="1"/>
      <c r="N4078" s="4" t="s">
        <v>1408</v>
      </c>
      <c r="O4078" s="4" t="s">
        <v>6257</v>
      </c>
      <c r="P4078" s="1"/>
      <c r="Q4078" s="4"/>
      <c r="R4078" s="26"/>
      <c r="S4078" s="26"/>
      <c r="T4078" s="26">
        <f>2693000+38169+38169+210714+2475893+4691000</f>
        <v>10146945</v>
      </c>
      <c r="U4078" s="26">
        <f t="shared" ref="U4078" si="2660">T4078*1.12</f>
        <v>11364578.4</v>
      </c>
      <c r="V4078" s="11" t="s">
        <v>3182</v>
      </c>
      <c r="W4078" s="11">
        <v>2015</v>
      </c>
      <c r="X4078" s="20"/>
    </row>
    <row r="4079" spans="1:24" s="28" customFormat="1" ht="51" customHeight="1" x14ac:dyDescent="0.2">
      <c r="A4079" s="1" t="s">
        <v>3615</v>
      </c>
      <c r="B4079" s="24" t="s">
        <v>5277</v>
      </c>
      <c r="C4079" s="4" t="s">
        <v>3389</v>
      </c>
      <c r="D4079" s="4" t="s">
        <v>6343</v>
      </c>
      <c r="E4079" s="4" t="s">
        <v>6311</v>
      </c>
      <c r="F4079" s="4"/>
      <c r="G4079" s="1" t="s">
        <v>1888</v>
      </c>
      <c r="H4079" s="17">
        <v>0.5</v>
      </c>
      <c r="I4079" s="18">
        <v>710000000</v>
      </c>
      <c r="J4079" s="4" t="s">
        <v>1931</v>
      </c>
      <c r="K4079" s="4" t="s">
        <v>5297</v>
      </c>
      <c r="L4079" s="7" t="s">
        <v>1027</v>
      </c>
      <c r="M4079" s="1"/>
      <c r="N4079" s="4" t="s">
        <v>1408</v>
      </c>
      <c r="O4079" s="4" t="s">
        <v>6257</v>
      </c>
      <c r="P4079" s="1"/>
      <c r="Q4079" s="4"/>
      <c r="R4079" s="26"/>
      <c r="S4079" s="26"/>
      <c r="T4079" s="26">
        <v>0</v>
      </c>
      <c r="U4079" s="26">
        <f t="shared" si="2657"/>
        <v>0</v>
      </c>
      <c r="V4079" s="11" t="s">
        <v>3182</v>
      </c>
      <c r="W4079" s="11">
        <v>2015</v>
      </c>
      <c r="X4079" s="1" t="s">
        <v>6565</v>
      </c>
    </row>
    <row r="4080" spans="1:24" s="28" customFormat="1" ht="38.25" customHeight="1" x14ac:dyDescent="0.2">
      <c r="A4080" s="1" t="s">
        <v>3340</v>
      </c>
      <c r="B4080" s="15" t="s">
        <v>5277</v>
      </c>
      <c r="C4080" s="4" t="s">
        <v>3389</v>
      </c>
      <c r="D4080" s="4" t="s">
        <v>6343</v>
      </c>
      <c r="E4080" s="4" t="s">
        <v>6311</v>
      </c>
      <c r="F4080" s="4"/>
      <c r="G4080" s="1" t="s">
        <v>1888</v>
      </c>
      <c r="H4080" s="17">
        <v>0.5</v>
      </c>
      <c r="I4080" s="18">
        <v>710000000</v>
      </c>
      <c r="J4080" s="4" t="s">
        <v>1931</v>
      </c>
      <c r="K4080" s="4" t="s">
        <v>5297</v>
      </c>
      <c r="L4080" s="4" t="s">
        <v>5689</v>
      </c>
      <c r="M4080" s="1"/>
      <c r="N4080" s="4" t="s">
        <v>1408</v>
      </c>
      <c r="O4080" s="4" t="s">
        <v>6257</v>
      </c>
      <c r="P4080" s="1"/>
      <c r="Q4080" s="4"/>
      <c r="R4080" s="26"/>
      <c r="S4080" s="26"/>
      <c r="T4080" s="26">
        <v>0</v>
      </c>
      <c r="U4080" s="26">
        <f t="shared" si="2657"/>
        <v>0</v>
      </c>
      <c r="V4080" s="11" t="s">
        <v>3182</v>
      </c>
      <c r="W4080" s="11">
        <v>2015</v>
      </c>
      <c r="X4080" s="27" t="s">
        <v>7006</v>
      </c>
    </row>
    <row r="4081" spans="1:24" s="28" customFormat="1" ht="38.25" customHeight="1" x14ac:dyDescent="0.2">
      <c r="A4081" s="1" t="s">
        <v>7558</v>
      </c>
      <c r="B4081" s="15" t="s">
        <v>5277</v>
      </c>
      <c r="C4081" s="4" t="s">
        <v>3389</v>
      </c>
      <c r="D4081" s="4" t="s">
        <v>6343</v>
      </c>
      <c r="E4081" s="4" t="s">
        <v>6311</v>
      </c>
      <c r="F4081" s="4"/>
      <c r="G4081" s="1" t="s">
        <v>1888</v>
      </c>
      <c r="H4081" s="17">
        <v>0.5</v>
      </c>
      <c r="I4081" s="18">
        <v>710000000</v>
      </c>
      <c r="J4081" s="4" t="s">
        <v>1931</v>
      </c>
      <c r="K4081" s="4" t="s">
        <v>5292</v>
      </c>
      <c r="L4081" s="4" t="s">
        <v>5689</v>
      </c>
      <c r="M4081" s="1"/>
      <c r="N4081" s="4" t="s">
        <v>1408</v>
      </c>
      <c r="O4081" s="4" t="s">
        <v>6257</v>
      </c>
      <c r="P4081" s="1"/>
      <c r="Q4081" s="4"/>
      <c r="R4081" s="26"/>
      <c r="S4081" s="26"/>
      <c r="T4081" s="26">
        <v>1762656</v>
      </c>
      <c r="U4081" s="26">
        <f t="shared" ref="U4081" si="2661">T4081*1.12</f>
        <v>1974174.7200000002</v>
      </c>
      <c r="V4081" s="11" t="s">
        <v>3182</v>
      </c>
      <c r="W4081" s="11">
        <v>2015</v>
      </c>
      <c r="X4081" s="27"/>
    </row>
    <row r="4082" spans="1:24" s="28" customFormat="1" ht="51" customHeight="1" x14ac:dyDescent="0.2">
      <c r="A4082" s="1" t="s">
        <v>3341</v>
      </c>
      <c r="B4082" s="24" t="s">
        <v>5277</v>
      </c>
      <c r="C4082" s="4" t="s">
        <v>3389</v>
      </c>
      <c r="D4082" s="4" t="s">
        <v>6343</v>
      </c>
      <c r="E4082" s="4" t="s">
        <v>6311</v>
      </c>
      <c r="F4082" s="4"/>
      <c r="G4082" s="1" t="s">
        <v>1888</v>
      </c>
      <c r="H4082" s="17">
        <v>0.5</v>
      </c>
      <c r="I4082" s="18">
        <v>710000000</v>
      </c>
      <c r="J4082" s="4" t="s">
        <v>1931</v>
      </c>
      <c r="K4082" s="4" t="s">
        <v>5297</v>
      </c>
      <c r="L4082" s="4" t="s">
        <v>1889</v>
      </c>
      <c r="M4082" s="1"/>
      <c r="N4082" s="4" t="s">
        <v>1408</v>
      </c>
      <c r="O4082" s="4" t="s">
        <v>6257</v>
      </c>
      <c r="P4082" s="1"/>
      <c r="Q4082" s="4"/>
      <c r="R4082" s="26"/>
      <c r="S4082" s="26"/>
      <c r="T4082" s="26">
        <v>0</v>
      </c>
      <c r="U4082" s="26">
        <f t="shared" si="2657"/>
        <v>0</v>
      </c>
      <c r="V4082" s="11" t="s">
        <v>3182</v>
      </c>
      <c r="W4082" s="11">
        <v>2015</v>
      </c>
      <c r="X4082" s="1" t="s">
        <v>6565</v>
      </c>
    </row>
    <row r="4083" spans="1:24" s="28" customFormat="1" ht="38.25" customHeight="1" x14ac:dyDescent="0.2">
      <c r="A4083" s="1" t="s">
        <v>3336</v>
      </c>
      <c r="B4083" s="15" t="s">
        <v>5277</v>
      </c>
      <c r="C4083" s="4" t="s">
        <v>3636</v>
      </c>
      <c r="D4083" s="4" t="s">
        <v>6266</v>
      </c>
      <c r="E4083" s="4" t="s">
        <v>730</v>
      </c>
      <c r="F4083" s="4" t="s">
        <v>6267</v>
      </c>
      <c r="G4083" s="4" t="s">
        <v>1888</v>
      </c>
      <c r="H4083" s="17">
        <v>0.5</v>
      </c>
      <c r="I4083" s="18">
        <v>710000000</v>
      </c>
      <c r="J4083" s="4" t="s">
        <v>1931</v>
      </c>
      <c r="K4083" s="4" t="s">
        <v>5706</v>
      </c>
      <c r="L4083" s="4" t="s">
        <v>2985</v>
      </c>
      <c r="M4083" s="1"/>
      <c r="N4083" s="4" t="s">
        <v>1408</v>
      </c>
      <c r="O4083" s="4" t="s">
        <v>6257</v>
      </c>
      <c r="P4083" s="1"/>
      <c r="Q4083" s="4"/>
      <c r="R4083" s="26"/>
      <c r="S4083" s="26"/>
      <c r="T4083" s="26">
        <f>31392677+3523000+309160</f>
        <v>35224837</v>
      </c>
      <c r="U4083" s="26">
        <f t="shared" si="2657"/>
        <v>39451817.440000005</v>
      </c>
      <c r="V4083" s="11" t="s">
        <v>3182</v>
      </c>
      <c r="W4083" s="11">
        <v>2015</v>
      </c>
      <c r="X4083" s="27"/>
    </row>
    <row r="4084" spans="1:24" s="28" customFormat="1" ht="38.25" customHeight="1" x14ac:dyDescent="0.2">
      <c r="A4084" s="1" t="s">
        <v>3641</v>
      </c>
      <c r="B4084" s="15" t="s">
        <v>5277</v>
      </c>
      <c r="C4084" s="4" t="s">
        <v>3636</v>
      </c>
      <c r="D4084" s="4" t="s">
        <v>6266</v>
      </c>
      <c r="E4084" s="4" t="s">
        <v>730</v>
      </c>
      <c r="F4084" s="4" t="s">
        <v>6267</v>
      </c>
      <c r="G4084" s="4" t="s">
        <v>1888</v>
      </c>
      <c r="H4084" s="17">
        <v>0.5</v>
      </c>
      <c r="I4084" s="18">
        <v>710000000</v>
      </c>
      <c r="J4084" s="4" t="s">
        <v>1931</v>
      </c>
      <c r="K4084" s="4" t="s">
        <v>5706</v>
      </c>
      <c r="L4084" s="7" t="s">
        <v>1356</v>
      </c>
      <c r="M4084" s="1"/>
      <c r="N4084" s="4" t="s">
        <v>1408</v>
      </c>
      <c r="O4084" s="4" t="s">
        <v>6257</v>
      </c>
      <c r="P4084" s="1"/>
      <c r="Q4084" s="4"/>
      <c r="R4084" s="26"/>
      <c r="S4084" s="26"/>
      <c r="T4084" s="26">
        <v>0</v>
      </c>
      <c r="U4084" s="26">
        <f t="shared" si="2657"/>
        <v>0</v>
      </c>
      <c r="V4084" s="11" t="s">
        <v>3182</v>
      </c>
      <c r="W4084" s="11">
        <v>2015</v>
      </c>
      <c r="X4084" s="27" t="s">
        <v>6565</v>
      </c>
    </row>
    <row r="4085" spans="1:24" s="28" customFormat="1" ht="38.25" customHeight="1" x14ac:dyDescent="0.2">
      <c r="A4085" s="1" t="s">
        <v>3342</v>
      </c>
      <c r="B4085" s="15" t="s">
        <v>5277</v>
      </c>
      <c r="C4085" s="4" t="s">
        <v>3636</v>
      </c>
      <c r="D4085" s="4" t="s">
        <v>6266</v>
      </c>
      <c r="E4085" s="4" t="s">
        <v>730</v>
      </c>
      <c r="F4085" s="4" t="s">
        <v>731</v>
      </c>
      <c r="G4085" s="4" t="s">
        <v>1888</v>
      </c>
      <c r="H4085" s="17">
        <v>0.5</v>
      </c>
      <c r="I4085" s="18">
        <v>710000000</v>
      </c>
      <c r="J4085" s="4" t="s">
        <v>1931</v>
      </c>
      <c r="K4085" s="4" t="s">
        <v>5706</v>
      </c>
      <c r="L4085" s="4" t="s">
        <v>5689</v>
      </c>
      <c r="M4085" s="1"/>
      <c r="N4085" s="4" t="s">
        <v>1408</v>
      </c>
      <c r="O4085" s="4" t="s">
        <v>6257</v>
      </c>
      <c r="P4085" s="1"/>
      <c r="Q4085" s="4"/>
      <c r="R4085" s="26"/>
      <c r="S4085" s="26"/>
      <c r="T4085" s="26">
        <v>2261914.73</v>
      </c>
      <c r="U4085" s="26">
        <f t="shared" si="2657"/>
        <v>2533344.4976000004</v>
      </c>
      <c r="V4085" s="11" t="s">
        <v>3182</v>
      </c>
      <c r="W4085" s="11">
        <v>2015</v>
      </c>
      <c r="X4085" s="27"/>
    </row>
    <row r="4086" spans="1:24" s="28" customFormat="1" ht="38.25" customHeight="1" x14ac:dyDescent="0.2">
      <c r="A4086" s="1" t="s">
        <v>3343</v>
      </c>
      <c r="B4086" s="15" t="s">
        <v>5277</v>
      </c>
      <c r="C4086" s="4" t="s">
        <v>3636</v>
      </c>
      <c r="D4086" s="4" t="s">
        <v>6266</v>
      </c>
      <c r="E4086" s="4" t="s">
        <v>730</v>
      </c>
      <c r="F4086" s="4" t="s">
        <v>732</v>
      </c>
      <c r="G4086" s="4" t="s">
        <v>1888</v>
      </c>
      <c r="H4086" s="17">
        <v>0.5</v>
      </c>
      <c r="I4086" s="18">
        <v>710000000</v>
      </c>
      <c r="J4086" s="4" t="s">
        <v>1931</v>
      </c>
      <c r="K4086" s="4" t="s">
        <v>5706</v>
      </c>
      <c r="L4086" s="4" t="s">
        <v>5689</v>
      </c>
      <c r="M4086" s="1"/>
      <c r="N4086" s="4" t="s">
        <v>1408</v>
      </c>
      <c r="O4086" s="4" t="s">
        <v>6257</v>
      </c>
      <c r="P4086" s="1"/>
      <c r="Q4086" s="4"/>
      <c r="R4086" s="26"/>
      <c r="S4086" s="26"/>
      <c r="T4086" s="26">
        <v>123264</v>
      </c>
      <c r="U4086" s="26">
        <f t="shared" si="2657"/>
        <v>138055.68000000002</v>
      </c>
      <c r="V4086" s="11" t="s">
        <v>3182</v>
      </c>
      <c r="W4086" s="11">
        <v>2015</v>
      </c>
      <c r="X4086" s="27"/>
    </row>
    <row r="4087" spans="1:24" s="28" customFormat="1" ht="38.25" customHeight="1" x14ac:dyDescent="0.2">
      <c r="A4087" s="1" t="s">
        <v>3344</v>
      </c>
      <c r="B4087" s="15" t="s">
        <v>5277</v>
      </c>
      <c r="C4087" s="4" t="s">
        <v>3337</v>
      </c>
      <c r="D4087" s="4" t="s">
        <v>6284</v>
      </c>
      <c r="E4087" s="4" t="s">
        <v>6285</v>
      </c>
      <c r="F4087" s="4"/>
      <c r="G4087" s="4" t="s">
        <v>3190</v>
      </c>
      <c r="H4087" s="17">
        <v>0.5</v>
      </c>
      <c r="I4087" s="18">
        <v>710000000</v>
      </c>
      <c r="J4087" s="4" t="s">
        <v>1931</v>
      </c>
      <c r="K4087" s="4" t="s">
        <v>5297</v>
      </c>
      <c r="L4087" s="4" t="s">
        <v>5689</v>
      </c>
      <c r="M4087" s="1"/>
      <c r="N4087" s="4" t="s">
        <v>1408</v>
      </c>
      <c r="O4087" s="4" t="s">
        <v>6257</v>
      </c>
      <c r="P4087" s="1"/>
      <c r="Q4087" s="4"/>
      <c r="R4087" s="26"/>
      <c r="S4087" s="26"/>
      <c r="T4087" s="26">
        <v>963000</v>
      </c>
      <c r="U4087" s="26">
        <f t="shared" si="2657"/>
        <v>1078560</v>
      </c>
      <c r="V4087" s="11" t="s">
        <v>3182</v>
      </c>
      <c r="W4087" s="11">
        <v>2015</v>
      </c>
      <c r="X4087" s="27"/>
    </row>
    <row r="4088" spans="1:24" s="28" customFormat="1" ht="38.25" customHeight="1" x14ac:dyDescent="0.2">
      <c r="A4088" s="1" t="s">
        <v>3645</v>
      </c>
      <c r="B4088" s="15" t="s">
        <v>5277</v>
      </c>
      <c r="C4088" s="4" t="s">
        <v>3643</v>
      </c>
      <c r="D4088" s="4" t="s">
        <v>6282</v>
      </c>
      <c r="E4088" s="4" t="s">
        <v>6283</v>
      </c>
      <c r="F4088" s="4"/>
      <c r="G4088" s="4" t="s">
        <v>3190</v>
      </c>
      <c r="H4088" s="17">
        <v>0.5</v>
      </c>
      <c r="I4088" s="18">
        <v>710000000</v>
      </c>
      <c r="J4088" s="4" t="s">
        <v>1931</v>
      </c>
      <c r="K4088" s="4" t="s">
        <v>5297</v>
      </c>
      <c r="L4088" s="4" t="s">
        <v>5689</v>
      </c>
      <c r="M4088" s="1"/>
      <c r="N4088" s="4" t="s">
        <v>1408</v>
      </c>
      <c r="O4088" s="4" t="s">
        <v>6257</v>
      </c>
      <c r="P4088" s="1"/>
      <c r="Q4088" s="4"/>
      <c r="R4088" s="26"/>
      <c r="S4088" s="26"/>
      <c r="T4088" s="26">
        <v>404460</v>
      </c>
      <c r="U4088" s="26">
        <f t="shared" si="2657"/>
        <v>452995.20000000007</v>
      </c>
      <c r="V4088" s="11" t="s">
        <v>3182</v>
      </c>
      <c r="W4088" s="11">
        <v>2015</v>
      </c>
      <c r="X4088" s="27"/>
    </row>
    <row r="4089" spans="1:24" s="28" customFormat="1" ht="51" customHeight="1" x14ac:dyDescent="0.2">
      <c r="A4089" s="1" t="s">
        <v>3345</v>
      </c>
      <c r="B4089" s="15" t="s">
        <v>5277</v>
      </c>
      <c r="C4089" s="4" t="s">
        <v>4201</v>
      </c>
      <c r="D4089" s="4" t="s">
        <v>6270</v>
      </c>
      <c r="E4089" s="4" t="s">
        <v>6270</v>
      </c>
      <c r="F4089" s="4"/>
      <c r="G4089" s="1" t="s">
        <v>3190</v>
      </c>
      <c r="H4089" s="17">
        <v>0.5</v>
      </c>
      <c r="I4089" s="18">
        <v>710000000</v>
      </c>
      <c r="J4089" s="4" t="s">
        <v>1931</v>
      </c>
      <c r="K4089" s="4" t="s">
        <v>5297</v>
      </c>
      <c r="L4089" s="7" t="s">
        <v>1889</v>
      </c>
      <c r="M4089" s="1"/>
      <c r="N4089" s="4" t="s">
        <v>1408</v>
      </c>
      <c r="O4089" s="4" t="s">
        <v>6257</v>
      </c>
      <c r="P4089" s="1"/>
      <c r="Q4089" s="4"/>
      <c r="R4089" s="26"/>
      <c r="S4089" s="26"/>
      <c r="T4089" s="26">
        <v>0</v>
      </c>
      <c r="U4089" s="26">
        <f t="shared" si="2657"/>
        <v>0</v>
      </c>
      <c r="V4089" s="19" t="s">
        <v>3182</v>
      </c>
      <c r="W4089" s="11">
        <v>2015</v>
      </c>
      <c r="X4089" s="27" t="s">
        <v>6565</v>
      </c>
    </row>
    <row r="4090" spans="1:24" s="28" customFormat="1" ht="76.5" customHeight="1" x14ac:dyDescent="0.2">
      <c r="A4090" s="1" t="s">
        <v>3646</v>
      </c>
      <c r="B4090" s="15" t="s">
        <v>5277</v>
      </c>
      <c r="C4090" s="4" t="s">
        <v>3640</v>
      </c>
      <c r="D4090" s="4" t="s">
        <v>6279</v>
      </c>
      <c r="E4090" s="4" t="s">
        <v>733</v>
      </c>
      <c r="F4090" s="4"/>
      <c r="G4090" s="1" t="s">
        <v>1888</v>
      </c>
      <c r="H4090" s="17">
        <v>0.3</v>
      </c>
      <c r="I4090" s="18">
        <v>710000000</v>
      </c>
      <c r="J4090" s="4" t="s">
        <v>1931</v>
      </c>
      <c r="K4090" s="4" t="s">
        <v>5706</v>
      </c>
      <c r="L4090" s="4" t="s">
        <v>2985</v>
      </c>
      <c r="M4090" s="1"/>
      <c r="N4090" s="4" t="s">
        <v>1408</v>
      </c>
      <c r="O4090" s="4" t="s">
        <v>6257</v>
      </c>
      <c r="P4090" s="1"/>
      <c r="Q4090" s="4"/>
      <c r="R4090" s="26"/>
      <c r="S4090" s="26"/>
      <c r="T4090" s="26">
        <v>0</v>
      </c>
      <c r="U4090" s="26">
        <f t="shared" si="2657"/>
        <v>0</v>
      </c>
      <c r="V4090" s="11" t="s">
        <v>3182</v>
      </c>
      <c r="W4090" s="11">
        <v>2015</v>
      </c>
      <c r="X4090" s="27" t="s">
        <v>7513</v>
      </c>
    </row>
    <row r="4091" spans="1:24" s="28" customFormat="1" ht="76.5" customHeight="1" x14ac:dyDescent="0.2">
      <c r="A4091" s="1" t="s">
        <v>7485</v>
      </c>
      <c r="B4091" s="15" t="s">
        <v>5277</v>
      </c>
      <c r="C4091" s="4" t="s">
        <v>3640</v>
      </c>
      <c r="D4091" s="4" t="s">
        <v>6279</v>
      </c>
      <c r="E4091" s="4" t="s">
        <v>733</v>
      </c>
      <c r="F4091" s="4"/>
      <c r="G4091" s="1" t="s">
        <v>3187</v>
      </c>
      <c r="H4091" s="17">
        <v>0.3</v>
      </c>
      <c r="I4091" s="18">
        <v>710000000</v>
      </c>
      <c r="J4091" s="4" t="s">
        <v>1931</v>
      </c>
      <c r="K4091" s="4" t="s">
        <v>5706</v>
      </c>
      <c r="L4091" s="4" t="s">
        <v>2985</v>
      </c>
      <c r="M4091" s="1"/>
      <c r="N4091" s="4" t="s">
        <v>1408</v>
      </c>
      <c r="O4091" s="4" t="s">
        <v>6257</v>
      </c>
      <c r="P4091" s="1"/>
      <c r="Q4091" s="4"/>
      <c r="R4091" s="26"/>
      <c r="S4091" s="26"/>
      <c r="T4091" s="26">
        <f>225000+772946+20000+82000+563000</f>
        <v>1662946</v>
      </c>
      <c r="U4091" s="26">
        <f t="shared" ref="U4091" si="2662">T4091*1.12</f>
        <v>1862499.5200000003</v>
      </c>
      <c r="V4091" s="11" t="s">
        <v>3182</v>
      </c>
      <c r="W4091" s="11">
        <v>2015</v>
      </c>
      <c r="X4091" s="27"/>
    </row>
    <row r="4092" spans="1:24" s="28" customFormat="1" ht="76.5" customHeight="1" x14ac:dyDescent="0.2">
      <c r="A4092" s="1" t="s">
        <v>3649</v>
      </c>
      <c r="B4092" s="15" t="s">
        <v>5277</v>
      </c>
      <c r="C4092" s="4" t="s">
        <v>3640</v>
      </c>
      <c r="D4092" s="4" t="s">
        <v>6279</v>
      </c>
      <c r="E4092" s="4" t="s">
        <v>733</v>
      </c>
      <c r="F4092" s="4"/>
      <c r="G4092" s="1" t="s">
        <v>1888</v>
      </c>
      <c r="H4092" s="17">
        <v>0.3</v>
      </c>
      <c r="I4092" s="18">
        <v>710000000</v>
      </c>
      <c r="J4092" s="4" t="s">
        <v>1931</v>
      </c>
      <c r="K4092" s="4" t="s">
        <v>5706</v>
      </c>
      <c r="L4092" s="7" t="s">
        <v>1356</v>
      </c>
      <c r="M4092" s="1"/>
      <c r="N4092" s="4" t="s">
        <v>1408</v>
      </c>
      <c r="O4092" s="4" t="s">
        <v>6257</v>
      </c>
      <c r="P4092" s="1"/>
      <c r="Q4092" s="4"/>
      <c r="R4092" s="26"/>
      <c r="S4092" s="26"/>
      <c r="T4092" s="26">
        <v>0</v>
      </c>
      <c r="U4092" s="26">
        <f t="shared" si="2657"/>
        <v>0</v>
      </c>
      <c r="V4092" s="11" t="s">
        <v>3182</v>
      </c>
      <c r="W4092" s="11">
        <v>2015</v>
      </c>
      <c r="X4092" s="27" t="s">
        <v>6565</v>
      </c>
    </row>
    <row r="4093" spans="1:24" s="28" customFormat="1" ht="76.5" customHeight="1" x14ac:dyDescent="0.2">
      <c r="A4093" s="1" t="s">
        <v>3346</v>
      </c>
      <c r="B4093" s="15" t="s">
        <v>5277</v>
      </c>
      <c r="C4093" s="4" t="s">
        <v>3640</v>
      </c>
      <c r="D4093" s="4" t="s">
        <v>6279</v>
      </c>
      <c r="E4093" s="4" t="s">
        <v>733</v>
      </c>
      <c r="F4093" s="4"/>
      <c r="G4093" s="1" t="s">
        <v>1888</v>
      </c>
      <c r="H4093" s="17">
        <v>0.3</v>
      </c>
      <c r="I4093" s="18">
        <v>710000000</v>
      </c>
      <c r="J4093" s="4" t="s">
        <v>1931</v>
      </c>
      <c r="K4093" s="4" t="s">
        <v>5706</v>
      </c>
      <c r="L4093" s="7" t="s">
        <v>1409</v>
      </c>
      <c r="M4093" s="1"/>
      <c r="N4093" s="4" t="s">
        <v>1408</v>
      </c>
      <c r="O4093" s="4" t="s">
        <v>6257</v>
      </c>
      <c r="P4093" s="1"/>
      <c r="Q4093" s="4"/>
      <c r="R4093" s="26"/>
      <c r="S4093" s="26"/>
      <c r="T4093" s="26">
        <v>0</v>
      </c>
      <c r="U4093" s="26">
        <f t="shared" si="2657"/>
        <v>0</v>
      </c>
      <c r="V4093" s="11" t="s">
        <v>3182</v>
      </c>
      <c r="W4093" s="11">
        <v>2015</v>
      </c>
      <c r="X4093" s="27" t="s">
        <v>7486</v>
      </c>
    </row>
    <row r="4094" spans="1:24" s="28" customFormat="1" ht="76.5" customHeight="1" x14ac:dyDescent="0.2">
      <c r="A4094" s="1" t="s">
        <v>7487</v>
      </c>
      <c r="B4094" s="15" t="s">
        <v>5277</v>
      </c>
      <c r="C4094" s="4" t="s">
        <v>3640</v>
      </c>
      <c r="D4094" s="4" t="s">
        <v>6279</v>
      </c>
      <c r="E4094" s="4" t="s">
        <v>733</v>
      </c>
      <c r="F4094" s="4"/>
      <c r="G4094" s="1" t="s">
        <v>3187</v>
      </c>
      <c r="H4094" s="17">
        <v>0.3</v>
      </c>
      <c r="I4094" s="18">
        <v>710000000</v>
      </c>
      <c r="J4094" s="4" t="s">
        <v>1931</v>
      </c>
      <c r="K4094" s="4" t="s">
        <v>5706</v>
      </c>
      <c r="L4094" s="7" t="s">
        <v>1409</v>
      </c>
      <c r="M4094" s="1"/>
      <c r="N4094" s="4" t="s">
        <v>1408</v>
      </c>
      <c r="O4094" s="4" t="s">
        <v>6257</v>
      </c>
      <c r="P4094" s="1"/>
      <c r="Q4094" s="4"/>
      <c r="R4094" s="26"/>
      <c r="S4094" s="26"/>
      <c r="T4094" s="26">
        <v>1356800</v>
      </c>
      <c r="U4094" s="26">
        <f t="shared" ref="U4094" si="2663">T4094*1.12</f>
        <v>1519616.0000000002</v>
      </c>
      <c r="V4094" s="11" t="s">
        <v>3182</v>
      </c>
      <c r="W4094" s="11">
        <v>2015</v>
      </c>
      <c r="X4094" s="27"/>
    </row>
    <row r="4095" spans="1:24" s="28" customFormat="1" ht="76.5" customHeight="1" x14ac:dyDescent="0.2">
      <c r="A4095" s="1" t="s">
        <v>3650</v>
      </c>
      <c r="B4095" s="15" t="s">
        <v>5277</v>
      </c>
      <c r="C4095" s="4" t="s">
        <v>3640</v>
      </c>
      <c r="D4095" s="4" t="s">
        <v>6279</v>
      </c>
      <c r="E4095" s="4" t="s">
        <v>733</v>
      </c>
      <c r="F4095" s="4"/>
      <c r="G4095" s="1" t="s">
        <v>1888</v>
      </c>
      <c r="H4095" s="17">
        <v>0.3</v>
      </c>
      <c r="I4095" s="18">
        <v>710000000</v>
      </c>
      <c r="J4095" s="4" t="s">
        <v>1931</v>
      </c>
      <c r="K4095" s="4" t="s">
        <v>5706</v>
      </c>
      <c r="L4095" s="4" t="s">
        <v>5689</v>
      </c>
      <c r="M4095" s="1"/>
      <c r="N4095" s="4" t="s">
        <v>1408</v>
      </c>
      <c r="O4095" s="4" t="s">
        <v>6257</v>
      </c>
      <c r="P4095" s="1"/>
      <c r="Q4095" s="4"/>
      <c r="R4095" s="26"/>
      <c r="S4095" s="26"/>
      <c r="T4095" s="26">
        <v>0</v>
      </c>
      <c r="U4095" s="26">
        <f t="shared" si="2657"/>
        <v>0</v>
      </c>
      <c r="V4095" s="11" t="s">
        <v>3182</v>
      </c>
      <c r="W4095" s="11">
        <v>2015</v>
      </c>
      <c r="X4095" s="27" t="s">
        <v>7486</v>
      </c>
    </row>
    <row r="4096" spans="1:24" s="28" customFormat="1" ht="76.5" customHeight="1" x14ac:dyDescent="0.2">
      <c r="A4096" s="1" t="s">
        <v>7488</v>
      </c>
      <c r="B4096" s="15" t="s">
        <v>5277</v>
      </c>
      <c r="C4096" s="4" t="s">
        <v>3640</v>
      </c>
      <c r="D4096" s="4" t="s">
        <v>6279</v>
      </c>
      <c r="E4096" s="4" t="s">
        <v>733</v>
      </c>
      <c r="F4096" s="4"/>
      <c r="G4096" s="1" t="s">
        <v>3187</v>
      </c>
      <c r="H4096" s="17">
        <v>0.3</v>
      </c>
      <c r="I4096" s="18">
        <v>710000000</v>
      </c>
      <c r="J4096" s="4" t="s">
        <v>1931</v>
      </c>
      <c r="K4096" s="4" t="s">
        <v>5706</v>
      </c>
      <c r="L4096" s="4" t="s">
        <v>5689</v>
      </c>
      <c r="M4096" s="1"/>
      <c r="N4096" s="4" t="s">
        <v>1408</v>
      </c>
      <c r="O4096" s="4" t="s">
        <v>6257</v>
      </c>
      <c r="P4096" s="1"/>
      <c r="Q4096" s="4"/>
      <c r="R4096" s="26"/>
      <c r="S4096" s="26"/>
      <c r="T4096" s="26">
        <v>2182879.1800000002</v>
      </c>
      <c r="U4096" s="26">
        <f t="shared" ref="U4096" si="2664">T4096*1.12</f>
        <v>2444824.6816000002</v>
      </c>
      <c r="V4096" s="11" t="s">
        <v>3182</v>
      </c>
      <c r="W4096" s="11">
        <v>2015</v>
      </c>
      <c r="X4096" s="27"/>
    </row>
    <row r="4097" spans="1:24" s="28" customFormat="1" ht="127.5" customHeight="1" x14ac:dyDescent="0.2">
      <c r="A4097" s="1" t="s">
        <v>3347</v>
      </c>
      <c r="B4097" s="15" t="s">
        <v>5277</v>
      </c>
      <c r="C4097" s="4" t="s">
        <v>3644</v>
      </c>
      <c r="D4097" s="4" t="s">
        <v>6286</v>
      </c>
      <c r="E4097" s="4" t="s">
        <v>6286</v>
      </c>
      <c r="F4097" s="4"/>
      <c r="G4097" s="4" t="s">
        <v>3190</v>
      </c>
      <c r="H4097" s="17">
        <v>1</v>
      </c>
      <c r="I4097" s="18">
        <v>710000000</v>
      </c>
      <c r="J4097" s="4" t="s">
        <v>1931</v>
      </c>
      <c r="K4097" s="4" t="s">
        <v>5282</v>
      </c>
      <c r="L4097" s="7" t="s">
        <v>2985</v>
      </c>
      <c r="M4097" s="8"/>
      <c r="N4097" s="4" t="s">
        <v>1408</v>
      </c>
      <c r="O4097" s="8" t="s">
        <v>6257</v>
      </c>
      <c r="P4097" s="68"/>
      <c r="Q4097" s="68"/>
      <c r="R4097" s="10"/>
      <c r="S4097" s="10"/>
      <c r="T4097" s="10">
        <v>0</v>
      </c>
      <c r="U4097" s="10">
        <f t="shared" si="2657"/>
        <v>0</v>
      </c>
      <c r="V4097" s="11" t="s">
        <v>3182</v>
      </c>
      <c r="W4097" s="11">
        <v>2015</v>
      </c>
      <c r="X4097" s="27" t="s">
        <v>6567</v>
      </c>
    </row>
    <row r="4098" spans="1:24" s="28" customFormat="1" ht="127.5" customHeight="1" x14ac:dyDescent="0.2">
      <c r="A4098" s="1" t="s">
        <v>6613</v>
      </c>
      <c r="B4098" s="15" t="s">
        <v>5277</v>
      </c>
      <c r="C4098" s="4" t="s">
        <v>3644</v>
      </c>
      <c r="D4098" s="4" t="s">
        <v>6286</v>
      </c>
      <c r="E4098" s="4" t="s">
        <v>6286</v>
      </c>
      <c r="F4098" s="4"/>
      <c r="G4098" s="4" t="s">
        <v>3190</v>
      </c>
      <c r="H4098" s="17">
        <v>1</v>
      </c>
      <c r="I4098" s="18">
        <v>710000000</v>
      </c>
      <c r="J4098" s="4" t="s">
        <v>1931</v>
      </c>
      <c r="K4098" s="4" t="s">
        <v>5282</v>
      </c>
      <c r="L4098" s="7" t="s">
        <v>2985</v>
      </c>
      <c r="M4098" s="8"/>
      <c r="N4098" s="4" t="s">
        <v>1408</v>
      </c>
      <c r="O4098" s="8" t="s">
        <v>6257</v>
      </c>
      <c r="P4098" s="68"/>
      <c r="Q4098" s="68"/>
      <c r="R4098" s="10"/>
      <c r="S4098" s="10"/>
      <c r="T4098" s="10">
        <f>106918624.8+18867463.2+6289154.4</f>
        <v>132075242.40000001</v>
      </c>
      <c r="U4098" s="10">
        <f t="shared" ref="U4098" si="2665">T4098*1.12</f>
        <v>147924271.48800004</v>
      </c>
      <c r="V4098" s="11" t="s">
        <v>3182</v>
      </c>
      <c r="W4098" s="11">
        <v>2015</v>
      </c>
      <c r="X4098" s="27"/>
    </row>
    <row r="4099" spans="1:24" s="28" customFormat="1" ht="127.5" customHeight="1" x14ac:dyDescent="0.2">
      <c r="A4099" s="1" t="s">
        <v>3652</v>
      </c>
      <c r="B4099" s="15" t="s">
        <v>5277</v>
      </c>
      <c r="C4099" s="4" t="s">
        <v>3644</v>
      </c>
      <c r="D4099" s="4" t="s">
        <v>6286</v>
      </c>
      <c r="E4099" s="4" t="s">
        <v>6286</v>
      </c>
      <c r="F4099" s="4"/>
      <c r="G4099" s="4" t="s">
        <v>3190</v>
      </c>
      <c r="H4099" s="17">
        <v>1</v>
      </c>
      <c r="I4099" s="18">
        <v>710000000</v>
      </c>
      <c r="J4099" s="4" t="s">
        <v>1931</v>
      </c>
      <c r="K4099" s="4" t="s">
        <v>5282</v>
      </c>
      <c r="L4099" s="7" t="s">
        <v>1409</v>
      </c>
      <c r="M4099" s="1"/>
      <c r="N4099" s="4" t="s">
        <v>1408</v>
      </c>
      <c r="O4099" s="4" t="s">
        <v>6257</v>
      </c>
      <c r="P4099" s="1"/>
      <c r="Q4099" s="4"/>
      <c r="R4099" s="26"/>
      <c r="S4099" s="26"/>
      <c r="T4099" s="26">
        <v>15687583.199999999</v>
      </c>
      <c r="U4099" s="26">
        <f t="shared" si="2657"/>
        <v>17570093.184</v>
      </c>
      <c r="V4099" s="11" t="s">
        <v>3182</v>
      </c>
      <c r="W4099" s="11">
        <v>2015</v>
      </c>
      <c r="X4099" s="27"/>
    </row>
    <row r="4100" spans="1:24" s="28" customFormat="1" ht="51" customHeight="1" x14ac:dyDescent="0.2">
      <c r="A4100" s="1" t="s">
        <v>3348</v>
      </c>
      <c r="B4100" s="15" t="s">
        <v>5277</v>
      </c>
      <c r="C4100" s="4" t="s">
        <v>3651</v>
      </c>
      <c r="D4100" s="4" t="s">
        <v>6288</v>
      </c>
      <c r="E4100" s="4" t="s">
        <v>6289</v>
      </c>
      <c r="F4100" s="4"/>
      <c r="G4100" s="1" t="s">
        <v>3190</v>
      </c>
      <c r="H4100" s="17">
        <v>1</v>
      </c>
      <c r="I4100" s="18">
        <v>710000000</v>
      </c>
      <c r="J4100" s="4" t="s">
        <v>1931</v>
      </c>
      <c r="K4100" s="4" t="s">
        <v>5282</v>
      </c>
      <c r="L4100" s="4" t="s">
        <v>2985</v>
      </c>
      <c r="M4100" s="1"/>
      <c r="N4100" s="4" t="s">
        <v>1408</v>
      </c>
      <c r="O4100" s="4" t="s">
        <v>6257</v>
      </c>
      <c r="P4100" s="1"/>
      <c r="Q4100" s="4"/>
      <c r="R4100" s="26"/>
      <c r="S4100" s="26"/>
      <c r="T4100" s="26">
        <v>97317000</v>
      </c>
      <c r="U4100" s="26">
        <f t="shared" si="2657"/>
        <v>108995040.00000001</v>
      </c>
      <c r="V4100" s="11" t="s">
        <v>3182</v>
      </c>
      <c r="W4100" s="11">
        <v>2015</v>
      </c>
      <c r="X4100" s="27"/>
    </row>
    <row r="4101" spans="1:24" s="28" customFormat="1" ht="51" customHeight="1" x14ac:dyDescent="0.2">
      <c r="A4101" s="1" t="s">
        <v>3349</v>
      </c>
      <c r="B4101" s="15" t="s">
        <v>5277</v>
      </c>
      <c r="C4101" s="4" t="s">
        <v>3651</v>
      </c>
      <c r="D4101" s="4" t="s">
        <v>6288</v>
      </c>
      <c r="E4101" s="4" t="s">
        <v>6289</v>
      </c>
      <c r="F4101" s="4"/>
      <c r="G4101" s="1" t="s">
        <v>3190</v>
      </c>
      <c r="H4101" s="17">
        <v>1</v>
      </c>
      <c r="I4101" s="18">
        <v>710000000</v>
      </c>
      <c r="J4101" s="4" t="s">
        <v>1931</v>
      </c>
      <c r="K4101" s="4" t="s">
        <v>5282</v>
      </c>
      <c r="L4101" s="7" t="s">
        <v>1409</v>
      </c>
      <c r="M4101" s="1"/>
      <c r="N4101" s="4" t="s">
        <v>1408</v>
      </c>
      <c r="O4101" s="4" t="s">
        <v>6257</v>
      </c>
      <c r="P4101" s="1"/>
      <c r="Q4101" s="4"/>
      <c r="R4101" s="26"/>
      <c r="S4101" s="26"/>
      <c r="T4101" s="26">
        <v>2129786</v>
      </c>
      <c r="U4101" s="26">
        <f t="shared" si="2657"/>
        <v>2385360.3200000003</v>
      </c>
      <c r="V4101" s="11" t="s">
        <v>3182</v>
      </c>
      <c r="W4101" s="11">
        <v>2015</v>
      </c>
      <c r="X4101" s="27"/>
    </row>
    <row r="4102" spans="1:24" s="28" customFormat="1" ht="51" customHeight="1" x14ac:dyDescent="0.2">
      <c r="A4102" s="1" t="s">
        <v>3350</v>
      </c>
      <c r="B4102" s="15" t="s">
        <v>5277</v>
      </c>
      <c r="C4102" s="4" t="s">
        <v>734</v>
      </c>
      <c r="D4102" s="4" t="s">
        <v>735</v>
      </c>
      <c r="E4102" s="4" t="s">
        <v>736</v>
      </c>
      <c r="F4102" s="4"/>
      <c r="G4102" s="1" t="s">
        <v>3190</v>
      </c>
      <c r="H4102" s="17">
        <v>1</v>
      </c>
      <c r="I4102" s="18">
        <v>710000000</v>
      </c>
      <c r="J4102" s="4" t="s">
        <v>1931</v>
      </c>
      <c r="K4102" s="4" t="s">
        <v>5282</v>
      </c>
      <c r="L4102" s="7" t="s">
        <v>1409</v>
      </c>
      <c r="M4102" s="1"/>
      <c r="N4102" s="4" t="s">
        <v>1408</v>
      </c>
      <c r="O4102" s="4" t="s">
        <v>6257</v>
      </c>
      <c r="P4102" s="1"/>
      <c r="Q4102" s="4"/>
      <c r="R4102" s="26"/>
      <c r="S4102" s="26"/>
      <c r="T4102" s="26">
        <v>645000</v>
      </c>
      <c r="U4102" s="26">
        <f t="shared" si="2657"/>
        <v>722400.00000000012</v>
      </c>
      <c r="V4102" s="11" t="s">
        <v>3182</v>
      </c>
      <c r="W4102" s="11">
        <v>2015</v>
      </c>
      <c r="X4102" s="27"/>
    </row>
    <row r="4103" spans="1:24" s="28" customFormat="1" ht="51" customHeight="1" x14ac:dyDescent="0.2">
      <c r="A4103" s="1" t="s">
        <v>3351</v>
      </c>
      <c r="B4103" s="15" t="s">
        <v>5277</v>
      </c>
      <c r="C4103" s="4" t="s">
        <v>3011</v>
      </c>
      <c r="D4103" s="4" t="s">
        <v>6316</v>
      </c>
      <c r="E4103" s="4" t="s">
        <v>6317</v>
      </c>
      <c r="F4103" s="4"/>
      <c r="G4103" s="1" t="s">
        <v>3190</v>
      </c>
      <c r="H4103" s="17">
        <v>1</v>
      </c>
      <c r="I4103" s="18">
        <v>710000000</v>
      </c>
      <c r="J4103" s="4" t="s">
        <v>1931</v>
      </c>
      <c r="K4103" s="4" t="s">
        <v>5282</v>
      </c>
      <c r="L4103" s="4" t="s">
        <v>2985</v>
      </c>
      <c r="M4103" s="1"/>
      <c r="N4103" s="4" t="s">
        <v>1408</v>
      </c>
      <c r="O4103" s="4" t="s">
        <v>6257</v>
      </c>
      <c r="P4103" s="1"/>
      <c r="Q4103" s="4"/>
      <c r="R4103" s="26"/>
      <c r="S4103" s="26"/>
      <c r="T4103" s="26">
        <v>4615800</v>
      </c>
      <c r="U4103" s="26">
        <f t="shared" si="2657"/>
        <v>5169696.0000000009</v>
      </c>
      <c r="V4103" s="11" t="s">
        <v>3182</v>
      </c>
      <c r="W4103" s="11">
        <v>2015</v>
      </c>
      <c r="X4103" s="27"/>
    </row>
    <row r="4104" spans="1:24" s="28" customFormat="1" ht="51" customHeight="1" x14ac:dyDescent="0.2">
      <c r="A4104" s="1" t="s">
        <v>3352</v>
      </c>
      <c r="B4104" s="15" t="s">
        <v>5277</v>
      </c>
      <c r="C4104" s="4" t="s">
        <v>3013</v>
      </c>
      <c r="D4104" s="4" t="s">
        <v>6318</v>
      </c>
      <c r="E4104" s="4" t="s">
        <v>6319</v>
      </c>
      <c r="F4104" s="4"/>
      <c r="G4104" s="1" t="s">
        <v>3190</v>
      </c>
      <c r="H4104" s="17">
        <v>1</v>
      </c>
      <c r="I4104" s="18">
        <v>710000000</v>
      </c>
      <c r="J4104" s="4" t="s">
        <v>1931</v>
      </c>
      <c r="K4104" s="4" t="s">
        <v>5282</v>
      </c>
      <c r="L4104" s="4" t="s">
        <v>2985</v>
      </c>
      <c r="M4104" s="1"/>
      <c r="N4104" s="4" t="s">
        <v>1408</v>
      </c>
      <c r="O4104" s="4" t="s">
        <v>6257</v>
      </c>
      <c r="P4104" s="1"/>
      <c r="Q4104" s="4"/>
      <c r="R4104" s="26"/>
      <c r="S4104" s="26"/>
      <c r="T4104" s="26">
        <v>4023428.57</v>
      </c>
      <c r="U4104" s="26">
        <f t="shared" si="2657"/>
        <v>4506239.9983999999</v>
      </c>
      <c r="V4104" s="11" t="s">
        <v>3182</v>
      </c>
      <c r="W4104" s="11">
        <v>2015</v>
      </c>
      <c r="X4104" s="27"/>
    </row>
    <row r="4105" spans="1:24" s="28" customFormat="1" ht="38.25" customHeight="1" x14ac:dyDescent="0.2">
      <c r="A4105" s="1" t="s">
        <v>3353</v>
      </c>
      <c r="B4105" s="15" t="s">
        <v>5277</v>
      </c>
      <c r="C4105" s="4" t="s">
        <v>3016</v>
      </c>
      <c r="D4105" s="4" t="s">
        <v>6321</v>
      </c>
      <c r="E4105" s="4" t="s">
        <v>6320</v>
      </c>
      <c r="F4105" s="4"/>
      <c r="G4105" s="1" t="s">
        <v>3190</v>
      </c>
      <c r="H4105" s="17">
        <v>1</v>
      </c>
      <c r="I4105" s="18">
        <v>710000000</v>
      </c>
      <c r="J4105" s="4" t="s">
        <v>1931</v>
      </c>
      <c r="K4105" s="4" t="s">
        <v>5282</v>
      </c>
      <c r="L4105" s="4" t="s">
        <v>2985</v>
      </c>
      <c r="M4105" s="1"/>
      <c r="N4105" s="4" t="s">
        <v>1408</v>
      </c>
      <c r="O4105" s="4" t="s">
        <v>6257</v>
      </c>
      <c r="P4105" s="1"/>
      <c r="Q4105" s="4"/>
      <c r="R4105" s="26"/>
      <c r="S4105" s="26"/>
      <c r="T4105" s="26">
        <v>1676785.71</v>
      </c>
      <c r="U4105" s="26">
        <f t="shared" si="2657"/>
        <v>1877999.9952000002</v>
      </c>
      <c r="V4105" s="11" t="s">
        <v>3182</v>
      </c>
      <c r="W4105" s="11">
        <v>2015</v>
      </c>
      <c r="X4105" s="27"/>
    </row>
    <row r="4106" spans="1:24" s="28" customFormat="1" ht="38.25" customHeight="1" x14ac:dyDescent="0.2">
      <c r="A4106" s="1" t="s">
        <v>3354</v>
      </c>
      <c r="B4106" s="15" t="s">
        <v>5277</v>
      </c>
      <c r="C4106" s="4" t="s">
        <v>3016</v>
      </c>
      <c r="D4106" s="4" t="s">
        <v>6321</v>
      </c>
      <c r="E4106" s="4" t="s">
        <v>6320</v>
      </c>
      <c r="F4106" s="4" t="s">
        <v>6322</v>
      </c>
      <c r="G4106" s="1" t="s">
        <v>3190</v>
      </c>
      <c r="H4106" s="17">
        <v>1</v>
      </c>
      <c r="I4106" s="18">
        <v>710000000</v>
      </c>
      <c r="J4106" s="4" t="s">
        <v>1931</v>
      </c>
      <c r="K4106" s="4" t="s">
        <v>5282</v>
      </c>
      <c r="L4106" s="4" t="s">
        <v>2985</v>
      </c>
      <c r="M4106" s="1"/>
      <c r="N4106" s="4" t="s">
        <v>1408</v>
      </c>
      <c r="O4106" s="4" t="s">
        <v>6257</v>
      </c>
      <c r="P4106" s="1"/>
      <c r="Q4106" s="4"/>
      <c r="R4106" s="26"/>
      <c r="S4106" s="26"/>
      <c r="T4106" s="26">
        <v>2209538.4300000002</v>
      </c>
      <c r="U4106" s="26">
        <f t="shared" si="2657"/>
        <v>2474683.0416000006</v>
      </c>
      <c r="V4106" s="11" t="s">
        <v>3182</v>
      </c>
      <c r="W4106" s="11">
        <v>2015</v>
      </c>
      <c r="X4106" s="27"/>
    </row>
    <row r="4107" spans="1:24" s="28" customFormat="1" ht="51" customHeight="1" x14ac:dyDescent="0.2">
      <c r="A4107" s="1" t="s">
        <v>3355</v>
      </c>
      <c r="B4107" s="15" t="s">
        <v>5277</v>
      </c>
      <c r="C4107" s="4" t="s">
        <v>3011</v>
      </c>
      <c r="D4107" s="4" t="s">
        <v>6316</v>
      </c>
      <c r="E4107" s="4" t="s">
        <v>6317</v>
      </c>
      <c r="F4107" s="4"/>
      <c r="G4107" s="1" t="s">
        <v>3190</v>
      </c>
      <c r="H4107" s="17">
        <v>1</v>
      </c>
      <c r="I4107" s="18">
        <v>710000000</v>
      </c>
      <c r="J4107" s="4" t="s">
        <v>1931</v>
      </c>
      <c r="K4107" s="4" t="s">
        <v>5282</v>
      </c>
      <c r="L4107" s="4" t="s">
        <v>3040</v>
      </c>
      <c r="M4107" s="1"/>
      <c r="N4107" s="4" t="s">
        <v>1408</v>
      </c>
      <c r="O4107" s="4" t="s">
        <v>6257</v>
      </c>
      <c r="P4107" s="1"/>
      <c r="Q4107" s="4"/>
      <c r="R4107" s="26"/>
      <c r="S4107" s="26"/>
      <c r="T4107" s="26">
        <f>24406.93+30510</f>
        <v>54916.93</v>
      </c>
      <c r="U4107" s="26">
        <f t="shared" si="2657"/>
        <v>61506.96160000001</v>
      </c>
      <c r="V4107" s="11" t="s">
        <v>3182</v>
      </c>
      <c r="W4107" s="11">
        <v>2015</v>
      </c>
      <c r="X4107" s="27"/>
    </row>
    <row r="4108" spans="1:24" s="28" customFormat="1" ht="51" customHeight="1" x14ac:dyDescent="0.2">
      <c r="A4108" s="1" t="s">
        <v>3356</v>
      </c>
      <c r="B4108" s="15" t="s">
        <v>5277</v>
      </c>
      <c r="C4108" s="4" t="s">
        <v>3013</v>
      </c>
      <c r="D4108" s="4" t="s">
        <v>6318</v>
      </c>
      <c r="E4108" s="4" t="s">
        <v>6319</v>
      </c>
      <c r="F4108" s="4"/>
      <c r="G4108" s="1" t="s">
        <v>3190</v>
      </c>
      <c r="H4108" s="17">
        <v>1</v>
      </c>
      <c r="I4108" s="18">
        <v>710000000</v>
      </c>
      <c r="J4108" s="4" t="s">
        <v>1931</v>
      </c>
      <c r="K4108" s="4" t="s">
        <v>5282</v>
      </c>
      <c r="L4108" s="4" t="s">
        <v>3040</v>
      </c>
      <c r="M4108" s="1"/>
      <c r="N4108" s="4" t="s">
        <v>1408</v>
      </c>
      <c r="O4108" s="4" t="s">
        <v>6257</v>
      </c>
      <c r="P4108" s="1"/>
      <c r="Q4108" s="4"/>
      <c r="R4108" s="26"/>
      <c r="S4108" s="26"/>
      <c r="T4108" s="26">
        <v>179760</v>
      </c>
      <c r="U4108" s="26">
        <f t="shared" si="2657"/>
        <v>201331.20000000001</v>
      </c>
      <c r="V4108" s="11" t="s">
        <v>3182</v>
      </c>
      <c r="W4108" s="11">
        <v>2015</v>
      </c>
      <c r="X4108" s="27"/>
    </row>
    <row r="4109" spans="1:24" s="28" customFormat="1" ht="38.25" customHeight="1" x14ac:dyDescent="0.2">
      <c r="A4109" s="1" t="s">
        <v>4213</v>
      </c>
      <c r="B4109" s="15" t="s">
        <v>5277</v>
      </c>
      <c r="C4109" s="4" t="s">
        <v>3016</v>
      </c>
      <c r="D4109" s="4" t="s">
        <v>6321</v>
      </c>
      <c r="E4109" s="4" t="s">
        <v>6320</v>
      </c>
      <c r="F4109" s="4" t="s">
        <v>6322</v>
      </c>
      <c r="G4109" s="1" t="s">
        <v>3190</v>
      </c>
      <c r="H4109" s="17">
        <v>1</v>
      </c>
      <c r="I4109" s="18">
        <v>710000000</v>
      </c>
      <c r="J4109" s="4" t="s">
        <v>1931</v>
      </c>
      <c r="K4109" s="4" t="s">
        <v>5282</v>
      </c>
      <c r="L4109" s="4" t="s">
        <v>3040</v>
      </c>
      <c r="M4109" s="1"/>
      <c r="N4109" s="4" t="s">
        <v>1408</v>
      </c>
      <c r="O4109" s="4" t="s">
        <v>6257</v>
      </c>
      <c r="P4109" s="1"/>
      <c r="Q4109" s="4"/>
      <c r="R4109" s="26"/>
      <c r="S4109" s="26"/>
      <c r="T4109" s="26">
        <v>45857.14</v>
      </c>
      <c r="U4109" s="26">
        <f t="shared" si="2657"/>
        <v>51359.996800000001</v>
      </c>
      <c r="V4109" s="11" t="s">
        <v>3182</v>
      </c>
      <c r="W4109" s="11">
        <v>2015</v>
      </c>
      <c r="X4109" s="27"/>
    </row>
    <row r="4110" spans="1:24" s="28" customFormat="1" ht="51" customHeight="1" x14ac:dyDescent="0.2">
      <c r="A4110" s="1" t="s">
        <v>3357</v>
      </c>
      <c r="B4110" s="15" t="s">
        <v>5277</v>
      </c>
      <c r="C4110" s="4" t="s">
        <v>3011</v>
      </c>
      <c r="D4110" s="4" t="s">
        <v>6316</v>
      </c>
      <c r="E4110" s="4" t="s">
        <v>6317</v>
      </c>
      <c r="F4110" s="4"/>
      <c r="G4110" s="1" t="s">
        <v>3190</v>
      </c>
      <c r="H4110" s="17">
        <v>1</v>
      </c>
      <c r="I4110" s="18">
        <v>710000000</v>
      </c>
      <c r="J4110" s="4" t="s">
        <v>1931</v>
      </c>
      <c r="K4110" s="4" t="s">
        <v>5282</v>
      </c>
      <c r="L4110" s="7" t="s">
        <v>1356</v>
      </c>
      <c r="M4110" s="1"/>
      <c r="N4110" s="4" t="s">
        <v>1408</v>
      </c>
      <c r="O4110" s="4" t="s">
        <v>6257</v>
      </c>
      <c r="P4110" s="1"/>
      <c r="Q4110" s="4"/>
      <c r="R4110" s="26"/>
      <c r="S4110" s="26"/>
      <c r="T4110" s="26">
        <v>500000</v>
      </c>
      <c r="U4110" s="26">
        <f t="shared" si="2657"/>
        <v>560000</v>
      </c>
      <c r="V4110" s="11" t="s">
        <v>3182</v>
      </c>
      <c r="W4110" s="11">
        <v>2015</v>
      </c>
      <c r="X4110" s="27"/>
    </row>
    <row r="4111" spans="1:24" s="28" customFormat="1" ht="51" customHeight="1" x14ac:dyDescent="0.2">
      <c r="A4111" s="1" t="s">
        <v>3358</v>
      </c>
      <c r="B4111" s="15" t="s">
        <v>5277</v>
      </c>
      <c r="C4111" s="4" t="s">
        <v>3011</v>
      </c>
      <c r="D4111" s="4" t="s">
        <v>6316</v>
      </c>
      <c r="E4111" s="4" t="s">
        <v>6317</v>
      </c>
      <c r="F4111" s="4"/>
      <c r="G4111" s="1" t="s">
        <v>3190</v>
      </c>
      <c r="H4111" s="17">
        <v>1</v>
      </c>
      <c r="I4111" s="18">
        <v>710000000</v>
      </c>
      <c r="J4111" s="4" t="s">
        <v>1931</v>
      </c>
      <c r="K4111" s="4" t="s">
        <v>5282</v>
      </c>
      <c r="L4111" s="7" t="s">
        <v>1409</v>
      </c>
      <c r="M4111" s="1"/>
      <c r="N4111" s="4" t="s">
        <v>1408</v>
      </c>
      <c r="O4111" s="4" t="s">
        <v>6257</v>
      </c>
      <c r="P4111" s="1"/>
      <c r="Q4111" s="4"/>
      <c r="R4111" s="26"/>
      <c r="S4111" s="26"/>
      <c r="T4111" s="26">
        <v>1206981</v>
      </c>
      <c r="U4111" s="26">
        <f t="shared" si="2657"/>
        <v>1351818.7200000002</v>
      </c>
      <c r="V4111" s="11" t="s">
        <v>3182</v>
      </c>
      <c r="W4111" s="11">
        <v>2015</v>
      </c>
      <c r="X4111" s="27"/>
    </row>
    <row r="4112" spans="1:24" s="28" customFormat="1" ht="51" customHeight="1" x14ac:dyDescent="0.2">
      <c r="A4112" s="1" t="s">
        <v>3359</v>
      </c>
      <c r="B4112" s="15" t="s">
        <v>5277</v>
      </c>
      <c r="C4112" s="4" t="s">
        <v>3011</v>
      </c>
      <c r="D4112" s="4" t="s">
        <v>6316</v>
      </c>
      <c r="E4112" s="4" t="s">
        <v>6317</v>
      </c>
      <c r="F4112" s="4"/>
      <c r="G4112" s="1" t="s">
        <v>3190</v>
      </c>
      <c r="H4112" s="17">
        <v>1</v>
      </c>
      <c r="I4112" s="18">
        <v>710000000</v>
      </c>
      <c r="J4112" s="4" t="s">
        <v>1931</v>
      </c>
      <c r="K4112" s="4" t="s">
        <v>5282</v>
      </c>
      <c r="L4112" s="4" t="s">
        <v>5668</v>
      </c>
      <c r="M4112" s="1"/>
      <c r="N4112" s="4" t="s">
        <v>1408</v>
      </c>
      <c r="O4112" s="4" t="s">
        <v>6257</v>
      </c>
      <c r="P4112" s="1"/>
      <c r="Q4112" s="4"/>
      <c r="R4112" s="26"/>
      <c r="S4112" s="26"/>
      <c r="T4112" s="26">
        <v>84000</v>
      </c>
      <c r="U4112" s="26">
        <f t="shared" si="2657"/>
        <v>94080.000000000015</v>
      </c>
      <c r="V4112" s="11" t="s">
        <v>3182</v>
      </c>
      <c r="W4112" s="11">
        <v>2015</v>
      </c>
      <c r="X4112" s="27"/>
    </row>
    <row r="4113" spans="1:193" s="28" customFormat="1" ht="51" customHeight="1" x14ac:dyDescent="0.2">
      <c r="A4113" s="1" t="s">
        <v>3360</v>
      </c>
      <c r="B4113" s="15" t="s">
        <v>5277</v>
      </c>
      <c r="C4113" s="4" t="s">
        <v>3011</v>
      </c>
      <c r="D4113" s="4" t="s">
        <v>6316</v>
      </c>
      <c r="E4113" s="4" t="s">
        <v>6317</v>
      </c>
      <c r="F4113" s="4"/>
      <c r="G4113" s="1" t="s">
        <v>3190</v>
      </c>
      <c r="H4113" s="17">
        <v>1</v>
      </c>
      <c r="I4113" s="18">
        <v>710000000</v>
      </c>
      <c r="J4113" s="4" t="s">
        <v>1931</v>
      </c>
      <c r="K4113" s="4" t="s">
        <v>5282</v>
      </c>
      <c r="L4113" s="4" t="s">
        <v>5689</v>
      </c>
      <c r="M4113" s="1"/>
      <c r="N4113" s="4" t="s">
        <v>1408</v>
      </c>
      <c r="O4113" s="4" t="s">
        <v>6257</v>
      </c>
      <c r="P4113" s="1"/>
      <c r="Q4113" s="4"/>
      <c r="R4113" s="26"/>
      <c r="S4113" s="26"/>
      <c r="T4113" s="26">
        <v>385200</v>
      </c>
      <c r="U4113" s="26">
        <f t="shared" si="2657"/>
        <v>431424.00000000006</v>
      </c>
      <c r="V4113" s="11" t="s">
        <v>3182</v>
      </c>
      <c r="W4113" s="11">
        <v>2015</v>
      </c>
      <c r="X4113" s="27"/>
    </row>
    <row r="4114" spans="1:193" s="28" customFormat="1" ht="38.25" customHeight="1" x14ac:dyDescent="0.2">
      <c r="A4114" s="1" t="s">
        <v>3361</v>
      </c>
      <c r="B4114" s="15" t="s">
        <v>5277</v>
      </c>
      <c r="C4114" s="4" t="s">
        <v>3016</v>
      </c>
      <c r="D4114" s="4" t="s">
        <v>6321</v>
      </c>
      <c r="E4114" s="4" t="s">
        <v>6320</v>
      </c>
      <c r="F4114" s="4"/>
      <c r="G4114" s="1" t="s">
        <v>3190</v>
      </c>
      <c r="H4114" s="17">
        <v>1</v>
      </c>
      <c r="I4114" s="18">
        <v>710000000</v>
      </c>
      <c r="J4114" s="4" t="s">
        <v>1931</v>
      </c>
      <c r="K4114" s="4" t="s">
        <v>5282</v>
      </c>
      <c r="L4114" s="4" t="s">
        <v>5689</v>
      </c>
      <c r="M4114" s="1"/>
      <c r="N4114" s="4" t="s">
        <v>1408</v>
      </c>
      <c r="O4114" s="4" t="s">
        <v>6257</v>
      </c>
      <c r="P4114" s="1"/>
      <c r="Q4114" s="4"/>
      <c r="R4114" s="26"/>
      <c r="S4114" s="26"/>
      <c r="T4114" s="26">
        <v>60000</v>
      </c>
      <c r="U4114" s="26">
        <f t="shared" si="2657"/>
        <v>67200</v>
      </c>
      <c r="V4114" s="11" t="s">
        <v>3182</v>
      </c>
      <c r="W4114" s="11">
        <v>2015</v>
      </c>
      <c r="X4114" s="27"/>
    </row>
    <row r="4115" spans="1:193" s="28" customFormat="1" ht="89.25" customHeight="1" x14ac:dyDescent="0.2">
      <c r="A4115" s="1" t="s">
        <v>3362</v>
      </c>
      <c r="B4115" s="15" t="s">
        <v>5277</v>
      </c>
      <c r="C4115" s="4" t="s">
        <v>2987</v>
      </c>
      <c r="D4115" s="4" t="s">
        <v>6314</v>
      </c>
      <c r="E4115" s="4" t="s">
        <v>6315</v>
      </c>
      <c r="F4115" s="4" t="s">
        <v>574</v>
      </c>
      <c r="G4115" s="1" t="s">
        <v>3190</v>
      </c>
      <c r="H4115" s="17">
        <v>1</v>
      </c>
      <c r="I4115" s="18">
        <v>710000000</v>
      </c>
      <c r="J4115" s="4" t="s">
        <v>1931</v>
      </c>
      <c r="K4115" s="4" t="s">
        <v>5282</v>
      </c>
      <c r="L4115" s="4" t="s">
        <v>2985</v>
      </c>
      <c r="M4115" s="1"/>
      <c r="N4115" s="4" t="s">
        <v>1408</v>
      </c>
      <c r="O4115" s="4" t="s">
        <v>6257</v>
      </c>
      <c r="P4115" s="1"/>
      <c r="Q4115" s="4"/>
      <c r="R4115" s="26"/>
      <c r="S4115" s="26"/>
      <c r="T4115" s="26">
        <v>4500000</v>
      </c>
      <c r="U4115" s="26">
        <f t="shared" si="2657"/>
        <v>5040000.0000000009</v>
      </c>
      <c r="V4115" s="11" t="s">
        <v>3182</v>
      </c>
      <c r="W4115" s="11">
        <v>2015</v>
      </c>
      <c r="X4115" s="27"/>
    </row>
    <row r="4116" spans="1:193" s="28" customFormat="1" ht="102" customHeight="1" x14ac:dyDescent="0.2">
      <c r="A4116" s="1" t="s">
        <v>3363</v>
      </c>
      <c r="B4116" s="15" t="s">
        <v>5277</v>
      </c>
      <c r="C4116" s="4" t="s">
        <v>3017</v>
      </c>
      <c r="D4116" s="4" t="s">
        <v>737</v>
      </c>
      <c r="E4116" s="4" t="s">
        <v>6323</v>
      </c>
      <c r="F4116" s="4" t="s">
        <v>6324</v>
      </c>
      <c r="G4116" s="1" t="s">
        <v>3190</v>
      </c>
      <c r="H4116" s="17">
        <v>1</v>
      </c>
      <c r="I4116" s="18">
        <v>710000000</v>
      </c>
      <c r="J4116" s="4" t="s">
        <v>1931</v>
      </c>
      <c r="K4116" s="4" t="s">
        <v>5282</v>
      </c>
      <c r="L4116" s="4" t="s">
        <v>2985</v>
      </c>
      <c r="M4116" s="1"/>
      <c r="N4116" s="4" t="s">
        <v>1408</v>
      </c>
      <c r="O4116" s="4" t="s">
        <v>6257</v>
      </c>
      <c r="P4116" s="1"/>
      <c r="Q4116" s="4"/>
      <c r="R4116" s="26"/>
      <c r="S4116" s="26"/>
      <c r="T4116" s="26">
        <v>0</v>
      </c>
      <c r="U4116" s="26">
        <f t="shared" si="2657"/>
        <v>0</v>
      </c>
      <c r="V4116" s="11" t="s">
        <v>3182</v>
      </c>
      <c r="W4116" s="11">
        <v>2015</v>
      </c>
      <c r="X4116" s="27" t="s">
        <v>7006</v>
      </c>
    </row>
    <row r="4117" spans="1:193" s="28" customFormat="1" ht="102" customHeight="1" x14ac:dyDescent="0.2">
      <c r="A4117" s="1" t="s">
        <v>7657</v>
      </c>
      <c r="B4117" s="15" t="s">
        <v>5277</v>
      </c>
      <c r="C4117" s="4" t="s">
        <v>3017</v>
      </c>
      <c r="D4117" s="4" t="s">
        <v>737</v>
      </c>
      <c r="E4117" s="4" t="s">
        <v>6323</v>
      </c>
      <c r="F4117" s="4" t="s">
        <v>6324</v>
      </c>
      <c r="G4117" s="1" t="s">
        <v>3190</v>
      </c>
      <c r="H4117" s="17">
        <v>1</v>
      </c>
      <c r="I4117" s="18">
        <v>710000000</v>
      </c>
      <c r="J4117" s="4" t="s">
        <v>1931</v>
      </c>
      <c r="K4117" s="4" t="s">
        <v>756</v>
      </c>
      <c r="L4117" s="4" t="s">
        <v>2985</v>
      </c>
      <c r="M4117" s="1"/>
      <c r="N4117" s="4" t="s">
        <v>1408</v>
      </c>
      <c r="O4117" s="4" t="s">
        <v>6257</v>
      </c>
      <c r="P4117" s="1"/>
      <c r="Q4117" s="4"/>
      <c r="R4117" s="26"/>
      <c r="S4117" s="26"/>
      <c r="T4117" s="26">
        <v>900000</v>
      </c>
      <c r="U4117" s="26">
        <f t="shared" ref="U4117" si="2666">T4117*1.12</f>
        <v>1008000.0000000001</v>
      </c>
      <c r="V4117" s="11" t="s">
        <v>3182</v>
      </c>
      <c r="W4117" s="11">
        <v>2015</v>
      </c>
      <c r="X4117" s="27"/>
    </row>
    <row r="4118" spans="1:193" s="28" customFormat="1" ht="51" customHeight="1" x14ac:dyDescent="0.2">
      <c r="A4118" s="1" t="s">
        <v>3364</v>
      </c>
      <c r="B4118" s="15" t="s">
        <v>5277</v>
      </c>
      <c r="C4118" s="4" t="s">
        <v>738</v>
      </c>
      <c r="D4118" s="4" t="s">
        <v>739</v>
      </c>
      <c r="E4118" s="4" t="s">
        <v>740</v>
      </c>
      <c r="F4118" s="4" t="s">
        <v>6325</v>
      </c>
      <c r="G4118" s="1" t="s">
        <v>3190</v>
      </c>
      <c r="H4118" s="17">
        <v>1</v>
      </c>
      <c r="I4118" s="18">
        <v>710000000</v>
      </c>
      <c r="J4118" s="4" t="s">
        <v>1931</v>
      </c>
      <c r="K4118" s="4" t="s">
        <v>5282</v>
      </c>
      <c r="L4118" s="4" t="s">
        <v>2985</v>
      </c>
      <c r="M4118" s="1"/>
      <c r="N4118" s="4" t="s">
        <v>1408</v>
      </c>
      <c r="O4118" s="4" t="s">
        <v>6257</v>
      </c>
      <c r="P4118" s="1"/>
      <c r="Q4118" s="4"/>
      <c r="R4118" s="26"/>
      <c r="S4118" s="26"/>
      <c r="T4118" s="26">
        <v>1458000</v>
      </c>
      <c r="U4118" s="26">
        <f t="shared" si="2657"/>
        <v>1632960.0000000002</v>
      </c>
      <c r="V4118" s="11" t="s">
        <v>3182</v>
      </c>
      <c r="W4118" s="11">
        <v>2015</v>
      </c>
      <c r="X4118" s="27"/>
    </row>
    <row r="4119" spans="1:193" s="28" customFormat="1" ht="76.5" customHeight="1" x14ac:dyDescent="0.2">
      <c r="A4119" s="1" t="s">
        <v>3365</v>
      </c>
      <c r="B4119" s="15" t="s">
        <v>5277</v>
      </c>
      <c r="C4119" s="4" t="s">
        <v>3018</v>
      </c>
      <c r="D4119" s="4" t="s">
        <v>6326</v>
      </c>
      <c r="E4119" s="4" t="s">
        <v>6327</v>
      </c>
      <c r="F4119" s="4" t="s">
        <v>6328</v>
      </c>
      <c r="G4119" s="1" t="s">
        <v>3190</v>
      </c>
      <c r="H4119" s="17">
        <v>1</v>
      </c>
      <c r="I4119" s="18">
        <v>710000000</v>
      </c>
      <c r="J4119" s="4" t="s">
        <v>1931</v>
      </c>
      <c r="K4119" s="4" t="s">
        <v>5297</v>
      </c>
      <c r="L4119" s="4" t="s">
        <v>2985</v>
      </c>
      <c r="M4119" s="1"/>
      <c r="N4119" s="4" t="s">
        <v>1408</v>
      </c>
      <c r="O4119" s="4" t="s">
        <v>6257</v>
      </c>
      <c r="P4119" s="1"/>
      <c r="Q4119" s="4"/>
      <c r="R4119" s="26"/>
      <c r="S4119" s="26"/>
      <c r="T4119" s="26">
        <v>808000</v>
      </c>
      <c r="U4119" s="26">
        <f t="shared" si="2657"/>
        <v>904960.00000000012</v>
      </c>
      <c r="V4119" s="11" t="s">
        <v>3182</v>
      </c>
      <c r="W4119" s="11">
        <v>2015</v>
      </c>
      <c r="X4119" s="27"/>
    </row>
    <row r="4120" spans="1:193" s="28" customFormat="1" ht="76.5" customHeight="1" x14ac:dyDescent="0.2">
      <c r="A4120" s="1" t="s">
        <v>3366</v>
      </c>
      <c r="B4120" s="15" t="s">
        <v>5277</v>
      </c>
      <c r="C4120" s="4" t="s">
        <v>3018</v>
      </c>
      <c r="D4120" s="4" t="s">
        <v>6326</v>
      </c>
      <c r="E4120" s="4" t="s">
        <v>6327</v>
      </c>
      <c r="F4120" s="4" t="s">
        <v>6328</v>
      </c>
      <c r="G4120" s="1" t="s">
        <v>3190</v>
      </c>
      <c r="H4120" s="17">
        <v>1</v>
      </c>
      <c r="I4120" s="18">
        <v>710000000</v>
      </c>
      <c r="J4120" s="4" t="s">
        <v>1931</v>
      </c>
      <c r="K4120" s="4" t="s">
        <v>5297</v>
      </c>
      <c r="L4120" s="4" t="s">
        <v>3040</v>
      </c>
      <c r="M4120" s="1"/>
      <c r="N4120" s="4" t="s">
        <v>1408</v>
      </c>
      <c r="O4120" s="4" t="s">
        <v>6257</v>
      </c>
      <c r="P4120" s="1"/>
      <c r="Q4120" s="4"/>
      <c r="R4120" s="26"/>
      <c r="S4120" s="26"/>
      <c r="T4120" s="26">
        <v>4776.79</v>
      </c>
      <c r="U4120" s="26">
        <f t="shared" si="2657"/>
        <v>5350.0048000000006</v>
      </c>
      <c r="V4120" s="11" t="s">
        <v>3182</v>
      </c>
      <c r="W4120" s="11">
        <v>2015</v>
      </c>
      <c r="X4120" s="27"/>
    </row>
    <row r="4121" spans="1:193" s="28" customFormat="1" ht="76.5" customHeight="1" x14ac:dyDescent="0.2">
      <c r="A4121" s="1" t="s">
        <v>3367</v>
      </c>
      <c r="B4121" s="15" t="s">
        <v>5277</v>
      </c>
      <c r="C4121" s="4" t="s">
        <v>3018</v>
      </c>
      <c r="D4121" s="4" t="s">
        <v>6326</v>
      </c>
      <c r="E4121" s="4" t="s">
        <v>6327</v>
      </c>
      <c r="F4121" s="4" t="s">
        <v>6328</v>
      </c>
      <c r="G4121" s="1" t="s">
        <v>3190</v>
      </c>
      <c r="H4121" s="17">
        <v>1</v>
      </c>
      <c r="I4121" s="18">
        <v>710000000</v>
      </c>
      <c r="J4121" s="4" t="s">
        <v>1931</v>
      </c>
      <c r="K4121" s="4" t="s">
        <v>5297</v>
      </c>
      <c r="L4121" s="7" t="s">
        <v>1409</v>
      </c>
      <c r="M4121" s="1"/>
      <c r="N4121" s="4" t="s">
        <v>1408</v>
      </c>
      <c r="O4121" s="4" t="s">
        <v>6257</v>
      </c>
      <c r="P4121" s="1"/>
      <c r="Q4121" s="4"/>
      <c r="R4121" s="26"/>
      <c r="S4121" s="26"/>
      <c r="T4121" s="26">
        <v>115200</v>
      </c>
      <c r="U4121" s="26">
        <f t="shared" si="2657"/>
        <v>129024.00000000001</v>
      </c>
      <c r="V4121" s="11" t="s">
        <v>3182</v>
      </c>
      <c r="W4121" s="11">
        <v>2015</v>
      </c>
      <c r="X4121" s="27"/>
    </row>
    <row r="4122" spans="1:193" s="28" customFormat="1" ht="76.5" customHeight="1" x14ac:dyDescent="0.2">
      <c r="A4122" s="1" t="s">
        <v>3368</v>
      </c>
      <c r="B4122" s="15" t="s">
        <v>5277</v>
      </c>
      <c r="C4122" s="4" t="s">
        <v>3018</v>
      </c>
      <c r="D4122" s="4" t="s">
        <v>6326</v>
      </c>
      <c r="E4122" s="4" t="s">
        <v>6327</v>
      </c>
      <c r="F4122" s="4" t="s">
        <v>6328</v>
      </c>
      <c r="G4122" s="1" t="s">
        <v>3190</v>
      </c>
      <c r="H4122" s="17">
        <v>1</v>
      </c>
      <c r="I4122" s="18">
        <v>710000000</v>
      </c>
      <c r="J4122" s="4" t="s">
        <v>1931</v>
      </c>
      <c r="K4122" s="4" t="s">
        <v>5297</v>
      </c>
      <c r="L4122" s="7" t="s">
        <v>5668</v>
      </c>
      <c r="M4122" s="1"/>
      <c r="N4122" s="4" t="s">
        <v>1408</v>
      </c>
      <c r="O4122" s="4" t="s">
        <v>6257</v>
      </c>
      <c r="P4122" s="1"/>
      <c r="Q4122" s="4"/>
      <c r="R4122" s="26"/>
      <c r="S4122" s="26"/>
      <c r="T4122" s="26">
        <v>60000</v>
      </c>
      <c r="U4122" s="26">
        <f t="shared" si="2657"/>
        <v>67200</v>
      </c>
      <c r="V4122" s="11" t="s">
        <v>3182</v>
      </c>
      <c r="W4122" s="11">
        <v>2015</v>
      </c>
      <c r="X4122" s="27"/>
    </row>
    <row r="4123" spans="1:193" s="28" customFormat="1" ht="76.5" customHeight="1" x14ac:dyDescent="0.2">
      <c r="A4123" s="1" t="s">
        <v>3369</v>
      </c>
      <c r="B4123" s="15" t="s">
        <v>5277</v>
      </c>
      <c r="C4123" s="4" t="s">
        <v>3018</v>
      </c>
      <c r="D4123" s="4" t="s">
        <v>6326</v>
      </c>
      <c r="E4123" s="4" t="s">
        <v>6327</v>
      </c>
      <c r="F4123" s="4" t="s">
        <v>6328</v>
      </c>
      <c r="G4123" s="1" t="s">
        <v>3190</v>
      </c>
      <c r="H4123" s="17">
        <v>1</v>
      </c>
      <c r="I4123" s="18">
        <v>710000000</v>
      </c>
      <c r="J4123" s="4" t="s">
        <v>1931</v>
      </c>
      <c r="K4123" s="4" t="s">
        <v>5297</v>
      </c>
      <c r="L4123" s="4" t="s">
        <v>5689</v>
      </c>
      <c r="M4123" s="1"/>
      <c r="N4123" s="4" t="s">
        <v>1408</v>
      </c>
      <c r="O4123" s="4" t="s">
        <v>6257</v>
      </c>
      <c r="P4123" s="1"/>
      <c r="Q4123" s="4"/>
      <c r="R4123" s="26"/>
      <c r="S4123" s="26"/>
      <c r="T4123" s="26">
        <v>100000</v>
      </c>
      <c r="U4123" s="26">
        <f t="shared" si="2657"/>
        <v>112000.00000000001</v>
      </c>
      <c r="V4123" s="11" t="s">
        <v>3182</v>
      </c>
      <c r="W4123" s="11">
        <v>2015</v>
      </c>
      <c r="X4123" s="27"/>
    </row>
    <row r="4124" spans="1:193" s="28" customFormat="1" ht="63.75" customHeight="1" x14ac:dyDescent="0.2">
      <c r="A4124" s="1" t="s">
        <v>3370</v>
      </c>
      <c r="B4124" s="15" t="s">
        <v>5277</v>
      </c>
      <c r="C4124" s="4" t="s">
        <v>741</v>
      </c>
      <c r="D4124" s="4" t="s">
        <v>742</v>
      </c>
      <c r="E4124" s="4" t="s">
        <v>742</v>
      </c>
      <c r="F4124" s="4"/>
      <c r="G4124" s="1" t="s">
        <v>3190</v>
      </c>
      <c r="H4124" s="17">
        <v>1</v>
      </c>
      <c r="I4124" s="18">
        <v>710000000</v>
      </c>
      <c r="J4124" s="4" t="s">
        <v>1931</v>
      </c>
      <c r="K4124" s="4" t="s">
        <v>5282</v>
      </c>
      <c r="L4124" s="4" t="s">
        <v>5689</v>
      </c>
      <c r="M4124" s="1"/>
      <c r="N4124" s="4" t="s">
        <v>1408</v>
      </c>
      <c r="O4124" s="4" t="s">
        <v>6257</v>
      </c>
      <c r="P4124" s="1"/>
      <c r="Q4124" s="4"/>
      <c r="R4124" s="26"/>
      <c r="S4124" s="26"/>
      <c r="T4124" s="26">
        <v>189807.3</v>
      </c>
      <c r="U4124" s="26">
        <f t="shared" si="2657"/>
        <v>212584.17600000001</v>
      </c>
      <c r="V4124" s="11" t="s">
        <v>3182</v>
      </c>
      <c r="W4124" s="11">
        <v>2015</v>
      </c>
      <c r="X4124" s="27"/>
    </row>
    <row r="4125" spans="1:193" ht="38.25" customHeight="1" x14ac:dyDescent="0.2">
      <c r="A4125" s="1" t="s">
        <v>3371</v>
      </c>
      <c r="B4125" s="15" t="s">
        <v>5277</v>
      </c>
      <c r="C4125" s="4" t="s">
        <v>743</v>
      </c>
      <c r="D4125" s="4" t="s">
        <v>744</v>
      </c>
      <c r="E4125" s="4" t="s">
        <v>744</v>
      </c>
      <c r="F4125" s="4"/>
      <c r="G4125" s="1" t="s">
        <v>3190</v>
      </c>
      <c r="H4125" s="17">
        <v>0.5</v>
      </c>
      <c r="I4125" s="18">
        <v>710000000</v>
      </c>
      <c r="J4125" s="4" t="s">
        <v>1931</v>
      </c>
      <c r="K4125" s="4" t="s">
        <v>5282</v>
      </c>
      <c r="L4125" s="4" t="s">
        <v>5689</v>
      </c>
      <c r="M4125" s="1"/>
      <c r="N4125" s="4" t="s">
        <v>1408</v>
      </c>
      <c r="O4125" s="4" t="s">
        <v>6257</v>
      </c>
      <c r="P4125" s="1"/>
      <c r="Q4125" s="4"/>
      <c r="R4125" s="26"/>
      <c r="S4125" s="26"/>
      <c r="T4125" s="26">
        <v>287296.07</v>
      </c>
      <c r="U4125" s="26">
        <f t="shared" si="2657"/>
        <v>321771.59840000002</v>
      </c>
      <c r="V4125" s="11" t="s">
        <v>3182</v>
      </c>
      <c r="W4125" s="11">
        <v>2015</v>
      </c>
      <c r="X4125" s="27"/>
      <c r="Y4125" s="28"/>
      <c r="Z4125" s="28"/>
      <c r="AA4125" s="28"/>
      <c r="AB4125" s="28"/>
      <c r="AC4125" s="28"/>
      <c r="AD4125" s="28"/>
      <c r="AE4125" s="28"/>
      <c r="AF4125" s="28"/>
      <c r="AG4125" s="28"/>
      <c r="AH4125" s="28"/>
      <c r="AI4125" s="28"/>
      <c r="AJ4125" s="28"/>
      <c r="AK4125" s="28"/>
      <c r="AL4125" s="28"/>
      <c r="AM4125" s="28"/>
      <c r="AN4125" s="28"/>
      <c r="AO4125" s="28"/>
      <c r="AP4125" s="28"/>
      <c r="AQ4125" s="28"/>
      <c r="AR4125" s="28"/>
      <c r="AS4125" s="28"/>
      <c r="AT4125" s="28"/>
      <c r="AU4125" s="28"/>
      <c r="AV4125" s="28"/>
      <c r="AW4125" s="28"/>
      <c r="AX4125" s="28"/>
      <c r="AY4125" s="28"/>
      <c r="AZ4125" s="28"/>
      <c r="BA4125" s="28"/>
      <c r="BB4125" s="28"/>
      <c r="BC4125" s="28"/>
      <c r="BD4125" s="28"/>
      <c r="BE4125" s="28"/>
      <c r="BF4125" s="28"/>
      <c r="BG4125" s="28"/>
      <c r="BH4125" s="28"/>
      <c r="BI4125" s="28"/>
      <c r="BJ4125" s="28"/>
      <c r="BK4125" s="28"/>
      <c r="BL4125" s="28"/>
      <c r="BM4125" s="28"/>
      <c r="BN4125" s="28"/>
      <c r="BO4125" s="28"/>
      <c r="BP4125" s="28"/>
      <c r="BQ4125" s="28"/>
      <c r="BR4125" s="28"/>
      <c r="BS4125" s="28"/>
      <c r="BT4125" s="28"/>
      <c r="BU4125" s="28"/>
      <c r="BV4125" s="28"/>
      <c r="BW4125" s="28"/>
      <c r="BX4125" s="28"/>
      <c r="BY4125" s="28"/>
      <c r="BZ4125" s="28"/>
      <c r="CA4125" s="28"/>
      <c r="CB4125" s="28"/>
      <c r="CC4125" s="28"/>
      <c r="CD4125" s="28"/>
      <c r="CE4125" s="28"/>
      <c r="CF4125" s="28"/>
      <c r="CG4125" s="28"/>
      <c r="CH4125" s="28"/>
      <c r="CI4125" s="28"/>
      <c r="CJ4125" s="28"/>
      <c r="CK4125" s="28"/>
      <c r="CL4125" s="28"/>
      <c r="CM4125" s="28"/>
      <c r="CN4125" s="28"/>
      <c r="CO4125" s="28"/>
      <c r="CP4125" s="28"/>
      <c r="CQ4125" s="28"/>
      <c r="CR4125" s="28"/>
      <c r="CS4125" s="28"/>
      <c r="CT4125" s="28"/>
      <c r="CU4125" s="28"/>
      <c r="CV4125" s="28"/>
      <c r="CW4125" s="28"/>
      <c r="CX4125" s="28"/>
      <c r="CY4125" s="28"/>
      <c r="CZ4125" s="28"/>
      <c r="DA4125" s="28"/>
      <c r="DB4125" s="28"/>
      <c r="DC4125" s="28"/>
      <c r="DD4125" s="28"/>
      <c r="DE4125" s="28"/>
      <c r="DF4125" s="28"/>
      <c r="DG4125" s="28"/>
      <c r="DH4125" s="28"/>
      <c r="DI4125" s="28"/>
      <c r="DJ4125" s="28"/>
      <c r="DK4125" s="28"/>
      <c r="DL4125" s="28"/>
      <c r="DM4125" s="28"/>
      <c r="DN4125" s="28"/>
      <c r="DO4125" s="28"/>
      <c r="DP4125" s="28"/>
      <c r="DQ4125" s="28"/>
      <c r="DR4125" s="28"/>
      <c r="DS4125" s="28"/>
      <c r="DT4125" s="28"/>
      <c r="DU4125" s="28"/>
      <c r="DV4125" s="28"/>
      <c r="DW4125" s="28"/>
      <c r="DX4125" s="28"/>
      <c r="DY4125" s="28"/>
      <c r="DZ4125" s="28"/>
      <c r="EA4125" s="28"/>
      <c r="EB4125" s="28"/>
      <c r="EC4125" s="28"/>
      <c r="ED4125" s="28"/>
      <c r="EE4125" s="28"/>
      <c r="EF4125" s="28"/>
      <c r="EG4125" s="28"/>
      <c r="EH4125" s="28"/>
      <c r="EI4125" s="28"/>
      <c r="EJ4125" s="28"/>
      <c r="EK4125" s="28"/>
      <c r="EL4125" s="28"/>
      <c r="EM4125" s="28"/>
      <c r="EN4125" s="28"/>
      <c r="EO4125" s="28"/>
      <c r="EP4125" s="28"/>
      <c r="EQ4125" s="28"/>
      <c r="ER4125" s="28"/>
      <c r="ES4125" s="28"/>
      <c r="ET4125" s="28"/>
      <c r="EU4125" s="28"/>
      <c r="EV4125" s="28"/>
      <c r="EW4125" s="28"/>
      <c r="EX4125" s="28"/>
      <c r="EY4125" s="28"/>
      <c r="EZ4125" s="28"/>
      <c r="FA4125" s="28"/>
      <c r="FB4125" s="28"/>
      <c r="FC4125" s="28"/>
      <c r="FD4125" s="28"/>
      <c r="FE4125" s="28"/>
      <c r="FF4125" s="28"/>
      <c r="FG4125" s="28"/>
      <c r="FH4125" s="28"/>
      <c r="FI4125" s="28"/>
      <c r="FJ4125" s="28"/>
      <c r="FK4125" s="28"/>
      <c r="FL4125" s="28"/>
      <c r="FM4125" s="28"/>
      <c r="FN4125" s="28"/>
      <c r="FO4125" s="28"/>
      <c r="FP4125" s="28"/>
      <c r="FQ4125" s="28"/>
      <c r="FR4125" s="28"/>
      <c r="FS4125" s="28"/>
      <c r="FT4125" s="28"/>
      <c r="FU4125" s="28"/>
      <c r="FV4125" s="28"/>
      <c r="FW4125" s="28"/>
      <c r="FX4125" s="28"/>
      <c r="FY4125" s="28"/>
      <c r="FZ4125" s="28"/>
      <c r="GA4125" s="28"/>
      <c r="GB4125" s="28"/>
      <c r="GC4125" s="28"/>
      <c r="GD4125" s="28"/>
      <c r="GE4125" s="28"/>
      <c r="GF4125" s="28"/>
      <c r="GG4125" s="28"/>
      <c r="GH4125" s="28"/>
      <c r="GI4125" s="28"/>
      <c r="GJ4125" s="28"/>
      <c r="GK4125" s="28"/>
    </row>
    <row r="4126" spans="1:193" ht="38.25" customHeight="1" x14ac:dyDescent="0.2">
      <c r="A4126" s="1" t="s">
        <v>3372</v>
      </c>
      <c r="B4126" s="15" t="s">
        <v>5277</v>
      </c>
      <c r="C4126" s="4" t="s">
        <v>3707</v>
      </c>
      <c r="D4126" s="4" t="s">
        <v>6372</v>
      </c>
      <c r="E4126" s="4" t="s">
        <v>6373</v>
      </c>
      <c r="F4126" s="4"/>
      <c r="G4126" s="1" t="s">
        <v>3187</v>
      </c>
      <c r="H4126" s="17">
        <v>0.5</v>
      </c>
      <c r="I4126" s="18">
        <v>710000000</v>
      </c>
      <c r="J4126" s="4" t="s">
        <v>1931</v>
      </c>
      <c r="K4126" s="4" t="s">
        <v>5282</v>
      </c>
      <c r="L4126" s="4" t="s">
        <v>5689</v>
      </c>
      <c r="M4126" s="1"/>
      <c r="N4126" s="4" t="s">
        <v>1408</v>
      </c>
      <c r="O4126" s="4" t="s">
        <v>6257</v>
      </c>
      <c r="P4126" s="1"/>
      <c r="Q4126" s="4"/>
      <c r="R4126" s="26"/>
      <c r="S4126" s="26"/>
      <c r="T4126" s="26">
        <v>0</v>
      </c>
      <c r="U4126" s="26">
        <f t="shared" si="2657"/>
        <v>0</v>
      </c>
      <c r="V4126" s="11" t="s">
        <v>3182</v>
      </c>
      <c r="W4126" s="11">
        <v>2015</v>
      </c>
      <c r="X4126" s="27" t="s">
        <v>7632</v>
      </c>
      <c r="Y4126" s="28"/>
      <c r="Z4126" s="28"/>
      <c r="AA4126" s="28"/>
      <c r="AB4126" s="28"/>
      <c r="AC4126" s="28"/>
      <c r="AD4126" s="28"/>
      <c r="AE4126" s="28"/>
      <c r="AF4126" s="28"/>
      <c r="AG4126" s="28"/>
      <c r="AH4126" s="28"/>
      <c r="AI4126" s="28"/>
      <c r="AJ4126" s="28"/>
      <c r="AK4126" s="28"/>
      <c r="AL4126" s="28"/>
      <c r="AM4126" s="28"/>
      <c r="AN4126" s="28"/>
      <c r="AO4126" s="28"/>
      <c r="AP4126" s="28"/>
      <c r="AQ4126" s="28"/>
      <c r="AR4126" s="28"/>
      <c r="AS4126" s="28"/>
      <c r="AT4126" s="28"/>
      <c r="AU4126" s="28"/>
      <c r="AV4126" s="28"/>
      <c r="AW4126" s="28"/>
      <c r="AX4126" s="28"/>
      <c r="AY4126" s="28"/>
      <c r="AZ4126" s="28"/>
      <c r="BA4126" s="28"/>
      <c r="BB4126" s="28"/>
      <c r="BC4126" s="28"/>
      <c r="BD4126" s="28"/>
      <c r="BE4126" s="28"/>
      <c r="BF4126" s="28"/>
      <c r="BG4126" s="28"/>
      <c r="BH4126" s="28"/>
      <c r="BI4126" s="28"/>
      <c r="BJ4126" s="28"/>
      <c r="BK4126" s="28"/>
      <c r="BL4126" s="28"/>
      <c r="BM4126" s="28"/>
      <c r="BN4126" s="28"/>
      <c r="BO4126" s="28"/>
      <c r="BP4126" s="28"/>
      <c r="BQ4126" s="28"/>
      <c r="BR4126" s="28"/>
      <c r="BS4126" s="28"/>
      <c r="BT4126" s="28"/>
      <c r="BU4126" s="28"/>
      <c r="BV4126" s="28"/>
      <c r="BW4126" s="28"/>
      <c r="BX4126" s="28"/>
      <c r="BY4126" s="28"/>
      <c r="BZ4126" s="28"/>
      <c r="CA4126" s="28"/>
      <c r="CB4126" s="28"/>
      <c r="CC4126" s="28"/>
      <c r="CD4126" s="28"/>
      <c r="CE4126" s="28"/>
      <c r="CF4126" s="28"/>
      <c r="CG4126" s="28"/>
      <c r="CH4126" s="28"/>
      <c r="CI4126" s="28"/>
      <c r="CJ4126" s="28"/>
      <c r="CK4126" s="28"/>
      <c r="CL4126" s="28"/>
      <c r="CM4126" s="28"/>
      <c r="CN4126" s="28"/>
      <c r="CO4126" s="28"/>
      <c r="CP4126" s="28"/>
      <c r="CQ4126" s="28"/>
      <c r="CR4126" s="28"/>
      <c r="CS4126" s="28"/>
      <c r="CT4126" s="28"/>
      <c r="CU4126" s="28"/>
      <c r="CV4126" s="28"/>
      <c r="CW4126" s="28"/>
      <c r="CX4126" s="28"/>
      <c r="CY4126" s="28"/>
      <c r="CZ4126" s="28"/>
      <c r="DA4126" s="28"/>
      <c r="DB4126" s="28"/>
      <c r="DC4126" s="28"/>
      <c r="DD4126" s="28"/>
      <c r="DE4126" s="28"/>
      <c r="DF4126" s="28"/>
      <c r="DG4126" s="28"/>
      <c r="DH4126" s="28"/>
      <c r="DI4126" s="28"/>
      <c r="DJ4126" s="28"/>
      <c r="DK4126" s="28"/>
      <c r="DL4126" s="28"/>
      <c r="DM4126" s="28"/>
      <c r="DN4126" s="28"/>
      <c r="DO4126" s="28"/>
      <c r="DP4126" s="28"/>
      <c r="DQ4126" s="28"/>
      <c r="DR4126" s="28"/>
      <c r="DS4126" s="28"/>
      <c r="DT4126" s="28"/>
      <c r="DU4126" s="28"/>
      <c r="DV4126" s="28"/>
      <c r="DW4126" s="28"/>
      <c r="DX4126" s="28"/>
      <c r="DY4126" s="28"/>
      <c r="DZ4126" s="28"/>
      <c r="EA4126" s="28"/>
      <c r="EB4126" s="28"/>
      <c r="EC4126" s="28"/>
      <c r="ED4126" s="28"/>
      <c r="EE4126" s="28"/>
      <c r="EF4126" s="28"/>
      <c r="EG4126" s="28"/>
      <c r="EH4126" s="28"/>
      <c r="EI4126" s="28"/>
      <c r="EJ4126" s="28"/>
      <c r="EK4126" s="28"/>
      <c r="EL4126" s="28"/>
      <c r="EM4126" s="28"/>
      <c r="EN4126" s="28"/>
      <c r="EO4126" s="28"/>
      <c r="EP4126" s="28"/>
      <c r="EQ4126" s="28"/>
      <c r="ER4126" s="28"/>
      <c r="ES4126" s="28"/>
      <c r="ET4126" s="28"/>
      <c r="EU4126" s="28"/>
      <c r="EV4126" s="28"/>
      <c r="EW4126" s="28"/>
      <c r="EX4126" s="28"/>
      <c r="EY4126" s="28"/>
      <c r="EZ4126" s="28"/>
      <c r="FA4126" s="28"/>
      <c r="FB4126" s="28"/>
      <c r="FC4126" s="28"/>
      <c r="FD4126" s="28"/>
      <c r="FE4126" s="28"/>
      <c r="FF4126" s="28"/>
      <c r="FG4126" s="28"/>
      <c r="FH4126" s="28"/>
      <c r="FI4126" s="28"/>
      <c r="FJ4126" s="28"/>
      <c r="FK4126" s="28"/>
      <c r="FL4126" s="28"/>
      <c r="FM4126" s="28"/>
      <c r="FN4126" s="28"/>
      <c r="FO4126" s="28"/>
      <c r="FP4126" s="28"/>
      <c r="FQ4126" s="28"/>
      <c r="FR4126" s="28"/>
      <c r="FS4126" s="28"/>
      <c r="FT4126" s="28"/>
      <c r="FU4126" s="28"/>
      <c r="FV4126" s="28"/>
      <c r="FW4126" s="28"/>
      <c r="FX4126" s="28"/>
      <c r="FY4126" s="28"/>
      <c r="FZ4126" s="28"/>
      <c r="GA4126" s="28"/>
      <c r="GB4126" s="28"/>
      <c r="GC4126" s="28"/>
      <c r="GD4126" s="28"/>
      <c r="GE4126" s="28"/>
      <c r="GF4126" s="28"/>
      <c r="GG4126" s="28"/>
      <c r="GH4126" s="28"/>
      <c r="GI4126" s="28"/>
      <c r="GJ4126" s="28"/>
      <c r="GK4126" s="28"/>
    </row>
    <row r="4127" spans="1:193" ht="38.25" customHeight="1" x14ac:dyDescent="0.2">
      <c r="A4127" s="1" t="s">
        <v>7631</v>
      </c>
      <c r="B4127" s="15" t="s">
        <v>5277</v>
      </c>
      <c r="C4127" s="4" t="s">
        <v>3707</v>
      </c>
      <c r="D4127" s="4" t="s">
        <v>6372</v>
      </c>
      <c r="E4127" s="4" t="s">
        <v>6373</v>
      </c>
      <c r="F4127" s="4"/>
      <c r="G4127" s="1" t="s">
        <v>3190</v>
      </c>
      <c r="H4127" s="17">
        <v>0.5</v>
      </c>
      <c r="I4127" s="18">
        <v>710000000</v>
      </c>
      <c r="J4127" s="4" t="s">
        <v>1931</v>
      </c>
      <c r="K4127" s="4" t="s">
        <v>5292</v>
      </c>
      <c r="L4127" s="4" t="s">
        <v>5689</v>
      </c>
      <c r="M4127" s="1"/>
      <c r="N4127" s="4" t="s">
        <v>1408</v>
      </c>
      <c r="O4127" s="4" t="s">
        <v>6257</v>
      </c>
      <c r="P4127" s="1"/>
      <c r="Q4127" s="4"/>
      <c r="R4127" s="26"/>
      <c r="S4127" s="26"/>
      <c r="T4127" s="26">
        <v>1760000</v>
      </c>
      <c r="U4127" s="26">
        <f t="shared" ref="U4127" si="2667">T4127*1.12</f>
        <v>1971200.0000000002</v>
      </c>
      <c r="V4127" s="11" t="s">
        <v>3182</v>
      </c>
      <c r="W4127" s="11">
        <v>2015</v>
      </c>
      <c r="X4127" s="27"/>
      <c r="Y4127" s="28"/>
      <c r="Z4127" s="28"/>
      <c r="AA4127" s="28"/>
      <c r="AB4127" s="28"/>
      <c r="AC4127" s="28"/>
      <c r="AD4127" s="28"/>
      <c r="AE4127" s="28"/>
      <c r="AF4127" s="28"/>
      <c r="AG4127" s="28"/>
      <c r="AH4127" s="28"/>
      <c r="AI4127" s="28"/>
      <c r="AJ4127" s="28"/>
      <c r="AK4127" s="28"/>
      <c r="AL4127" s="28"/>
      <c r="AM4127" s="28"/>
      <c r="AN4127" s="28"/>
      <c r="AO4127" s="28"/>
      <c r="AP4127" s="28"/>
      <c r="AQ4127" s="28"/>
      <c r="AR4127" s="28"/>
      <c r="AS4127" s="28"/>
      <c r="AT4127" s="28"/>
      <c r="AU4127" s="28"/>
      <c r="AV4127" s="28"/>
      <c r="AW4127" s="28"/>
      <c r="AX4127" s="28"/>
      <c r="AY4127" s="28"/>
      <c r="AZ4127" s="28"/>
      <c r="BA4127" s="28"/>
      <c r="BB4127" s="28"/>
      <c r="BC4127" s="28"/>
      <c r="BD4127" s="28"/>
      <c r="BE4127" s="28"/>
      <c r="BF4127" s="28"/>
      <c r="BG4127" s="28"/>
      <c r="BH4127" s="28"/>
      <c r="BI4127" s="28"/>
      <c r="BJ4127" s="28"/>
      <c r="BK4127" s="28"/>
      <c r="BL4127" s="28"/>
      <c r="BM4127" s="28"/>
      <c r="BN4127" s="28"/>
      <c r="BO4127" s="28"/>
      <c r="BP4127" s="28"/>
      <c r="BQ4127" s="28"/>
      <c r="BR4127" s="28"/>
      <c r="BS4127" s="28"/>
      <c r="BT4127" s="28"/>
      <c r="BU4127" s="28"/>
      <c r="BV4127" s="28"/>
      <c r="BW4127" s="28"/>
      <c r="BX4127" s="28"/>
      <c r="BY4127" s="28"/>
      <c r="BZ4127" s="28"/>
      <c r="CA4127" s="28"/>
      <c r="CB4127" s="28"/>
      <c r="CC4127" s="28"/>
      <c r="CD4127" s="28"/>
      <c r="CE4127" s="28"/>
      <c r="CF4127" s="28"/>
      <c r="CG4127" s="28"/>
      <c r="CH4127" s="28"/>
      <c r="CI4127" s="28"/>
      <c r="CJ4127" s="28"/>
      <c r="CK4127" s="28"/>
      <c r="CL4127" s="28"/>
      <c r="CM4127" s="28"/>
      <c r="CN4127" s="28"/>
      <c r="CO4127" s="28"/>
      <c r="CP4127" s="28"/>
      <c r="CQ4127" s="28"/>
      <c r="CR4127" s="28"/>
      <c r="CS4127" s="28"/>
      <c r="CT4127" s="28"/>
      <c r="CU4127" s="28"/>
      <c r="CV4127" s="28"/>
      <c r="CW4127" s="28"/>
      <c r="CX4127" s="28"/>
      <c r="CY4127" s="28"/>
      <c r="CZ4127" s="28"/>
      <c r="DA4127" s="28"/>
      <c r="DB4127" s="28"/>
      <c r="DC4127" s="28"/>
      <c r="DD4127" s="28"/>
      <c r="DE4127" s="28"/>
      <c r="DF4127" s="28"/>
      <c r="DG4127" s="28"/>
      <c r="DH4127" s="28"/>
      <c r="DI4127" s="28"/>
      <c r="DJ4127" s="28"/>
      <c r="DK4127" s="28"/>
      <c r="DL4127" s="28"/>
      <c r="DM4127" s="28"/>
      <c r="DN4127" s="28"/>
      <c r="DO4127" s="28"/>
      <c r="DP4127" s="28"/>
      <c r="DQ4127" s="28"/>
      <c r="DR4127" s="28"/>
      <c r="DS4127" s="28"/>
      <c r="DT4127" s="28"/>
      <c r="DU4127" s="28"/>
      <c r="DV4127" s="28"/>
      <c r="DW4127" s="28"/>
      <c r="DX4127" s="28"/>
      <c r="DY4127" s="28"/>
      <c r="DZ4127" s="28"/>
      <c r="EA4127" s="28"/>
      <c r="EB4127" s="28"/>
      <c r="EC4127" s="28"/>
      <c r="ED4127" s="28"/>
      <c r="EE4127" s="28"/>
      <c r="EF4127" s="28"/>
      <c r="EG4127" s="28"/>
      <c r="EH4127" s="28"/>
      <c r="EI4127" s="28"/>
      <c r="EJ4127" s="28"/>
      <c r="EK4127" s="28"/>
      <c r="EL4127" s="28"/>
      <c r="EM4127" s="28"/>
      <c r="EN4127" s="28"/>
      <c r="EO4127" s="28"/>
      <c r="EP4127" s="28"/>
      <c r="EQ4127" s="28"/>
      <c r="ER4127" s="28"/>
      <c r="ES4127" s="28"/>
      <c r="ET4127" s="28"/>
      <c r="EU4127" s="28"/>
      <c r="EV4127" s="28"/>
      <c r="EW4127" s="28"/>
      <c r="EX4127" s="28"/>
      <c r="EY4127" s="28"/>
      <c r="EZ4127" s="28"/>
      <c r="FA4127" s="28"/>
      <c r="FB4127" s="28"/>
      <c r="FC4127" s="28"/>
      <c r="FD4127" s="28"/>
      <c r="FE4127" s="28"/>
      <c r="FF4127" s="28"/>
      <c r="FG4127" s="28"/>
      <c r="FH4127" s="28"/>
      <c r="FI4127" s="28"/>
      <c r="FJ4127" s="28"/>
      <c r="FK4127" s="28"/>
      <c r="FL4127" s="28"/>
      <c r="FM4127" s="28"/>
      <c r="FN4127" s="28"/>
      <c r="FO4127" s="28"/>
      <c r="FP4127" s="28"/>
      <c r="FQ4127" s="28"/>
      <c r="FR4127" s="28"/>
      <c r="FS4127" s="28"/>
      <c r="FT4127" s="28"/>
      <c r="FU4127" s="28"/>
      <c r="FV4127" s="28"/>
      <c r="FW4127" s="28"/>
      <c r="FX4127" s="28"/>
      <c r="FY4127" s="28"/>
      <c r="FZ4127" s="28"/>
      <c r="GA4127" s="28"/>
      <c r="GB4127" s="28"/>
      <c r="GC4127" s="28"/>
      <c r="GD4127" s="28"/>
      <c r="GE4127" s="28"/>
      <c r="GF4127" s="28"/>
      <c r="GG4127" s="28"/>
      <c r="GH4127" s="28"/>
      <c r="GI4127" s="28"/>
      <c r="GJ4127" s="28"/>
      <c r="GK4127" s="28"/>
    </row>
    <row r="4128" spans="1:193" ht="38.25" customHeight="1" x14ac:dyDescent="0.2">
      <c r="A4128" s="1" t="s">
        <v>9987</v>
      </c>
      <c r="B4128" s="15" t="s">
        <v>5277</v>
      </c>
      <c r="C4128" s="4" t="s">
        <v>9988</v>
      </c>
      <c r="D4128" s="4" t="s">
        <v>9989</v>
      </c>
      <c r="E4128" s="4" t="s">
        <v>9989</v>
      </c>
      <c r="F4128" s="4"/>
      <c r="G4128" s="1" t="s">
        <v>3190</v>
      </c>
      <c r="H4128" s="17">
        <v>0.5</v>
      </c>
      <c r="I4128" s="18">
        <v>710000000</v>
      </c>
      <c r="J4128" s="4" t="s">
        <v>1931</v>
      </c>
      <c r="K4128" s="4" t="s">
        <v>5282</v>
      </c>
      <c r="L4128" s="4" t="s">
        <v>5689</v>
      </c>
      <c r="M4128" s="1"/>
      <c r="N4128" s="4" t="s">
        <v>1408</v>
      </c>
      <c r="O4128" s="4" t="s">
        <v>6257</v>
      </c>
      <c r="P4128" s="1"/>
      <c r="Q4128" s="4"/>
      <c r="R4128" s="26"/>
      <c r="S4128" s="26"/>
      <c r="T4128" s="26">
        <v>0</v>
      </c>
      <c r="U4128" s="26">
        <f>T4128*1.12</f>
        <v>0</v>
      </c>
      <c r="V4128" s="11" t="s">
        <v>3182</v>
      </c>
      <c r="W4128" s="11" t="s">
        <v>8960</v>
      </c>
      <c r="X4128" s="27" t="s">
        <v>7006</v>
      </c>
      <c r="Y4128" s="28"/>
      <c r="Z4128" s="28"/>
      <c r="AA4128" s="28"/>
      <c r="AB4128" s="28"/>
      <c r="AC4128" s="28"/>
      <c r="AD4128" s="28"/>
      <c r="AE4128" s="28"/>
      <c r="AF4128" s="28"/>
      <c r="AG4128" s="28"/>
      <c r="AH4128" s="28"/>
      <c r="AI4128" s="28"/>
      <c r="AJ4128" s="28"/>
      <c r="AK4128" s="28"/>
      <c r="AL4128" s="28"/>
      <c r="AM4128" s="28"/>
      <c r="AN4128" s="28"/>
      <c r="AO4128" s="28"/>
      <c r="AP4128" s="28"/>
      <c r="AQ4128" s="28"/>
      <c r="AR4128" s="28"/>
      <c r="AS4128" s="28"/>
      <c r="AT4128" s="28"/>
      <c r="AU4128" s="28"/>
      <c r="AV4128" s="28"/>
      <c r="AW4128" s="28"/>
      <c r="AX4128" s="28"/>
      <c r="AY4128" s="28"/>
      <c r="AZ4128" s="28"/>
      <c r="BA4128" s="28"/>
      <c r="BB4128" s="28"/>
      <c r="BC4128" s="28"/>
      <c r="BD4128" s="28"/>
      <c r="BE4128" s="28"/>
      <c r="BF4128" s="28"/>
      <c r="BG4128" s="28"/>
      <c r="BH4128" s="28"/>
      <c r="BI4128" s="28"/>
      <c r="BJ4128" s="28"/>
      <c r="BK4128" s="28"/>
      <c r="BL4128" s="28"/>
      <c r="BM4128" s="28"/>
      <c r="BN4128" s="28"/>
      <c r="BO4128" s="28"/>
      <c r="BP4128" s="28"/>
      <c r="BQ4128" s="28"/>
      <c r="BR4128" s="28"/>
      <c r="BS4128" s="28"/>
      <c r="BT4128" s="28"/>
      <c r="BU4128" s="28"/>
      <c r="BV4128" s="28"/>
      <c r="BW4128" s="28"/>
      <c r="BX4128" s="28"/>
      <c r="BY4128" s="28"/>
      <c r="BZ4128" s="28"/>
      <c r="CA4128" s="28"/>
      <c r="CB4128" s="28"/>
      <c r="CC4128" s="28"/>
      <c r="CD4128" s="28"/>
      <c r="CE4128" s="28"/>
      <c r="CF4128" s="28"/>
      <c r="CG4128" s="28"/>
      <c r="CH4128" s="28"/>
      <c r="CI4128" s="28"/>
      <c r="CJ4128" s="28"/>
      <c r="CK4128" s="28"/>
      <c r="CL4128" s="28"/>
      <c r="CM4128" s="28"/>
      <c r="CN4128" s="28"/>
      <c r="CO4128" s="28"/>
      <c r="CP4128" s="28"/>
      <c r="CQ4128" s="28"/>
      <c r="CR4128" s="28"/>
      <c r="CS4128" s="28"/>
      <c r="CT4128" s="28"/>
      <c r="CU4128" s="28"/>
      <c r="CV4128" s="28"/>
      <c r="CW4128" s="28"/>
      <c r="CX4128" s="28"/>
      <c r="CY4128" s="28"/>
      <c r="CZ4128" s="28"/>
      <c r="DA4128" s="28"/>
      <c r="DB4128" s="28"/>
      <c r="DC4128" s="28"/>
      <c r="DD4128" s="28"/>
      <c r="DE4128" s="28"/>
      <c r="DF4128" s="28"/>
      <c r="DG4128" s="28"/>
      <c r="DH4128" s="28"/>
      <c r="DI4128" s="28"/>
      <c r="DJ4128" s="28"/>
      <c r="DK4128" s="28"/>
      <c r="DL4128" s="28"/>
      <c r="DM4128" s="28"/>
      <c r="DN4128" s="28"/>
      <c r="DO4128" s="28"/>
      <c r="DP4128" s="28"/>
      <c r="DQ4128" s="28"/>
      <c r="DR4128" s="28"/>
      <c r="DS4128" s="28"/>
      <c r="DT4128" s="28"/>
      <c r="DU4128" s="28"/>
      <c r="DV4128" s="28"/>
      <c r="DW4128" s="28"/>
      <c r="DX4128" s="28"/>
      <c r="DY4128" s="28"/>
      <c r="DZ4128" s="28"/>
      <c r="EA4128" s="28"/>
      <c r="EB4128" s="28"/>
      <c r="EC4128" s="28"/>
      <c r="ED4128" s="28"/>
      <c r="EE4128" s="28"/>
      <c r="EF4128" s="28"/>
      <c r="EG4128" s="28"/>
      <c r="EH4128" s="28"/>
      <c r="EI4128" s="28"/>
      <c r="EJ4128" s="28"/>
      <c r="EK4128" s="28"/>
      <c r="EL4128" s="28"/>
      <c r="EM4128" s="28"/>
      <c r="EN4128" s="28"/>
      <c r="EO4128" s="28"/>
      <c r="EP4128" s="28"/>
      <c r="EQ4128" s="28"/>
      <c r="ER4128" s="28"/>
      <c r="ES4128" s="28"/>
      <c r="ET4128" s="28"/>
      <c r="EU4128" s="28"/>
      <c r="EV4128" s="28"/>
      <c r="EW4128" s="28"/>
      <c r="EX4128" s="28"/>
      <c r="EY4128" s="28"/>
      <c r="EZ4128" s="28"/>
      <c r="FA4128" s="28"/>
      <c r="FB4128" s="28"/>
      <c r="FC4128" s="28"/>
      <c r="FD4128" s="28"/>
      <c r="FE4128" s="28"/>
      <c r="FF4128" s="28"/>
      <c r="FG4128" s="28"/>
      <c r="FH4128" s="28"/>
      <c r="FI4128" s="28"/>
      <c r="FJ4128" s="28"/>
      <c r="FK4128" s="28"/>
      <c r="FL4128" s="28"/>
      <c r="FM4128" s="28"/>
      <c r="FN4128" s="28"/>
      <c r="FO4128" s="28"/>
      <c r="FP4128" s="28"/>
      <c r="FQ4128" s="28"/>
      <c r="FR4128" s="28"/>
      <c r="FS4128" s="28"/>
      <c r="FT4128" s="28"/>
      <c r="FU4128" s="28"/>
      <c r="FV4128" s="28"/>
      <c r="FW4128" s="28"/>
      <c r="FX4128" s="28"/>
      <c r="FY4128" s="28"/>
      <c r="FZ4128" s="28"/>
      <c r="GA4128" s="28"/>
      <c r="GB4128" s="28"/>
      <c r="GC4128" s="28"/>
      <c r="GD4128" s="28"/>
      <c r="GE4128" s="28"/>
      <c r="GF4128" s="28"/>
      <c r="GG4128" s="28"/>
      <c r="GH4128" s="28"/>
      <c r="GI4128" s="28"/>
      <c r="GJ4128" s="28"/>
      <c r="GK4128" s="28"/>
    </row>
    <row r="4129" spans="1:193" ht="38.25" customHeight="1" x14ac:dyDescent="0.2">
      <c r="A4129" s="1" t="s">
        <v>9990</v>
      </c>
      <c r="B4129" s="15" t="s">
        <v>5277</v>
      </c>
      <c r="C4129" s="4" t="s">
        <v>9988</v>
      </c>
      <c r="D4129" s="4" t="s">
        <v>9989</v>
      </c>
      <c r="E4129" s="4" t="s">
        <v>9989</v>
      </c>
      <c r="F4129" s="4"/>
      <c r="G4129" s="1" t="s">
        <v>3190</v>
      </c>
      <c r="H4129" s="17">
        <v>0.5</v>
      </c>
      <c r="I4129" s="18">
        <v>710000000</v>
      </c>
      <c r="J4129" s="4" t="s">
        <v>1931</v>
      </c>
      <c r="K4129" s="4" t="s">
        <v>5706</v>
      </c>
      <c r="L4129" s="4" t="s">
        <v>5689</v>
      </c>
      <c r="M4129" s="1"/>
      <c r="N4129" s="4" t="s">
        <v>1408</v>
      </c>
      <c r="O4129" s="4" t="s">
        <v>6257</v>
      </c>
      <c r="P4129" s="1"/>
      <c r="Q4129" s="4"/>
      <c r="R4129" s="26"/>
      <c r="S4129" s="26"/>
      <c r="T4129" s="26">
        <v>774490</v>
      </c>
      <c r="U4129" s="26">
        <f>T4129*1.12</f>
        <v>867428.8</v>
      </c>
      <c r="V4129" s="11" t="s">
        <v>3182</v>
      </c>
      <c r="W4129" s="11" t="s">
        <v>8960</v>
      </c>
      <c r="X4129" s="27"/>
      <c r="Y4129" s="28"/>
      <c r="Z4129" s="28"/>
      <c r="AA4129" s="28"/>
      <c r="AB4129" s="28"/>
      <c r="AC4129" s="28"/>
      <c r="AD4129" s="28"/>
      <c r="AE4129" s="28"/>
      <c r="AF4129" s="28"/>
      <c r="AG4129" s="28"/>
      <c r="AH4129" s="28"/>
      <c r="AI4129" s="28"/>
      <c r="AJ4129" s="28"/>
      <c r="AK4129" s="28"/>
      <c r="AL4129" s="28"/>
      <c r="AM4129" s="28"/>
      <c r="AN4129" s="28"/>
      <c r="AO4129" s="28"/>
      <c r="AP4129" s="28"/>
      <c r="AQ4129" s="28"/>
      <c r="AR4129" s="28"/>
      <c r="AS4129" s="28"/>
      <c r="AT4129" s="28"/>
      <c r="AU4129" s="28"/>
      <c r="AV4129" s="28"/>
      <c r="AW4129" s="28"/>
      <c r="AX4129" s="28"/>
      <c r="AY4129" s="28"/>
      <c r="AZ4129" s="28"/>
      <c r="BA4129" s="28"/>
      <c r="BB4129" s="28"/>
      <c r="BC4129" s="28"/>
      <c r="BD4129" s="28"/>
      <c r="BE4129" s="28"/>
      <c r="BF4129" s="28"/>
      <c r="BG4129" s="28"/>
      <c r="BH4129" s="28"/>
      <c r="BI4129" s="28"/>
      <c r="BJ4129" s="28"/>
      <c r="BK4129" s="28"/>
      <c r="BL4129" s="28"/>
      <c r="BM4129" s="28"/>
      <c r="BN4129" s="28"/>
      <c r="BO4129" s="28"/>
      <c r="BP4129" s="28"/>
      <c r="BQ4129" s="28"/>
      <c r="BR4129" s="28"/>
      <c r="BS4129" s="28"/>
      <c r="BT4129" s="28"/>
      <c r="BU4129" s="28"/>
      <c r="BV4129" s="28"/>
      <c r="BW4129" s="28"/>
      <c r="BX4129" s="28"/>
      <c r="BY4129" s="28"/>
      <c r="BZ4129" s="28"/>
      <c r="CA4129" s="28"/>
      <c r="CB4129" s="28"/>
      <c r="CC4129" s="28"/>
      <c r="CD4129" s="28"/>
      <c r="CE4129" s="28"/>
      <c r="CF4129" s="28"/>
      <c r="CG4129" s="28"/>
      <c r="CH4129" s="28"/>
      <c r="CI4129" s="28"/>
      <c r="CJ4129" s="28"/>
      <c r="CK4129" s="28"/>
      <c r="CL4129" s="28"/>
      <c r="CM4129" s="28"/>
      <c r="CN4129" s="28"/>
      <c r="CO4129" s="28"/>
      <c r="CP4129" s="28"/>
      <c r="CQ4129" s="28"/>
      <c r="CR4129" s="28"/>
      <c r="CS4129" s="28"/>
      <c r="CT4129" s="28"/>
      <c r="CU4129" s="28"/>
      <c r="CV4129" s="28"/>
      <c r="CW4129" s="28"/>
      <c r="CX4129" s="28"/>
      <c r="CY4129" s="28"/>
      <c r="CZ4129" s="28"/>
      <c r="DA4129" s="28"/>
      <c r="DB4129" s="28"/>
      <c r="DC4129" s="28"/>
      <c r="DD4129" s="28"/>
      <c r="DE4129" s="28"/>
      <c r="DF4129" s="28"/>
      <c r="DG4129" s="28"/>
      <c r="DH4129" s="28"/>
      <c r="DI4129" s="28"/>
      <c r="DJ4129" s="28"/>
      <c r="DK4129" s="28"/>
      <c r="DL4129" s="28"/>
      <c r="DM4129" s="28"/>
      <c r="DN4129" s="28"/>
      <c r="DO4129" s="28"/>
      <c r="DP4129" s="28"/>
      <c r="DQ4129" s="28"/>
      <c r="DR4129" s="28"/>
      <c r="DS4129" s="28"/>
      <c r="DT4129" s="28"/>
      <c r="DU4129" s="28"/>
      <c r="DV4129" s="28"/>
      <c r="DW4129" s="28"/>
      <c r="DX4129" s="28"/>
      <c r="DY4129" s="28"/>
      <c r="DZ4129" s="28"/>
      <c r="EA4129" s="28"/>
      <c r="EB4129" s="28"/>
      <c r="EC4129" s="28"/>
      <c r="ED4129" s="28"/>
      <c r="EE4129" s="28"/>
      <c r="EF4129" s="28"/>
      <c r="EG4129" s="28"/>
      <c r="EH4129" s="28"/>
      <c r="EI4129" s="28"/>
      <c r="EJ4129" s="28"/>
      <c r="EK4129" s="28"/>
      <c r="EL4129" s="28"/>
      <c r="EM4129" s="28"/>
      <c r="EN4129" s="28"/>
      <c r="EO4129" s="28"/>
      <c r="EP4129" s="28"/>
      <c r="EQ4129" s="28"/>
      <c r="ER4129" s="28"/>
      <c r="ES4129" s="28"/>
      <c r="ET4129" s="28"/>
      <c r="EU4129" s="28"/>
      <c r="EV4129" s="28"/>
      <c r="EW4129" s="28"/>
      <c r="EX4129" s="28"/>
      <c r="EY4129" s="28"/>
      <c r="EZ4129" s="28"/>
      <c r="FA4129" s="28"/>
      <c r="FB4129" s="28"/>
      <c r="FC4129" s="28"/>
      <c r="FD4129" s="28"/>
      <c r="FE4129" s="28"/>
      <c r="FF4129" s="28"/>
      <c r="FG4129" s="28"/>
      <c r="FH4129" s="28"/>
      <c r="FI4129" s="28"/>
      <c r="FJ4129" s="28"/>
      <c r="FK4129" s="28"/>
      <c r="FL4129" s="28"/>
      <c r="FM4129" s="28"/>
      <c r="FN4129" s="28"/>
      <c r="FO4129" s="28"/>
      <c r="FP4129" s="28"/>
      <c r="FQ4129" s="28"/>
      <c r="FR4129" s="28"/>
      <c r="FS4129" s="28"/>
      <c r="FT4129" s="28"/>
      <c r="FU4129" s="28"/>
      <c r="FV4129" s="28"/>
      <c r="FW4129" s="28"/>
      <c r="FX4129" s="28"/>
      <c r="FY4129" s="28"/>
      <c r="FZ4129" s="28"/>
      <c r="GA4129" s="28"/>
      <c r="GB4129" s="28"/>
      <c r="GC4129" s="28"/>
      <c r="GD4129" s="28"/>
      <c r="GE4129" s="28"/>
      <c r="GF4129" s="28"/>
      <c r="GG4129" s="28"/>
      <c r="GH4129" s="28"/>
      <c r="GI4129" s="28"/>
      <c r="GJ4129" s="28"/>
      <c r="GK4129" s="28"/>
    </row>
    <row r="4130" spans="1:193" ht="51" customHeight="1" x14ac:dyDescent="0.2">
      <c r="A4130" s="1" t="s">
        <v>3373</v>
      </c>
      <c r="B4130" s="15" t="s">
        <v>5277</v>
      </c>
      <c r="C4130" s="4" t="s">
        <v>745</v>
      </c>
      <c r="D4130" s="4" t="s">
        <v>746</v>
      </c>
      <c r="E4130" s="4" t="s">
        <v>746</v>
      </c>
      <c r="F4130" s="4"/>
      <c r="G4130" s="1" t="s">
        <v>3190</v>
      </c>
      <c r="H4130" s="17">
        <v>0.5</v>
      </c>
      <c r="I4130" s="18">
        <v>710000000</v>
      </c>
      <c r="J4130" s="4" t="s">
        <v>1931</v>
      </c>
      <c r="K4130" s="4" t="s">
        <v>5282</v>
      </c>
      <c r="L4130" s="4" t="s">
        <v>5689</v>
      </c>
      <c r="M4130" s="1"/>
      <c r="N4130" s="4" t="s">
        <v>1408</v>
      </c>
      <c r="O4130" s="4" t="s">
        <v>6257</v>
      </c>
      <c r="P4130" s="1"/>
      <c r="Q4130" s="4"/>
      <c r="R4130" s="26"/>
      <c r="S4130" s="26"/>
      <c r="T4130" s="26">
        <v>234462</v>
      </c>
      <c r="U4130" s="26">
        <f t="shared" si="2657"/>
        <v>262597.44</v>
      </c>
      <c r="V4130" s="11" t="s">
        <v>3182</v>
      </c>
      <c r="W4130" s="11">
        <v>2015</v>
      </c>
      <c r="X4130" s="27"/>
      <c r="Y4130" s="28"/>
      <c r="Z4130" s="28"/>
      <c r="AA4130" s="28"/>
      <c r="AB4130" s="28"/>
      <c r="AC4130" s="28"/>
      <c r="AD4130" s="28"/>
      <c r="AE4130" s="28"/>
      <c r="AF4130" s="28"/>
      <c r="AG4130" s="28"/>
      <c r="AH4130" s="28"/>
      <c r="AI4130" s="28"/>
      <c r="AJ4130" s="28"/>
      <c r="AK4130" s="28"/>
      <c r="AL4130" s="28"/>
      <c r="AM4130" s="28"/>
      <c r="AN4130" s="28"/>
      <c r="AO4130" s="28"/>
      <c r="AP4130" s="28"/>
      <c r="AQ4130" s="28"/>
      <c r="AR4130" s="28"/>
      <c r="AS4130" s="28"/>
      <c r="AT4130" s="28"/>
      <c r="AU4130" s="28"/>
      <c r="AV4130" s="28"/>
      <c r="AW4130" s="28"/>
      <c r="AX4130" s="28"/>
      <c r="AY4130" s="28"/>
      <c r="AZ4130" s="28"/>
      <c r="BA4130" s="28"/>
      <c r="BB4130" s="28"/>
      <c r="BC4130" s="28"/>
      <c r="BD4130" s="28"/>
      <c r="BE4130" s="28"/>
      <c r="BF4130" s="28"/>
      <c r="BG4130" s="28"/>
      <c r="BH4130" s="28"/>
      <c r="BI4130" s="28"/>
      <c r="BJ4130" s="28"/>
      <c r="BK4130" s="28"/>
      <c r="BL4130" s="28"/>
      <c r="BM4130" s="28"/>
      <c r="BN4130" s="28"/>
      <c r="BO4130" s="28"/>
      <c r="BP4130" s="28"/>
      <c r="BQ4130" s="28"/>
      <c r="BR4130" s="28"/>
      <c r="BS4130" s="28"/>
      <c r="BT4130" s="28"/>
      <c r="BU4130" s="28"/>
      <c r="BV4130" s="28"/>
      <c r="BW4130" s="28"/>
      <c r="BX4130" s="28"/>
      <c r="BY4130" s="28"/>
      <c r="BZ4130" s="28"/>
      <c r="CA4130" s="28"/>
      <c r="CB4130" s="28"/>
      <c r="CC4130" s="28"/>
      <c r="CD4130" s="28"/>
      <c r="CE4130" s="28"/>
      <c r="CF4130" s="28"/>
      <c r="CG4130" s="28"/>
      <c r="CH4130" s="28"/>
      <c r="CI4130" s="28"/>
      <c r="CJ4130" s="28"/>
      <c r="CK4130" s="28"/>
      <c r="CL4130" s="28"/>
      <c r="CM4130" s="28"/>
      <c r="CN4130" s="28"/>
      <c r="CO4130" s="28"/>
      <c r="CP4130" s="28"/>
      <c r="CQ4130" s="28"/>
      <c r="CR4130" s="28"/>
      <c r="CS4130" s="28"/>
      <c r="CT4130" s="28"/>
      <c r="CU4130" s="28"/>
      <c r="CV4130" s="28"/>
      <c r="CW4130" s="28"/>
      <c r="CX4130" s="28"/>
      <c r="CY4130" s="28"/>
      <c r="CZ4130" s="28"/>
      <c r="DA4130" s="28"/>
      <c r="DB4130" s="28"/>
      <c r="DC4130" s="28"/>
      <c r="DD4130" s="28"/>
      <c r="DE4130" s="28"/>
      <c r="DF4130" s="28"/>
      <c r="DG4130" s="28"/>
      <c r="DH4130" s="28"/>
      <c r="DI4130" s="28"/>
      <c r="DJ4130" s="28"/>
      <c r="DK4130" s="28"/>
      <c r="DL4130" s="28"/>
      <c r="DM4130" s="28"/>
      <c r="DN4130" s="28"/>
      <c r="DO4130" s="28"/>
      <c r="DP4130" s="28"/>
      <c r="DQ4130" s="28"/>
      <c r="DR4130" s="28"/>
      <c r="DS4130" s="28"/>
      <c r="DT4130" s="28"/>
      <c r="DU4130" s="28"/>
      <c r="DV4130" s="28"/>
      <c r="DW4130" s="28"/>
      <c r="DX4130" s="28"/>
      <c r="DY4130" s="28"/>
      <c r="DZ4130" s="28"/>
      <c r="EA4130" s="28"/>
      <c r="EB4130" s="28"/>
      <c r="EC4130" s="28"/>
      <c r="ED4130" s="28"/>
      <c r="EE4130" s="28"/>
      <c r="EF4130" s="28"/>
      <c r="EG4130" s="28"/>
      <c r="EH4130" s="28"/>
      <c r="EI4130" s="28"/>
      <c r="EJ4130" s="28"/>
      <c r="EK4130" s="28"/>
      <c r="EL4130" s="28"/>
      <c r="EM4130" s="28"/>
      <c r="EN4130" s="28"/>
      <c r="EO4130" s="28"/>
      <c r="EP4130" s="28"/>
      <c r="EQ4130" s="28"/>
      <c r="ER4130" s="28"/>
      <c r="ES4130" s="28"/>
      <c r="ET4130" s="28"/>
      <c r="EU4130" s="28"/>
      <c r="EV4130" s="28"/>
      <c r="EW4130" s="28"/>
      <c r="EX4130" s="28"/>
      <c r="EY4130" s="28"/>
      <c r="EZ4130" s="28"/>
      <c r="FA4130" s="28"/>
      <c r="FB4130" s="28"/>
      <c r="FC4130" s="28"/>
      <c r="FD4130" s="28"/>
      <c r="FE4130" s="28"/>
      <c r="FF4130" s="28"/>
      <c r="FG4130" s="28"/>
      <c r="FH4130" s="28"/>
      <c r="FI4130" s="28"/>
      <c r="FJ4130" s="28"/>
      <c r="FK4130" s="28"/>
      <c r="FL4130" s="28"/>
      <c r="FM4130" s="28"/>
      <c r="FN4130" s="28"/>
      <c r="FO4130" s="28"/>
      <c r="FP4130" s="28"/>
      <c r="FQ4130" s="28"/>
      <c r="FR4130" s="28"/>
      <c r="FS4130" s="28"/>
      <c r="FT4130" s="28"/>
      <c r="FU4130" s="28"/>
      <c r="FV4130" s="28"/>
      <c r="FW4130" s="28"/>
      <c r="FX4130" s="28"/>
      <c r="FY4130" s="28"/>
      <c r="FZ4130" s="28"/>
      <c r="GA4130" s="28"/>
      <c r="GB4130" s="28"/>
      <c r="GC4130" s="28"/>
      <c r="GD4130" s="28"/>
      <c r="GE4130" s="28"/>
      <c r="GF4130" s="28"/>
      <c r="GG4130" s="28"/>
      <c r="GH4130" s="28"/>
      <c r="GI4130" s="28"/>
      <c r="GJ4130" s="28"/>
      <c r="GK4130" s="28"/>
    </row>
    <row r="4131" spans="1:193" ht="38.25" customHeight="1" x14ac:dyDescent="0.2">
      <c r="A4131" s="1" t="s">
        <v>3374</v>
      </c>
      <c r="B4131" s="15" t="s">
        <v>5277</v>
      </c>
      <c r="C4131" s="4" t="s">
        <v>3019</v>
      </c>
      <c r="D4131" s="4" t="s">
        <v>747</v>
      </c>
      <c r="E4131" s="4" t="s">
        <v>747</v>
      </c>
      <c r="F4131" s="4" t="s">
        <v>6329</v>
      </c>
      <c r="G4131" s="1" t="s">
        <v>3190</v>
      </c>
      <c r="H4131" s="17">
        <v>1</v>
      </c>
      <c r="I4131" s="18">
        <v>710000000</v>
      </c>
      <c r="J4131" s="4" t="s">
        <v>1931</v>
      </c>
      <c r="K4131" s="4" t="s">
        <v>5282</v>
      </c>
      <c r="L4131" s="4" t="s">
        <v>2985</v>
      </c>
      <c r="M4131" s="1"/>
      <c r="N4131" s="4" t="s">
        <v>1408</v>
      </c>
      <c r="O4131" s="4" t="s">
        <v>6257</v>
      </c>
      <c r="P4131" s="1"/>
      <c r="Q4131" s="4"/>
      <c r="R4131" s="26"/>
      <c r="S4131" s="26"/>
      <c r="T4131" s="26">
        <v>0</v>
      </c>
      <c r="U4131" s="26">
        <f t="shared" si="2657"/>
        <v>0</v>
      </c>
      <c r="V4131" s="11" t="s">
        <v>3182</v>
      </c>
      <c r="W4131" s="11">
        <v>2015</v>
      </c>
      <c r="X4131" s="27" t="s">
        <v>7312</v>
      </c>
      <c r="Y4131" s="28"/>
      <c r="Z4131" s="28"/>
      <c r="AA4131" s="28"/>
      <c r="AB4131" s="28"/>
      <c r="AC4131" s="28"/>
      <c r="AD4131" s="28"/>
      <c r="AE4131" s="28"/>
      <c r="AF4131" s="28"/>
      <c r="AG4131" s="28"/>
      <c r="AH4131" s="28"/>
      <c r="AI4131" s="28"/>
      <c r="AJ4131" s="28"/>
      <c r="AK4131" s="28"/>
      <c r="AL4131" s="28"/>
      <c r="AM4131" s="28"/>
      <c r="AN4131" s="28"/>
      <c r="AO4131" s="28"/>
      <c r="AP4131" s="28"/>
      <c r="AQ4131" s="28"/>
      <c r="AR4131" s="28"/>
      <c r="AS4131" s="28"/>
      <c r="AT4131" s="28"/>
      <c r="AU4131" s="28"/>
      <c r="AV4131" s="28"/>
      <c r="AW4131" s="28"/>
      <c r="AX4131" s="28"/>
      <c r="AY4131" s="28"/>
      <c r="AZ4131" s="28"/>
      <c r="BA4131" s="28"/>
      <c r="BB4131" s="28"/>
      <c r="BC4131" s="28"/>
      <c r="BD4131" s="28"/>
      <c r="BE4131" s="28"/>
      <c r="BF4131" s="28"/>
      <c r="BG4131" s="28"/>
      <c r="BH4131" s="28"/>
      <c r="BI4131" s="28"/>
      <c r="BJ4131" s="28"/>
      <c r="BK4131" s="28"/>
      <c r="BL4131" s="28"/>
      <c r="BM4131" s="28"/>
      <c r="BN4131" s="28"/>
      <c r="BO4131" s="28"/>
      <c r="BP4131" s="28"/>
      <c r="BQ4131" s="28"/>
      <c r="BR4131" s="28"/>
      <c r="BS4131" s="28"/>
      <c r="BT4131" s="28"/>
      <c r="BU4131" s="28"/>
      <c r="BV4131" s="28"/>
      <c r="BW4131" s="28"/>
      <c r="BX4131" s="28"/>
      <c r="BY4131" s="28"/>
      <c r="BZ4131" s="28"/>
      <c r="CA4131" s="28"/>
      <c r="CB4131" s="28"/>
      <c r="CC4131" s="28"/>
      <c r="CD4131" s="28"/>
      <c r="CE4131" s="28"/>
      <c r="CF4131" s="28"/>
      <c r="CG4131" s="28"/>
      <c r="CH4131" s="28"/>
      <c r="CI4131" s="28"/>
      <c r="CJ4131" s="28"/>
      <c r="CK4131" s="28"/>
      <c r="CL4131" s="28"/>
      <c r="CM4131" s="28"/>
      <c r="CN4131" s="28"/>
      <c r="CO4131" s="28"/>
      <c r="CP4131" s="28"/>
      <c r="CQ4131" s="28"/>
      <c r="CR4131" s="28"/>
      <c r="CS4131" s="28"/>
      <c r="CT4131" s="28"/>
      <c r="CU4131" s="28"/>
      <c r="CV4131" s="28"/>
      <c r="CW4131" s="28"/>
      <c r="CX4131" s="28"/>
      <c r="CY4131" s="28"/>
      <c r="CZ4131" s="28"/>
      <c r="DA4131" s="28"/>
      <c r="DB4131" s="28"/>
      <c r="DC4131" s="28"/>
      <c r="DD4131" s="28"/>
      <c r="DE4131" s="28"/>
      <c r="DF4131" s="28"/>
      <c r="DG4131" s="28"/>
      <c r="DH4131" s="28"/>
      <c r="DI4131" s="28"/>
      <c r="DJ4131" s="28"/>
      <c r="DK4131" s="28"/>
      <c r="DL4131" s="28"/>
      <c r="DM4131" s="28"/>
      <c r="DN4131" s="28"/>
      <c r="DO4131" s="28"/>
      <c r="DP4131" s="28"/>
      <c r="DQ4131" s="28"/>
      <c r="DR4131" s="28"/>
      <c r="DS4131" s="28"/>
      <c r="DT4131" s="28"/>
      <c r="DU4131" s="28"/>
      <c r="DV4131" s="28"/>
      <c r="DW4131" s="28"/>
      <c r="DX4131" s="28"/>
      <c r="DY4131" s="28"/>
      <c r="DZ4131" s="28"/>
      <c r="EA4131" s="28"/>
      <c r="EB4131" s="28"/>
      <c r="EC4131" s="28"/>
      <c r="ED4131" s="28"/>
      <c r="EE4131" s="28"/>
      <c r="EF4131" s="28"/>
      <c r="EG4131" s="28"/>
      <c r="EH4131" s="28"/>
      <c r="EI4131" s="28"/>
      <c r="EJ4131" s="28"/>
      <c r="EK4131" s="28"/>
      <c r="EL4131" s="28"/>
      <c r="EM4131" s="28"/>
      <c r="EN4131" s="28"/>
      <c r="EO4131" s="28"/>
      <c r="EP4131" s="28"/>
      <c r="EQ4131" s="28"/>
      <c r="ER4131" s="28"/>
      <c r="ES4131" s="28"/>
      <c r="ET4131" s="28"/>
      <c r="EU4131" s="28"/>
      <c r="EV4131" s="28"/>
      <c r="EW4131" s="28"/>
      <c r="EX4131" s="28"/>
      <c r="EY4131" s="28"/>
      <c r="EZ4131" s="28"/>
      <c r="FA4131" s="28"/>
      <c r="FB4131" s="28"/>
      <c r="FC4131" s="28"/>
      <c r="FD4131" s="28"/>
      <c r="FE4131" s="28"/>
      <c r="FF4131" s="28"/>
      <c r="FG4131" s="28"/>
      <c r="FH4131" s="28"/>
      <c r="FI4131" s="28"/>
      <c r="FJ4131" s="28"/>
      <c r="FK4131" s="28"/>
      <c r="FL4131" s="28"/>
      <c r="FM4131" s="28"/>
      <c r="FN4131" s="28"/>
      <c r="FO4131" s="28"/>
      <c r="FP4131" s="28"/>
      <c r="FQ4131" s="28"/>
      <c r="FR4131" s="28"/>
      <c r="FS4131" s="28"/>
      <c r="FT4131" s="28"/>
      <c r="FU4131" s="28"/>
      <c r="FV4131" s="28"/>
      <c r="FW4131" s="28"/>
      <c r="FX4131" s="28"/>
      <c r="FY4131" s="28"/>
      <c r="FZ4131" s="28"/>
      <c r="GA4131" s="28"/>
      <c r="GB4131" s="28"/>
      <c r="GC4131" s="28"/>
      <c r="GD4131" s="28"/>
      <c r="GE4131" s="28"/>
      <c r="GF4131" s="28"/>
      <c r="GG4131" s="28"/>
      <c r="GH4131" s="28"/>
      <c r="GI4131" s="28"/>
      <c r="GJ4131" s="28"/>
      <c r="GK4131" s="28"/>
    </row>
    <row r="4132" spans="1:193" ht="38.25" customHeight="1" x14ac:dyDescent="0.2">
      <c r="A4132" s="1" t="s">
        <v>10181</v>
      </c>
      <c r="B4132" s="15" t="s">
        <v>5277</v>
      </c>
      <c r="C4132" s="4" t="s">
        <v>3019</v>
      </c>
      <c r="D4132" s="4" t="s">
        <v>747</v>
      </c>
      <c r="E4132" s="4" t="s">
        <v>747</v>
      </c>
      <c r="F4132" s="4" t="s">
        <v>6329</v>
      </c>
      <c r="G4132" s="1" t="s">
        <v>3190</v>
      </c>
      <c r="H4132" s="17">
        <v>1</v>
      </c>
      <c r="I4132" s="18">
        <v>710000000</v>
      </c>
      <c r="J4132" s="4" t="s">
        <v>1931</v>
      </c>
      <c r="K4132" s="4" t="s">
        <v>10182</v>
      </c>
      <c r="L4132" s="4" t="s">
        <v>2985</v>
      </c>
      <c r="M4132" s="1"/>
      <c r="N4132" s="4" t="s">
        <v>1408</v>
      </c>
      <c r="O4132" s="4" t="s">
        <v>6257</v>
      </c>
      <c r="P4132" s="1"/>
      <c r="Q4132" s="4"/>
      <c r="R4132" s="26"/>
      <c r="S4132" s="26"/>
      <c r="T4132" s="26">
        <f>1231571+151785.7143</f>
        <v>1383356.7143000001</v>
      </c>
      <c r="U4132" s="26">
        <f t="shared" ref="U4132" si="2668">T4132*1.12</f>
        <v>1549359.5200160004</v>
      </c>
      <c r="V4132" s="11" t="s">
        <v>3182</v>
      </c>
      <c r="W4132" s="11">
        <v>2015</v>
      </c>
      <c r="X4132" s="27"/>
      <c r="Y4132" s="28"/>
      <c r="Z4132" s="28">
        <f>170000/1.12</f>
        <v>151785.71428571426</v>
      </c>
      <c r="AA4132" s="28"/>
      <c r="AB4132" s="28"/>
      <c r="AC4132" s="28"/>
      <c r="AD4132" s="28"/>
      <c r="AE4132" s="28"/>
      <c r="AF4132" s="28"/>
      <c r="AG4132" s="28"/>
      <c r="AH4132" s="28"/>
      <c r="AI4132" s="28"/>
      <c r="AJ4132" s="28"/>
      <c r="AK4132" s="28"/>
      <c r="AL4132" s="28"/>
      <c r="AM4132" s="28"/>
      <c r="AN4132" s="28"/>
      <c r="AO4132" s="28"/>
      <c r="AP4132" s="28"/>
      <c r="AQ4132" s="28"/>
      <c r="AR4132" s="28"/>
      <c r="AS4132" s="28"/>
      <c r="AT4132" s="28"/>
      <c r="AU4132" s="28"/>
      <c r="AV4132" s="28"/>
      <c r="AW4132" s="28"/>
      <c r="AX4132" s="28"/>
      <c r="AY4132" s="28"/>
      <c r="AZ4132" s="28"/>
      <c r="BA4132" s="28"/>
      <c r="BB4132" s="28"/>
      <c r="BC4132" s="28"/>
      <c r="BD4132" s="28"/>
      <c r="BE4132" s="28"/>
      <c r="BF4132" s="28"/>
      <c r="BG4132" s="28"/>
      <c r="BH4132" s="28"/>
      <c r="BI4132" s="28"/>
      <c r="BJ4132" s="28"/>
      <c r="BK4132" s="28"/>
      <c r="BL4132" s="28"/>
      <c r="BM4132" s="28"/>
      <c r="BN4132" s="28"/>
      <c r="BO4132" s="28"/>
      <c r="BP4132" s="28"/>
      <c r="BQ4132" s="28"/>
      <c r="BR4132" s="28"/>
      <c r="BS4132" s="28"/>
      <c r="BT4132" s="28"/>
      <c r="BU4132" s="28"/>
      <c r="BV4132" s="28"/>
      <c r="BW4132" s="28"/>
      <c r="BX4132" s="28"/>
      <c r="BY4132" s="28"/>
      <c r="BZ4132" s="28"/>
      <c r="CA4132" s="28"/>
      <c r="CB4132" s="28"/>
      <c r="CC4132" s="28"/>
      <c r="CD4132" s="28"/>
      <c r="CE4132" s="28"/>
      <c r="CF4132" s="28"/>
      <c r="CG4132" s="28"/>
      <c r="CH4132" s="28"/>
      <c r="CI4132" s="28"/>
      <c r="CJ4132" s="28"/>
      <c r="CK4132" s="28"/>
      <c r="CL4132" s="28"/>
      <c r="CM4132" s="28"/>
      <c r="CN4132" s="28"/>
      <c r="CO4132" s="28"/>
      <c r="CP4132" s="28"/>
      <c r="CQ4132" s="28"/>
      <c r="CR4132" s="28"/>
      <c r="CS4132" s="28"/>
      <c r="CT4132" s="28"/>
      <c r="CU4132" s="28"/>
      <c r="CV4132" s="28"/>
      <c r="CW4132" s="28"/>
      <c r="CX4132" s="28"/>
      <c r="CY4132" s="28"/>
      <c r="CZ4132" s="28"/>
      <c r="DA4132" s="28"/>
      <c r="DB4132" s="28"/>
      <c r="DC4132" s="28"/>
      <c r="DD4132" s="28"/>
      <c r="DE4132" s="28"/>
      <c r="DF4132" s="28"/>
      <c r="DG4132" s="28"/>
      <c r="DH4132" s="28"/>
      <c r="DI4132" s="28"/>
      <c r="DJ4132" s="28"/>
      <c r="DK4132" s="28"/>
      <c r="DL4132" s="28"/>
      <c r="DM4132" s="28"/>
      <c r="DN4132" s="28"/>
      <c r="DO4132" s="28"/>
      <c r="DP4132" s="28"/>
      <c r="DQ4132" s="28"/>
      <c r="DR4132" s="28"/>
      <c r="DS4132" s="28"/>
      <c r="DT4132" s="28"/>
      <c r="DU4132" s="28"/>
      <c r="DV4132" s="28"/>
      <c r="DW4132" s="28"/>
      <c r="DX4132" s="28"/>
      <c r="DY4132" s="28"/>
      <c r="DZ4132" s="28"/>
      <c r="EA4132" s="28"/>
      <c r="EB4132" s="28"/>
      <c r="EC4132" s="28"/>
      <c r="ED4132" s="28"/>
      <c r="EE4132" s="28"/>
      <c r="EF4132" s="28"/>
      <c r="EG4132" s="28"/>
      <c r="EH4132" s="28"/>
      <c r="EI4132" s="28"/>
      <c r="EJ4132" s="28"/>
      <c r="EK4132" s="28"/>
      <c r="EL4132" s="28"/>
      <c r="EM4132" s="28"/>
      <c r="EN4132" s="28"/>
      <c r="EO4132" s="28"/>
      <c r="EP4132" s="28"/>
      <c r="EQ4132" s="28"/>
      <c r="ER4132" s="28"/>
      <c r="ES4132" s="28"/>
      <c r="ET4132" s="28"/>
      <c r="EU4132" s="28"/>
      <c r="EV4132" s="28"/>
      <c r="EW4132" s="28"/>
      <c r="EX4132" s="28"/>
      <c r="EY4132" s="28"/>
      <c r="EZ4132" s="28"/>
      <c r="FA4132" s="28"/>
      <c r="FB4132" s="28"/>
      <c r="FC4132" s="28"/>
      <c r="FD4132" s="28"/>
      <c r="FE4132" s="28"/>
      <c r="FF4132" s="28"/>
      <c r="FG4132" s="28"/>
      <c r="FH4132" s="28"/>
      <c r="FI4132" s="28"/>
      <c r="FJ4132" s="28"/>
      <c r="FK4132" s="28"/>
      <c r="FL4132" s="28"/>
      <c r="FM4132" s="28"/>
      <c r="FN4132" s="28"/>
      <c r="FO4132" s="28"/>
      <c r="FP4132" s="28"/>
      <c r="FQ4132" s="28"/>
      <c r="FR4132" s="28"/>
      <c r="FS4132" s="28"/>
      <c r="FT4132" s="28"/>
      <c r="FU4132" s="28"/>
      <c r="FV4132" s="28"/>
      <c r="FW4132" s="28"/>
      <c r="FX4132" s="28"/>
      <c r="FY4132" s="28"/>
      <c r="FZ4132" s="28"/>
      <c r="GA4132" s="28"/>
      <c r="GB4132" s="28"/>
      <c r="GC4132" s="28"/>
      <c r="GD4132" s="28"/>
      <c r="GE4132" s="28"/>
      <c r="GF4132" s="28"/>
      <c r="GG4132" s="28"/>
      <c r="GH4132" s="28"/>
      <c r="GI4132" s="28"/>
      <c r="GJ4132" s="28"/>
      <c r="GK4132" s="28"/>
    </row>
    <row r="4133" spans="1:193" s="28" customFormat="1" ht="38.25" customHeight="1" x14ac:dyDescent="0.2">
      <c r="A4133" s="1" t="s">
        <v>3375</v>
      </c>
      <c r="B4133" s="15" t="s">
        <v>5277</v>
      </c>
      <c r="C4133" s="4" t="s">
        <v>3058</v>
      </c>
      <c r="D4133" s="4" t="s">
        <v>6330</v>
      </c>
      <c r="E4133" s="4" t="s">
        <v>6330</v>
      </c>
      <c r="F4133" s="4" t="s">
        <v>6331</v>
      </c>
      <c r="G4133" s="4" t="s">
        <v>3190</v>
      </c>
      <c r="H4133" s="17">
        <v>1</v>
      </c>
      <c r="I4133" s="18">
        <v>710000000</v>
      </c>
      <c r="J4133" s="4" t="s">
        <v>1931</v>
      </c>
      <c r="K4133" s="4" t="s">
        <v>5282</v>
      </c>
      <c r="L4133" s="7" t="s">
        <v>3040</v>
      </c>
      <c r="M4133" s="1"/>
      <c r="N4133" s="4" t="s">
        <v>1408</v>
      </c>
      <c r="O4133" s="4" t="s">
        <v>6395</v>
      </c>
      <c r="P4133" s="1"/>
      <c r="Q4133" s="4"/>
      <c r="R4133" s="26"/>
      <c r="S4133" s="26"/>
      <c r="T4133" s="26">
        <v>21568.32</v>
      </c>
      <c r="U4133" s="26">
        <f t="shared" si="2657"/>
        <v>24156.518400000001</v>
      </c>
      <c r="V4133" s="11" t="s">
        <v>3182</v>
      </c>
      <c r="W4133" s="11">
        <v>2015</v>
      </c>
      <c r="X4133" s="27"/>
    </row>
    <row r="4134" spans="1:193" s="28" customFormat="1" ht="38.25" customHeight="1" x14ac:dyDescent="0.2">
      <c r="A4134" s="1" t="s">
        <v>3376</v>
      </c>
      <c r="B4134" s="15" t="s">
        <v>5277</v>
      </c>
      <c r="C4134" s="4" t="s">
        <v>3058</v>
      </c>
      <c r="D4134" s="4" t="s">
        <v>6330</v>
      </c>
      <c r="E4134" s="4" t="s">
        <v>6330</v>
      </c>
      <c r="F4134" s="4" t="s">
        <v>6331</v>
      </c>
      <c r="G4134" s="4" t="s">
        <v>3190</v>
      </c>
      <c r="H4134" s="17">
        <v>1</v>
      </c>
      <c r="I4134" s="18">
        <v>710000000</v>
      </c>
      <c r="J4134" s="4" t="s">
        <v>1931</v>
      </c>
      <c r="K4134" s="4" t="s">
        <v>5282</v>
      </c>
      <c r="L4134" s="7" t="s">
        <v>1356</v>
      </c>
      <c r="M4134" s="1"/>
      <c r="N4134" s="4" t="s">
        <v>1408</v>
      </c>
      <c r="O4134" s="4" t="s">
        <v>6257</v>
      </c>
      <c r="P4134" s="1"/>
      <c r="Q4134" s="4"/>
      <c r="R4134" s="26"/>
      <c r="S4134" s="26"/>
      <c r="T4134" s="26">
        <v>0</v>
      </c>
      <c r="U4134" s="26">
        <f t="shared" si="2657"/>
        <v>0</v>
      </c>
      <c r="V4134" s="11" t="s">
        <v>3182</v>
      </c>
      <c r="W4134" s="11">
        <v>2015</v>
      </c>
      <c r="X4134" s="27" t="s">
        <v>7006</v>
      </c>
    </row>
    <row r="4135" spans="1:193" s="28" customFormat="1" ht="38.25" customHeight="1" x14ac:dyDescent="0.2">
      <c r="A4135" s="1" t="s">
        <v>7265</v>
      </c>
      <c r="B4135" s="15" t="s">
        <v>5277</v>
      </c>
      <c r="C4135" s="4" t="s">
        <v>3058</v>
      </c>
      <c r="D4135" s="4" t="s">
        <v>6330</v>
      </c>
      <c r="E4135" s="4" t="s">
        <v>6330</v>
      </c>
      <c r="F4135" s="4" t="s">
        <v>6331</v>
      </c>
      <c r="G4135" s="4" t="s">
        <v>3190</v>
      </c>
      <c r="H4135" s="17">
        <v>1</v>
      </c>
      <c r="I4135" s="18">
        <v>710000000</v>
      </c>
      <c r="J4135" s="4" t="s">
        <v>1931</v>
      </c>
      <c r="K4135" s="4" t="s">
        <v>7267</v>
      </c>
      <c r="L4135" s="7" t="s">
        <v>1356</v>
      </c>
      <c r="M4135" s="1"/>
      <c r="N4135" s="4" t="s">
        <v>1408</v>
      </c>
      <c r="O4135" s="4" t="s">
        <v>6257</v>
      </c>
      <c r="P4135" s="1"/>
      <c r="Q4135" s="4"/>
      <c r="R4135" s="26"/>
      <c r="S4135" s="26"/>
      <c r="T4135" s="26">
        <v>200000</v>
      </c>
      <c r="U4135" s="26">
        <f t="shared" ref="U4135" si="2669">T4135*1.12</f>
        <v>224000.00000000003</v>
      </c>
      <c r="V4135" s="11" t="s">
        <v>3182</v>
      </c>
      <c r="W4135" s="11">
        <v>2015</v>
      </c>
      <c r="X4135" s="27"/>
    </row>
    <row r="4136" spans="1:193" s="28" customFormat="1" ht="38.25" customHeight="1" x14ac:dyDescent="0.2">
      <c r="A4136" s="1" t="s">
        <v>3377</v>
      </c>
      <c r="B4136" s="15" t="s">
        <v>5277</v>
      </c>
      <c r="C4136" s="4" t="s">
        <v>3058</v>
      </c>
      <c r="D4136" s="4" t="s">
        <v>6330</v>
      </c>
      <c r="E4136" s="4" t="s">
        <v>6330</v>
      </c>
      <c r="F4136" s="4" t="s">
        <v>6331</v>
      </c>
      <c r="G4136" s="4" t="s">
        <v>3190</v>
      </c>
      <c r="H4136" s="17">
        <v>1</v>
      </c>
      <c r="I4136" s="18">
        <v>710000000</v>
      </c>
      <c r="J4136" s="4" t="s">
        <v>1931</v>
      </c>
      <c r="K4136" s="4" t="s">
        <v>5282</v>
      </c>
      <c r="L4136" s="4" t="s">
        <v>5689</v>
      </c>
      <c r="M4136" s="1"/>
      <c r="N4136" s="4" t="s">
        <v>1408</v>
      </c>
      <c r="O4136" s="4" t="s">
        <v>6257</v>
      </c>
      <c r="P4136" s="1"/>
      <c r="Q4136" s="4"/>
      <c r="R4136" s="26"/>
      <c r="S4136" s="26"/>
      <c r="T4136" s="26">
        <v>0</v>
      </c>
      <c r="U4136" s="26">
        <f t="shared" si="2657"/>
        <v>0</v>
      </c>
      <c r="V4136" s="11" t="s">
        <v>3182</v>
      </c>
      <c r="W4136" s="11">
        <v>2015</v>
      </c>
      <c r="X4136" s="27" t="s">
        <v>7006</v>
      </c>
    </row>
    <row r="4137" spans="1:193" s="28" customFormat="1" ht="38.25" customHeight="1" x14ac:dyDescent="0.2">
      <c r="A4137" s="1" t="s">
        <v>7266</v>
      </c>
      <c r="B4137" s="15" t="s">
        <v>5277</v>
      </c>
      <c r="C4137" s="4" t="s">
        <v>3058</v>
      </c>
      <c r="D4137" s="4" t="s">
        <v>6330</v>
      </c>
      <c r="E4137" s="4" t="s">
        <v>6330</v>
      </c>
      <c r="F4137" s="4" t="s">
        <v>6331</v>
      </c>
      <c r="G4137" s="4" t="s">
        <v>3190</v>
      </c>
      <c r="H4137" s="17">
        <v>1</v>
      </c>
      <c r="I4137" s="18">
        <v>710000000</v>
      </c>
      <c r="J4137" s="4" t="s">
        <v>1931</v>
      </c>
      <c r="K4137" s="4" t="s">
        <v>7267</v>
      </c>
      <c r="L4137" s="4" t="s">
        <v>5689</v>
      </c>
      <c r="M4137" s="1"/>
      <c r="N4137" s="4" t="s">
        <v>1408</v>
      </c>
      <c r="O4137" s="4" t="s">
        <v>6257</v>
      </c>
      <c r="P4137" s="1"/>
      <c r="Q4137" s="4"/>
      <c r="R4137" s="26"/>
      <c r="S4137" s="26"/>
      <c r="T4137" s="26">
        <v>107000</v>
      </c>
      <c r="U4137" s="26">
        <f t="shared" ref="U4137" si="2670">T4137*1.12</f>
        <v>119840.00000000001</v>
      </c>
      <c r="V4137" s="11" t="s">
        <v>3182</v>
      </c>
      <c r="W4137" s="11">
        <v>2015</v>
      </c>
      <c r="X4137" s="27"/>
    </row>
    <row r="4138" spans="1:193" s="28" customFormat="1" ht="51" customHeight="1" x14ac:dyDescent="0.2">
      <c r="A4138" s="1" t="s">
        <v>3378</v>
      </c>
      <c r="B4138" s="15" t="s">
        <v>5277</v>
      </c>
      <c r="C4138" s="4" t="s">
        <v>3042</v>
      </c>
      <c r="D4138" s="4" t="s">
        <v>6335</v>
      </c>
      <c r="E4138" s="4" t="s">
        <v>6336</v>
      </c>
      <c r="F4138" s="4"/>
      <c r="G4138" s="4" t="s">
        <v>3190</v>
      </c>
      <c r="H4138" s="17">
        <v>1</v>
      </c>
      <c r="I4138" s="18">
        <v>710000000</v>
      </c>
      <c r="J4138" s="4" t="s">
        <v>1931</v>
      </c>
      <c r="K4138" s="4" t="s">
        <v>5282</v>
      </c>
      <c r="L4138" s="7" t="s">
        <v>3040</v>
      </c>
      <c r="M4138" s="1"/>
      <c r="N4138" s="4" t="s">
        <v>1408</v>
      </c>
      <c r="O4138" s="4" t="s">
        <v>6257</v>
      </c>
      <c r="P4138" s="1"/>
      <c r="Q4138" s="4"/>
      <c r="R4138" s="26"/>
      <c r="S4138" s="26"/>
      <c r="T4138" s="26">
        <f>1238142.86+523535.71</f>
        <v>1761678.57</v>
      </c>
      <c r="U4138" s="26">
        <f t="shared" si="2657"/>
        <v>1973079.9984000002</v>
      </c>
      <c r="V4138" s="11" t="s">
        <v>3182</v>
      </c>
      <c r="W4138" s="11">
        <v>2015</v>
      </c>
      <c r="X4138" s="27"/>
    </row>
    <row r="4139" spans="1:193" s="28" customFormat="1" ht="63.75" customHeight="1" x14ac:dyDescent="0.2">
      <c r="A4139" s="1" t="s">
        <v>3379</v>
      </c>
      <c r="B4139" s="15" t="s">
        <v>5277</v>
      </c>
      <c r="C4139" s="4" t="s">
        <v>3043</v>
      </c>
      <c r="D4139" s="4" t="s">
        <v>6337</v>
      </c>
      <c r="E4139" s="4" t="s">
        <v>6337</v>
      </c>
      <c r="F4139" s="4" t="s">
        <v>6338</v>
      </c>
      <c r="G4139" s="1" t="s">
        <v>3190</v>
      </c>
      <c r="H4139" s="17">
        <v>1</v>
      </c>
      <c r="I4139" s="18">
        <v>710000000</v>
      </c>
      <c r="J4139" s="4" t="s">
        <v>1931</v>
      </c>
      <c r="K4139" s="4" t="s">
        <v>5282</v>
      </c>
      <c r="L4139" s="4" t="s">
        <v>3040</v>
      </c>
      <c r="M4139" s="1"/>
      <c r="N4139" s="4" t="s">
        <v>1408</v>
      </c>
      <c r="O4139" s="4" t="s">
        <v>6257</v>
      </c>
      <c r="P4139" s="1"/>
      <c r="Q4139" s="4"/>
      <c r="R4139" s="26"/>
      <c r="S4139" s="26"/>
      <c r="T4139" s="26">
        <v>68880</v>
      </c>
      <c r="U4139" s="26">
        <f t="shared" si="2657"/>
        <v>77145.600000000006</v>
      </c>
      <c r="V4139" s="11" t="s">
        <v>3182</v>
      </c>
      <c r="W4139" s="11">
        <v>2015</v>
      </c>
      <c r="X4139" s="27"/>
    </row>
    <row r="4140" spans="1:193" s="28" customFormat="1" ht="38.25" customHeight="1" x14ac:dyDescent="0.2">
      <c r="A4140" s="1" t="s">
        <v>3380</v>
      </c>
      <c r="B4140" s="15" t="s">
        <v>5277</v>
      </c>
      <c r="C4140" s="4" t="s">
        <v>3041</v>
      </c>
      <c r="D4140" s="4" t="s">
        <v>6333</v>
      </c>
      <c r="E4140" s="4" t="s">
        <v>6333</v>
      </c>
      <c r="F4140" s="4" t="s">
        <v>6334</v>
      </c>
      <c r="G4140" s="1" t="s">
        <v>3190</v>
      </c>
      <c r="H4140" s="17">
        <v>1</v>
      </c>
      <c r="I4140" s="18">
        <v>710000000</v>
      </c>
      <c r="J4140" s="4" t="s">
        <v>1931</v>
      </c>
      <c r="K4140" s="4" t="s">
        <v>5282</v>
      </c>
      <c r="L4140" s="4" t="s">
        <v>3040</v>
      </c>
      <c r="M4140" s="1"/>
      <c r="N4140" s="4" t="s">
        <v>1408</v>
      </c>
      <c r="O4140" s="4" t="s">
        <v>6257</v>
      </c>
      <c r="P4140" s="1"/>
      <c r="Q4140" s="4"/>
      <c r="R4140" s="26"/>
      <c r="S4140" s="26"/>
      <c r="T4140" s="26">
        <f>1004571.43+380797.71</f>
        <v>1385369.1400000001</v>
      </c>
      <c r="U4140" s="26">
        <f t="shared" ref="U4140:U4155" si="2671">T4140*1.12</f>
        <v>1551613.4368000003</v>
      </c>
      <c r="V4140" s="11" t="s">
        <v>3182</v>
      </c>
      <c r="W4140" s="11">
        <v>2015</v>
      </c>
      <c r="X4140" s="27"/>
    </row>
    <row r="4141" spans="1:193" s="28" customFormat="1" ht="38.25" customHeight="1" x14ac:dyDescent="0.2">
      <c r="A4141" s="1" t="s">
        <v>4214</v>
      </c>
      <c r="B4141" s="15" t="s">
        <v>5277</v>
      </c>
      <c r="C4141" s="4" t="s">
        <v>3044</v>
      </c>
      <c r="D4141" s="4" t="s">
        <v>6340</v>
      </c>
      <c r="E4141" s="4" t="s">
        <v>6340</v>
      </c>
      <c r="F4141" s="4"/>
      <c r="G4141" s="4" t="s">
        <v>3190</v>
      </c>
      <c r="H4141" s="17">
        <v>1</v>
      </c>
      <c r="I4141" s="18">
        <v>710000000</v>
      </c>
      <c r="J4141" s="4" t="s">
        <v>1931</v>
      </c>
      <c r="K4141" s="4" t="s">
        <v>5282</v>
      </c>
      <c r="L4141" s="4" t="s">
        <v>3040</v>
      </c>
      <c r="M4141" s="1"/>
      <c r="N4141" s="4" t="s">
        <v>1408</v>
      </c>
      <c r="O4141" s="4" t="s">
        <v>6257</v>
      </c>
      <c r="P4141" s="1"/>
      <c r="Q4141" s="4"/>
      <c r="R4141" s="26"/>
      <c r="S4141" s="26"/>
      <c r="T4141" s="26">
        <v>0</v>
      </c>
      <c r="U4141" s="26">
        <f t="shared" si="2671"/>
        <v>0</v>
      </c>
      <c r="V4141" s="11" t="s">
        <v>3182</v>
      </c>
      <c r="W4141" s="11">
        <v>2015</v>
      </c>
      <c r="X4141" s="27" t="s">
        <v>6567</v>
      </c>
    </row>
    <row r="4142" spans="1:193" s="28" customFormat="1" ht="38.25" customHeight="1" x14ac:dyDescent="0.2">
      <c r="A4142" s="1" t="s">
        <v>6566</v>
      </c>
      <c r="B4142" s="15" t="s">
        <v>5277</v>
      </c>
      <c r="C4142" s="4" t="s">
        <v>3044</v>
      </c>
      <c r="D4142" s="4" t="s">
        <v>6340</v>
      </c>
      <c r="E4142" s="4" t="s">
        <v>6340</v>
      </c>
      <c r="F4142" s="4"/>
      <c r="G4142" s="4" t="s">
        <v>3190</v>
      </c>
      <c r="H4142" s="17">
        <v>1</v>
      </c>
      <c r="I4142" s="18">
        <v>710000000</v>
      </c>
      <c r="J4142" s="4" t="s">
        <v>1931</v>
      </c>
      <c r="K4142" s="4" t="s">
        <v>5282</v>
      </c>
      <c r="L4142" s="4" t="s">
        <v>3040</v>
      </c>
      <c r="M4142" s="1"/>
      <c r="N4142" s="4" t="s">
        <v>1408</v>
      </c>
      <c r="O4142" s="4" t="s">
        <v>6257</v>
      </c>
      <c r="P4142" s="1"/>
      <c r="Q4142" s="4"/>
      <c r="R4142" s="26"/>
      <c r="S4142" s="26"/>
      <c r="T4142" s="26">
        <f>1585714.29+68571.42</f>
        <v>1654285.71</v>
      </c>
      <c r="U4142" s="26">
        <f t="shared" ref="U4142" si="2672">T4142*1.12</f>
        <v>1852799.9952000002</v>
      </c>
      <c r="V4142" s="11" t="s">
        <v>3182</v>
      </c>
      <c r="W4142" s="11">
        <v>2015</v>
      </c>
      <c r="X4142" s="27"/>
    </row>
    <row r="4143" spans="1:193" s="28" customFormat="1" ht="38.25" customHeight="1" x14ac:dyDescent="0.2">
      <c r="A4143" s="1" t="s">
        <v>3381</v>
      </c>
      <c r="B4143" s="15" t="s">
        <v>5277</v>
      </c>
      <c r="C4143" s="4" t="s">
        <v>3044</v>
      </c>
      <c r="D4143" s="4" t="s">
        <v>6340</v>
      </c>
      <c r="E4143" s="4" t="s">
        <v>6340</v>
      </c>
      <c r="F4143" s="4"/>
      <c r="G4143" s="4" t="s">
        <v>3190</v>
      </c>
      <c r="H4143" s="17">
        <v>1</v>
      </c>
      <c r="I4143" s="18">
        <v>710000000</v>
      </c>
      <c r="J4143" s="4" t="s">
        <v>1931</v>
      </c>
      <c r="K4143" s="4" t="s">
        <v>5282</v>
      </c>
      <c r="L4143" s="4" t="s">
        <v>3335</v>
      </c>
      <c r="M4143" s="1"/>
      <c r="N4143" s="4" t="s">
        <v>1408</v>
      </c>
      <c r="O4143" s="4" t="s">
        <v>6257</v>
      </c>
      <c r="P4143" s="1"/>
      <c r="Q4143" s="4"/>
      <c r="R4143" s="26"/>
      <c r="S4143" s="26"/>
      <c r="T4143" s="26">
        <v>1027200</v>
      </c>
      <c r="U4143" s="26">
        <f t="shared" si="2671"/>
        <v>1150464</v>
      </c>
      <c r="V4143" s="11" t="s">
        <v>3182</v>
      </c>
      <c r="W4143" s="11">
        <v>2015</v>
      </c>
      <c r="X4143" s="27"/>
    </row>
    <row r="4144" spans="1:193" s="28" customFormat="1" ht="38.25" customHeight="1" x14ac:dyDescent="0.2">
      <c r="A4144" s="1" t="s">
        <v>3382</v>
      </c>
      <c r="B4144" s="15" t="s">
        <v>5277</v>
      </c>
      <c r="C4144" s="4" t="s">
        <v>3044</v>
      </c>
      <c r="D4144" s="4" t="s">
        <v>6340</v>
      </c>
      <c r="E4144" s="4" t="s">
        <v>6340</v>
      </c>
      <c r="F4144" s="4" t="s">
        <v>6341</v>
      </c>
      <c r="G4144" s="4" t="s">
        <v>3190</v>
      </c>
      <c r="H4144" s="17">
        <v>1</v>
      </c>
      <c r="I4144" s="18">
        <v>710000000</v>
      </c>
      <c r="J4144" s="4" t="s">
        <v>1931</v>
      </c>
      <c r="K4144" s="4" t="s">
        <v>5282</v>
      </c>
      <c r="L4144" s="4" t="s">
        <v>3335</v>
      </c>
      <c r="M4144" s="1"/>
      <c r="N4144" s="4" t="s">
        <v>1408</v>
      </c>
      <c r="O4144" s="4" t="s">
        <v>6257</v>
      </c>
      <c r="P4144" s="1"/>
      <c r="Q4144" s="4"/>
      <c r="R4144" s="26"/>
      <c r="S4144" s="26"/>
      <c r="T4144" s="26">
        <v>489985.92</v>
      </c>
      <c r="U4144" s="26">
        <f t="shared" si="2671"/>
        <v>548784.2304</v>
      </c>
      <c r="V4144" s="11" t="s">
        <v>3182</v>
      </c>
      <c r="W4144" s="11">
        <v>2015</v>
      </c>
      <c r="X4144" s="27"/>
    </row>
    <row r="4145" spans="1:24" s="28" customFormat="1" ht="38.25" customHeight="1" x14ac:dyDescent="0.2">
      <c r="A4145" s="1" t="s">
        <v>3383</v>
      </c>
      <c r="B4145" s="15" t="s">
        <v>5277</v>
      </c>
      <c r="C4145" s="4" t="s">
        <v>3894</v>
      </c>
      <c r="D4145" s="4" t="s">
        <v>6342</v>
      </c>
      <c r="E4145" s="4" t="s">
        <v>6342</v>
      </c>
      <c r="F4145" s="4" t="s">
        <v>6341</v>
      </c>
      <c r="G4145" s="4" t="s">
        <v>3190</v>
      </c>
      <c r="H4145" s="17">
        <v>1</v>
      </c>
      <c r="I4145" s="18">
        <v>710000000</v>
      </c>
      <c r="J4145" s="4" t="s">
        <v>1931</v>
      </c>
      <c r="K4145" s="4" t="s">
        <v>5282</v>
      </c>
      <c r="L4145" s="4" t="s">
        <v>3335</v>
      </c>
      <c r="M4145" s="1"/>
      <c r="N4145" s="4" t="s">
        <v>1408</v>
      </c>
      <c r="O4145" s="4" t="s">
        <v>6257</v>
      </c>
      <c r="P4145" s="1"/>
      <c r="Q4145" s="4"/>
      <c r="R4145" s="26"/>
      <c r="S4145" s="26"/>
      <c r="T4145" s="26">
        <v>319320</v>
      </c>
      <c r="U4145" s="26">
        <f t="shared" si="2671"/>
        <v>357638.40000000002</v>
      </c>
      <c r="V4145" s="11" t="s">
        <v>3182</v>
      </c>
      <c r="W4145" s="11">
        <v>2015</v>
      </c>
      <c r="X4145" s="27"/>
    </row>
    <row r="4146" spans="1:24" s="28" customFormat="1" ht="76.5" customHeight="1" x14ac:dyDescent="0.2">
      <c r="A4146" s="1" t="s">
        <v>3384</v>
      </c>
      <c r="B4146" s="15" t="s">
        <v>5277</v>
      </c>
      <c r="C4146" s="4" t="s">
        <v>748</v>
      </c>
      <c r="D4146" s="4" t="s">
        <v>749</v>
      </c>
      <c r="E4146" s="4" t="s">
        <v>749</v>
      </c>
      <c r="F4146" s="4" t="s">
        <v>6341</v>
      </c>
      <c r="G4146" s="4" t="s">
        <v>3190</v>
      </c>
      <c r="H4146" s="17">
        <v>1</v>
      </c>
      <c r="I4146" s="18">
        <v>710000000</v>
      </c>
      <c r="J4146" s="4" t="s">
        <v>1931</v>
      </c>
      <c r="K4146" s="4" t="s">
        <v>5282</v>
      </c>
      <c r="L4146" s="4" t="s">
        <v>3335</v>
      </c>
      <c r="M4146" s="1"/>
      <c r="N4146" s="4" t="s">
        <v>1408</v>
      </c>
      <c r="O4146" s="4" t="s">
        <v>6257</v>
      </c>
      <c r="P4146" s="1"/>
      <c r="Q4146" s="4"/>
      <c r="R4146" s="26"/>
      <c r="S4146" s="26"/>
      <c r="T4146" s="26">
        <v>360000</v>
      </c>
      <c r="U4146" s="26">
        <f t="shared" si="2671"/>
        <v>403200.00000000006</v>
      </c>
      <c r="V4146" s="11" t="s">
        <v>3182</v>
      </c>
      <c r="W4146" s="11">
        <v>2015</v>
      </c>
      <c r="X4146" s="27"/>
    </row>
    <row r="4147" spans="1:24" s="28" customFormat="1" ht="51" customHeight="1" x14ac:dyDescent="0.2">
      <c r="A4147" s="1" t="s">
        <v>3385</v>
      </c>
      <c r="B4147" s="15" t="s">
        <v>5277</v>
      </c>
      <c r="C4147" s="4" t="s">
        <v>750</v>
      </c>
      <c r="D4147" s="4" t="s">
        <v>751</v>
      </c>
      <c r="E4147" s="4" t="s">
        <v>751</v>
      </c>
      <c r="F4147" s="4" t="s">
        <v>752</v>
      </c>
      <c r="G4147" s="4" t="s">
        <v>3190</v>
      </c>
      <c r="H4147" s="17">
        <v>1</v>
      </c>
      <c r="I4147" s="18">
        <v>710000000</v>
      </c>
      <c r="J4147" s="4" t="s">
        <v>1931</v>
      </c>
      <c r="K4147" s="4" t="s">
        <v>5282</v>
      </c>
      <c r="L4147" s="4" t="s">
        <v>3335</v>
      </c>
      <c r="M4147" s="1"/>
      <c r="N4147" s="4" t="s">
        <v>1408</v>
      </c>
      <c r="O4147" s="4" t="s">
        <v>6257</v>
      </c>
      <c r="P4147" s="1"/>
      <c r="Q4147" s="4"/>
      <c r="R4147" s="26"/>
      <c r="S4147" s="26"/>
      <c r="T4147" s="26">
        <v>409500</v>
      </c>
      <c r="U4147" s="26">
        <f t="shared" si="2671"/>
        <v>458640.00000000006</v>
      </c>
      <c r="V4147" s="11" t="s">
        <v>3182</v>
      </c>
      <c r="W4147" s="11">
        <v>2015</v>
      </c>
      <c r="X4147" s="27"/>
    </row>
    <row r="4148" spans="1:24" s="28" customFormat="1" ht="51" customHeight="1" x14ac:dyDescent="0.2">
      <c r="A4148" s="1" t="s">
        <v>1837</v>
      </c>
      <c r="B4148" s="4" t="s">
        <v>5277</v>
      </c>
      <c r="C4148" s="4" t="s">
        <v>750</v>
      </c>
      <c r="D4148" s="4" t="s">
        <v>751</v>
      </c>
      <c r="E4148" s="4" t="s">
        <v>751</v>
      </c>
      <c r="F4148" s="4"/>
      <c r="G4148" s="4" t="s">
        <v>3190</v>
      </c>
      <c r="H4148" s="17">
        <v>1</v>
      </c>
      <c r="I4148" s="18">
        <v>710000000</v>
      </c>
      <c r="J4148" s="4" t="s">
        <v>1931</v>
      </c>
      <c r="K4148" s="4" t="s">
        <v>5282</v>
      </c>
      <c r="L4148" s="7" t="s">
        <v>1409</v>
      </c>
      <c r="M4148" s="1"/>
      <c r="N4148" s="4" t="s">
        <v>1408</v>
      </c>
      <c r="O4148" s="4" t="s">
        <v>6257</v>
      </c>
      <c r="P4148" s="1"/>
      <c r="Q4148" s="4"/>
      <c r="R4148" s="26"/>
      <c r="S4148" s="26"/>
      <c r="T4148" s="26">
        <v>0</v>
      </c>
      <c r="U4148" s="26">
        <f t="shared" si="2671"/>
        <v>0</v>
      </c>
      <c r="V4148" s="1" t="s">
        <v>3182</v>
      </c>
      <c r="W4148" s="1">
        <v>2015</v>
      </c>
      <c r="X4148" s="27" t="s">
        <v>7312</v>
      </c>
    </row>
    <row r="4149" spans="1:24" s="28" customFormat="1" ht="51" customHeight="1" x14ac:dyDescent="0.2">
      <c r="A4149" s="1" t="s">
        <v>8350</v>
      </c>
      <c r="B4149" s="4" t="s">
        <v>5277</v>
      </c>
      <c r="C4149" s="4" t="s">
        <v>750</v>
      </c>
      <c r="D4149" s="4" t="s">
        <v>751</v>
      </c>
      <c r="E4149" s="4" t="s">
        <v>751</v>
      </c>
      <c r="F4149" s="4"/>
      <c r="G4149" s="4" t="s">
        <v>3190</v>
      </c>
      <c r="H4149" s="17">
        <v>1</v>
      </c>
      <c r="I4149" s="18">
        <v>710000000</v>
      </c>
      <c r="J4149" s="4" t="s">
        <v>1931</v>
      </c>
      <c r="K4149" s="4" t="s">
        <v>756</v>
      </c>
      <c r="L4149" s="7" t="s">
        <v>1409</v>
      </c>
      <c r="M4149" s="1"/>
      <c r="N4149" s="4" t="s">
        <v>1408</v>
      </c>
      <c r="O4149" s="4" t="s">
        <v>6257</v>
      </c>
      <c r="P4149" s="1"/>
      <c r="Q4149" s="4"/>
      <c r="R4149" s="26"/>
      <c r="S4149" s="26"/>
      <c r="T4149" s="26">
        <v>237000</v>
      </c>
      <c r="U4149" s="26">
        <f t="shared" ref="U4149" si="2673">T4149*1.12</f>
        <v>265440</v>
      </c>
      <c r="V4149" s="1" t="s">
        <v>3182</v>
      </c>
      <c r="W4149" s="1">
        <v>2015</v>
      </c>
      <c r="X4149" s="27"/>
    </row>
    <row r="4150" spans="1:24" s="28" customFormat="1" ht="38.25" customHeight="1" x14ac:dyDescent="0.2">
      <c r="A4150" s="1" t="s">
        <v>1838</v>
      </c>
      <c r="B4150" s="15" t="s">
        <v>5277</v>
      </c>
      <c r="C4150" s="4" t="s">
        <v>6551</v>
      </c>
      <c r="D4150" s="4" t="s">
        <v>6552</v>
      </c>
      <c r="E4150" s="4" t="s">
        <v>6552</v>
      </c>
      <c r="F4150" s="4" t="s">
        <v>6344</v>
      </c>
      <c r="G4150" s="4" t="s">
        <v>3190</v>
      </c>
      <c r="H4150" s="22">
        <v>1</v>
      </c>
      <c r="I4150" s="18">
        <v>710000000</v>
      </c>
      <c r="J4150" s="4" t="s">
        <v>1931</v>
      </c>
      <c r="K4150" s="4" t="s">
        <v>5282</v>
      </c>
      <c r="L4150" s="4" t="s">
        <v>2985</v>
      </c>
      <c r="M4150" s="1"/>
      <c r="N4150" s="4" t="s">
        <v>1408</v>
      </c>
      <c r="O4150" s="4" t="s">
        <v>6339</v>
      </c>
      <c r="P4150" s="1"/>
      <c r="Q4150" s="4"/>
      <c r="R4150" s="26"/>
      <c r="S4150" s="26"/>
      <c r="T4150" s="26">
        <v>128489.46</v>
      </c>
      <c r="U4150" s="26">
        <f t="shared" si="2671"/>
        <v>143908.19520000002</v>
      </c>
      <c r="V4150" s="11" t="s">
        <v>3182</v>
      </c>
      <c r="W4150" s="11">
        <v>2015</v>
      </c>
      <c r="X4150" s="27"/>
    </row>
    <row r="4151" spans="1:24" s="28" customFormat="1" ht="63.75" customHeight="1" x14ac:dyDescent="0.2">
      <c r="A4151" s="1" t="s">
        <v>1839</v>
      </c>
      <c r="B4151" s="15" t="s">
        <v>5277</v>
      </c>
      <c r="C4151" s="4" t="s">
        <v>753</v>
      </c>
      <c r="D4151" s="4" t="s">
        <v>754</v>
      </c>
      <c r="E4151" s="4" t="s">
        <v>754</v>
      </c>
      <c r="F4151" s="4" t="s">
        <v>755</v>
      </c>
      <c r="G4151" s="4" t="s">
        <v>3190</v>
      </c>
      <c r="H4151" s="17">
        <v>1</v>
      </c>
      <c r="I4151" s="18">
        <v>710000000</v>
      </c>
      <c r="J4151" s="4" t="s">
        <v>1931</v>
      </c>
      <c r="K4151" s="4" t="s">
        <v>5282</v>
      </c>
      <c r="L4151" s="4" t="s">
        <v>2985</v>
      </c>
      <c r="M4151" s="1"/>
      <c r="N4151" s="4" t="s">
        <v>1408</v>
      </c>
      <c r="O4151" s="4" t="s">
        <v>6257</v>
      </c>
      <c r="P4151" s="1"/>
      <c r="Q4151" s="4"/>
      <c r="R4151" s="26"/>
      <c r="S4151" s="26"/>
      <c r="T4151" s="26">
        <v>0</v>
      </c>
      <c r="U4151" s="26">
        <f t="shared" si="2671"/>
        <v>0</v>
      </c>
      <c r="V4151" s="11" t="s">
        <v>3182</v>
      </c>
      <c r="W4151" s="11">
        <v>2015</v>
      </c>
      <c r="X4151" s="27" t="s">
        <v>7312</v>
      </c>
    </row>
    <row r="4152" spans="1:24" s="28" customFormat="1" ht="63.75" customHeight="1" x14ac:dyDescent="0.2">
      <c r="A4152" s="1" t="s">
        <v>7310</v>
      </c>
      <c r="B4152" s="15" t="s">
        <v>5277</v>
      </c>
      <c r="C4152" s="4" t="s">
        <v>753</v>
      </c>
      <c r="D4152" s="4" t="s">
        <v>754</v>
      </c>
      <c r="E4152" s="4" t="s">
        <v>754</v>
      </c>
      <c r="F4152" s="4" t="s">
        <v>755</v>
      </c>
      <c r="G4152" s="4" t="s">
        <v>3190</v>
      </c>
      <c r="H4152" s="17">
        <v>1</v>
      </c>
      <c r="I4152" s="18">
        <v>710000000</v>
      </c>
      <c r="J4152" s="4" t="s">
        <v>1931</v>
      </c>
      <c r="K4152" s="4" t="s">
        <v>7311</v>
      </c>
      <c r="L4152" s="4" t="s">
        <v>2985</v>
      </c>
      <c r="M4152" s="1"/>
      <c r="N4152" s="4" t="s">
        <v>1408</v>
      </c>
      <c r="O4152" s="4" t="s">
        <v>6257</v>
      </c>
      <c r="P4152" s="1"/>
      <c r="Q4152" s="4"/>
      <c r="R4152" s="26"/>
      <c r="S4152" s="26"/>
      <c r="T4152" s="26">
        <f>1375000+833500</f>
        <v>2208500</v>
      </c>
      <c r="U4152" s="26">
        <f t="shared" ref="U4152" si="2674">T4152*1.12</f>
        <v>2473520.0000000005</v>
      </c>
      <c r="V4152" s="11" t="s">
        <v>3182</v>
      </c>
      <c r="W4152" s="11">
        <v>2015</v>
      </c>
      <c r="X4152" s="27"/>
    </row>
    <row r="4153" spans="1:24" s="28" customFormat="1" ht="63.75" customHeight="1" x14ac:dyDescent="0.2">
      <c r="A4153" s="1" t="s">
        <v>1840</v>
      </c>
      <c r="B4153" s="15" t="s">
        <v>5277</v>
      </c>
      <c r="C4153" s="4" t="s">
        <v>3620</v>
      </c>
      <c r="D4153" s="4" t="s">
        <v>6348</v>
      </c>
      <c r="E4153" s="4" t="s">
        <v>6348</v>
      </c>
      <c r="F4153" s="4"/>
      <c r="G4153" s="4" t="s">
        <v>3190</v>
      </c>
      <c r="H4153" s="17">
        <v>1</v>
      </c>
      <c r="I4153" s="18">
        <v>710000000</v>
      </c>
      <c r="J4153" s="4" t="s">
        <v>1931</v>
      </c>
      <c r="K4153" s="4" t="s">
        <v>5282</v>
      </c>
      <c r="L4153" s="4" t="s">
        <v>2985</v>
      </c>
      <c r="M4153" s="1"/>
      <c r="N4153" s="4" t="s">
        <v>1408</v>
      </c>
      <c r="O4153" s="4" t="s">
        <v>6257</v>
      </c>
      <c r="P4153" s="1"/>
      <c r="Q4153" s="4"/>
      <c r="R4153" s="26"/>
      <c r="S4153" s="26"/>
      <c r="T4153" s="26">
        <v>0</v>
      </c>
      <c r="U4153" s="26">
        <f t="shared" si="2671"/>
        <v>0</v>
      </c>
      <c r="V4153" s="11" t="s">
        <v>3182</v>
      </c>
      <c r="W4153" s="11">
        <v>2015</v>
      </c>
      <c r="X4153" s="27" t="s">
        <v>7006</v>
      </c>
    </row>
    <row r="4154" spans="1:24" s="28" customFormat="1" ht="63.75" customHeight="1" x14ac:dyDescent="0.2">
      <c r="A4154" s="1" t="s">
        <v>7005</v>
      </c>
      <c r="B4154" s="15" t="s">
        <v>5277</v>
      </c>
      <c r="C4154" s="4" t="s">
        <v>3620</v>
      </c>
      <c r="D4154" s="4" t="s">
        <v>6348</v>
      </c>
      <c r="E4154" s="4" t="s">
        <v>6348</v>
      </c>
      <c r="F4154" s="4"/>
      <c r="G4154" s="4" t="s">
        <v>3190</v>
      </c>
      <c r="H4154" s="17">
        <v>1</v>
      </c>
      <c r="I4154" s="18">
        <v>710000000</v>
      </c>
      <c r="J4154" s="4" t="s">
        <v>1931</v>
      </c>
      <c r="K4154" s="4" t="s">
        <v>5297</v>
      </c>
      <c r="L4154" s="4" t="s">
        <v>2985</v>
      </c>
      <c r="M4154" s="1"/>
      <c r="N4154" s="4" t="s">
        <v>1408</v>
      </c>
      <c r="O4154" s="4" t="s">
        <v>6257</v>
      </c>
      <c r="P4154" s="1"/>
      <c r="Q4154" s="4"/>
      <c r="R4154" s="26"/>
      <c r="S4154" s="26"/>
      <c r="T4154" s="26">
        <v>634443</v>
      </c>
      <c r="U4154" s="26">
        <f t="shared" ref="U4154" si="2675">T4154*1.12</f>
        <v>710576.16</v>
      </c>
      <c r="V4154" s="11" t="s">
        <v>3182</v>
      </c>
      <c r="W4154" s="11">
        <v>2015</v>
      </c>
      <c r="X4154" s="27"/>
    </row>
    <row r="4155" spans="1:24" s="28" customFormat="1" ht="63.75" customHeight="1" x14ac:dyDescent="0.2">
      <c r="A4155" s="1" t="s">
        <v>1841</v>
      </c>
      <c r="B4155" s="15" t="s">
        <v>5277</v>
      </c>
      <c r="C4155" s="4" t="s">
        <v>3620</v>
      </c>
      <c r="D4155" s="4" t="s">
        <v>6348</v>
      </c>
      <c r="E4155" s="4" t="s">
        <v>6348</v>
      </c>
      <c r="F4155" s="4"/>
      <c r="G4155" s="4" t="s">
        <v>3190</v>
      </c>
      <c r="H4155" s="17">
        <v>1</v>
      </c>
      <c r="I4155" s="18">
        <v>710000000</v>
      </c>
      <c r="J4155" s="4" t="s">
        <v>1931</v>
      </c>
      <c r="K4155" s="4" t="s">
        <v>5282</v>
      </c>
      <c r="L4155" s="7" t="s">
        <v>1409</v>
      </c>
      <c r="M4155" s="1"/>
      <c r="N4155" s="4" t="s">
        <v>1408</v>
      </c>
      <c r="O4155" s="4" t="s">
        <v>6257</v>
      </c>
      <c r="P4155" s="1"/>
      <c r="Q4155" s="4"/>
      <c r="R4155" s="26"/>
      <c r="S4155" s="26"/>
      <c r="T4155" s="26">
        <v>0</v>
      </c>
      <c r="U4155" s="26">
        <f t="shared" si="2671"/>
        <v>0</v>
      </c>
      <c r="V4155" s="11" t="s">
        <v>3182</v>
      </c>
      <c r="W4155" s="11">
        <v>2015</v>
      </c>
      <c r="X4155" s="27" t="s">
        <v>8895</v>
      </c>
    </row>
    <row r="4156" spans="1:24" s="28" customFormat="1" ht="63.75" customHeight="1" x14ac:dyDescent="0.2">
      <c r="A4156" s="1" t="s">
        <v>8894</v>
      </c>
      <c r="B4156" s="15" t="s">
        <v>5277</v>
      </c>
      <c r="C4156" s="4" t="s">
        <v>3620</v>
      </c>
      <c r="D4156" s="4" t="s">
        <v>6348</v>
      </c>
      <c r="E4156" s="4" t="s">
        <v>6348</v>
      </c>
      <c r="F4156" s="4"/>
      <c r="G4156" s="4" t="s">
        <v>3190</v>
      </c>
      <c r="H4156" s="17">
        <v>1</v>
      </c>
      <c r="I4156" s="18">
        <v>710000000</v>
      </c>
      <c r="J4156" s="4" t="s">
        <v>1931</v>
      </c>
      <c r="K4156" s="4" t="s">
        <v>6167</v>
      </c>
      <c r="L4156" s="7" t="s">
        <v>1409</v>
      </c>
      <c r="M4156" s="1"/>
      <c r="N4156" s="4" t="s">
        <v>1408</v>
      </c>
      <c r="O4156" s="4" t="s">
        <v>6257</v>
      </c>
      <c r="P4156" s="1"/>
      <c r="Q4156" s="4"/>
      <c r="R4156" s="26"/>
      <c r="S4156" s="26"/>
      <c r="T4156" s="26">
        <f>81000+22000</f>
        <v>103000</v>
      </c>
      <c r="U4156" s="26">
        <f t="shared" ref="U4156" si="2676">T4156*1.12</f>
        <v>115360.00000000001</v>
      </c>
      <c r="V4156" s="11" t="s">
        <v>3182</v>
      </c>
      <c r="W4156" s="11">
        <v>2015</v>
      </c>
      <c r="X4156" s="27"/>
    </row>
    <row r="4157" spans="1:24" s="28" customFormat="1" ht="76.5" customHeight="1" x14ac:dyDescent="0.2">
      <c r="A4157" s="1" t="s">
        <v>6429</v>
      </c>
      <c r="B4157" s="15" t="s">
        <v>5277</v>
      </c>
      <c r="C4157" s="4" t="s">
        <v>3518</v>
      </c>
      <c r="D4157" s="4" t="s">
        <v>6350</v>
      </c>
      <c r="E4157" s="4" t="s">
        <v>6351</v>
      </c>
      <c r="F4157" s="4"/>
      <c r="G4157" s="4" t="s">
        <v>3190</v>
      </c>
      <c r="H4157" s="17">
        <v>1</v>
      </c>
      <c r="I4157" s="18">
        <v>710000000</v>
      </c>
      <c r="J4157" s="4" t="s">
        <v>1931</v>
      </c>
      <c r="K4157" s="4" t="s">
        <v>756</v>
      </c>
      <c r="L4157" s="4" t="s">
        <v>2985</v>
      </c>
      <c r="M4157" s="1"/>
      <c r="N4157" s="4" t="s">
        <v>6349</v>
      </c>
      <c r="O4157" s="4" t="s">
        <v>6339</v>
      </c>
      <c r="P4157" s="1"/>
      <c r="Q4157" s="4"/>
      <c r="R4157" s="26"/>
      <c r="S4157" s="26"/>
      <c r="T4157" s="26">
        <v>3390716</v>
      </c>
      <c r="U4157" s="26">
        <f t="shared" ref="U4157:U4163" si="2677">T4157</f>
        <v>3390716</v>
      </c>
      <c r="V4157" s="11" t="s">
        <v>3182</v>
      </c>
      <c r="W4157" s="11">
        <v>2015</v>
      </c>
      <c r="X4157" s="27"/>
    </row>
    <row r="4158" spans="1:24" s="28" customFormat="1" ht="76.5" customHeight="1" x14ac:dyDescent="0.2">
      <c r="A4158" s="1" t="s">
        <v>1842</v>
      </c>
      <c r="B4158" s="15" t="s">
        <v>5277</v>
      </c>
      <c r="C4158" s="4" t="s">
        <v>3518</v>
      </c>
      <c r="D4158" s="4" t="s">
        <v>6350</v>
      </c>
      <c r="E4158" s="4" t="s">
        <v>6351</v>
      </c>
      <c r="F4158" s="4"/>
      <c r="G4158" s="4" t="s">
        <v>3190</v>
      </c>
      <c r="H4158" s="17">
        <v>1</v>
      </c>
      <c r="I4158" s="18">
        <v>710000000</v>
      </c>
      <c r="J4158" s="4" t="s">
        <v>1931</v>
      </c>
      <c r="K4158" s="4" t="s">
        <v>756</v>
      </c>
      <c r="L4158" s="4" t="s">
        <v>3040</v>
      </c>
      <c r="M4158" s="1"/>
      <c r="N4158" s="4" t="s">
        <v>6349</v>
      </c>
      <c r="O4158" s="4" t="s">
        <v>6339</v>
      </c>
      <c r="P4158" s="1"/>
      <c r="Q4158" s="4"/>
      <c r="R4158" s="26"/>
      <c r="S4158" s="26"/>
      <c r="T4158" s="26">
        <f>92255.11+27956.09</f>
        <v>120211.2</v>
      </c>
      <c r="U4158" s="26">
        <f t="shared" si="2677"/>
        <v>120211.2</v>
      </c>
      <c r="V4158" s="11" t="s">
        <v>3182</v>
      </c>
      <c r="W4158" s="11">
        <v>2015</v>
      </c>
      <c r="X4158" s="27"/>
    </row>
    <row r="4159" spans="1:24" s="28" customFormat="1" ht="76.5" customHeight="1" x14ac:dyDescent="0.2">
      <c r="A4159" s="1" t="s">
        <v>3698</v>
      </c>
      <c r="B4159" s="15" t="s">
        <v>5277</v>
      </c>
      <c r="C4159" s="4" t="s">
        <v>3518</v>
      </c>
      <c r="D4159" s="4" t="s">
        <v>6350</v>
      </c>
      <c r="E4159" s="4" t="s">
        <v>6351</v>
      </c>
      <c r="F4159" s="4"/>
      <c r="G4159" s="4" t="s">
        <v>3190</v>
      </c>
      <c r="H4159" s="17">
        <v>1</v>
      </c>
      <c r="I4159" s="18">
        <v>710000000</v>
      </c>
      <c r="J4159" s="4" t="s">
        <v>1931</v>
      </c>
      <c r="K4159" s="4" t="s">
        <v>756</v>
      </c>
      <c r="L4159" s="7" t="s">
        <v>1409</v>
      </c>
      <c r="M4159" s="1"/>
      <c r="N4159" s="4" t="s">
        <v>6349</v>
      </c>
      <c r="O4159" s="4" t="s">
        <v>6339</v>
      </c>
      <c r="P4159" s="1"/>
      <c r="Q4159" s="4"/>
      <c r="R4159" s="26"/>
      <c r="S4159" s="26"/>
      <c r="T4159" s="26">
        <v>325000</v>
      </c>
      <c r="U4159" s="26">
        <f>T4159</f>
        <v>325000</v>
      </c>
      <c r="V4159" s="11" t="s">
        <v>3182</v>
      </c>
      <c r="W4159" s="11">
        <v>2015</v>
      </c>
      <c r="X4159" s="27"/>
    </row>
    <row r="4160" spans="1:24" s="28" customFormat="1" ht="51" customHeight="1" x14ac:dyDescent="0.2">
      <c r="A4160" s="1" t="s">
        <v>3710</v>
      </c>
      <c r="B4160" s="15" t="s">
        <v>5277</v>
      </c>
      <c r="C4160" s="4" t="s">
        <v>3519</v>
      </c>
      <c r="D4160" s="4" t="s">
        <v>6352</v>
      </c>
      <c r="E4160" s="4" t="s">
        <v>6352</v>
      </c>
      <c r="F4160" s="4" t="s">
        <v>6353</v>
      </c>
      <c r="G4160" s="4" t="s">
        <v>3190</v>
      </c>
      <c r="H4160" s="17">
        <v>1</v>
      </c>
      <c r="I4160" s="18">
        <v>710000000</v>
      </c>
      <c r="J4160" s="4" t="s">
        <v>1931</v>
      </c>
      <c r="K4160" s="4" t="s">
        <v>756</v>
      </c>
      <c r="L4160" s="4" t="s">
        <v>2985</v>
      </c>
      <c r="M4160" s="1"/>
      <c r="N4160" s="4" t="s">
        <v>6349</v>
      </c>
      <c r="O4160" s="4" t="s">
        <v>6339</v>
      </c>
      <c r="P4160" s="1"/>
      <c r="Q4160" s="4"/>
      <c r="R4160" s="26"/>
      <c r="S4160" s="26"/>
      <c r="T4160" s="26">
        <v>1523167</v>
      </c>
      <c r="U4160" s="26">
        <f t="shared" si="2677"/>
        <v>1523167</v>
      </c>
      <c r="V4160" s="11" t="s">
        <v>3182</v>
      </c>
      <c r="W4160" s="11">
        <v>2015</v>
      </c>
      <c r="X4160" s="27"/>
    </row>
    <row r="4161" spans="1:24" s="28" customFormat="1" ht="51" customHeight="1" x14ac:dyDescent="0.2">
      <c r="A4161" s="1" t="s">
        <v>3711</v>
      </c>
      <c r="B4161" s="15" t="s">
        <v>5277</v>
      </c>
      <c r="C4161" s="4" t="s">
        <v>3519</v>
      </c>
      <c r="D4161" s="4" t="s">
        <v>6352</v>
      </c>
      <c r="E4161" s="4" t="s">
        <v>6352</v>
      </c>
      <c r="F4161" s="4" t="s">
        <v>6353</v>
      </c>
      <c r="G4161" s="4" t="s">
        <v>3190</v>
      </c>
      <c r="H4161" s="17">
        <v>1</v>
      </c>
      <c r="I4161" s="18">
        <v>710000000</v>
      </c>
      <c r="J4161" s="4" t="s">
        <v>1931</v>
      </c>
      <c r="K4161" s="4" t="s">
        <v>756</v>
      </c>
      <c r="L4161" s="4" t="s">
        <v>3040</v>
      </c>
      <c r="M4161" s="1"/>
      <c r="N4161" s="4" t="s">
        <v>6349</v>
      </c>
      <c r="O4161" s="4" t="s">
        <v>6339</v>
      </c>
      <c r="P4161" s="1"/>
      <c r="Q4161" s="4"/>
      <c r="R4161" s="26"/>
      <c r="S4161" s="26"/>
      <c r="T4161" s="26">
        <v>23784</v>
      </c>
      <c r="U4161" s="26">
        <f t="shared" si="2677"/>
        <v>23784</v>
      </c>
      <c r="V4161" s="11" t="s">
        <v>3182</v>
      </c>
      <c r="W4161" s="11">
        <v>2015</v>
      </c>
      <c r="X4161" s="27"/>
    </row>
    <row r="4162" spans="1:24" s="28" customFormat="1" ht="51" customHeight="1" x14ac:dyDescent="0.2">
      <c r="A4162" s="1" t="s">
        <v>3712</v>
      </c>
      <c r="B4162" s="15" t="s">
        <v>5277</v>
      </c>
      <c r="C4162" s="4" t="s">
        <v>3519</v>
      </c>
      <c r="D4162" s="4" t="s">
        <v>6352</v>
      </c>
      <c r="E4162" s="4" t="s">
        <v>6352</v>
      </c>
      <c r="F4162" s="4" t="s">
        <v>6353</v>
      </c>
      <c r="G4162" s="4" t="s">
        <v>3190</v>
      </c>
      <c r="H4162" s="17">
        <v>1</v>
      </c>
      <c r="I4162" s="18">
        <v>710000000</v>
      </c>
      <c r="J4162" s="4" t="s">
        <v>1931</v>
      </c>
      <c r="K4162" s="4" t="s">
        <v>756</v>
      </c>
      <c r="L4162" s="7" t="s">
        <v>1409</v>
      </c>
      <c r="M4162" s="1"/>
      <c r="N4162" s="4" t="s">
        <v>6349</v>
      </c>
      <c r="O4162" s="4" t="s">
        <v>6339</v>
      </c>
      <c r="P4162" s="1"/>
      <c r="Q4162" s="4"/>
      <c r="R4162" s="26"/>
      <c r="S4162" s="26"/>
      <c r="T4162" s="26">
        <v>122000</v>
      </c>
      <c r="U4162" s="26">
        <f>T4162</f>
        <v>122000</v>
      </c>
      <c r="V4162" s="11" t="s">
        <v>3182</v>
      </c>
      <c r="W4162" s="11">
        <v>2015</v>
      </c>
      <c r="X4162" s="27"/>
    </row>
    <row r="4163" spans="1:24" s="28" customFormat="1" ht="51" customHeight="1" x14ac:dyDescent="0.2">
      <c r="A4163" s="1" t="s">
        <v>3713</v>
      </c>
      <c r="B4163" s="15" t="s">
        <v>5277</v>
      </c>
      <c r="C4163" s="4" t="s">
        <v>3621</v>
      </c>
      <c r="D4163" s="4" t="s">
        <v>6354</v>
      </c>
      <c r="E4163" s="4" t="s">
        <v>6354</v>
      </c>
      <c r="F4163" s="4" t="s">
        <v>6355</v>
      </c>
      <c r="G4163" s="4" t="s">
        <v>3190</v>
      </c>
      <c r="H4163" s="17">
        <v>1</v>
      </c>
      <c r="I4163" s="18">
        <v>710000000</v>
      </c>
      <c r="J4163" s="4" t="s">
        <v>1931</v>
      </c>
      <c r="K4163" s="4" t="s">
        <v>554</v>
      </c>
      <c r="L4163" s="4" t="s">
        <v>2985</v>
      </c>
      <c r="M4163" s="1"/>
      <c r="N4163" s="4" t="s">
        <v>6349</v>
      </c>
      <c r="O4163" s="4" t="s">
        <v>6339</v>
      </c>
      <c r="P4163" s="1"/>
      <c r="Q4163" s="4"/>
      <c r="R4163" s="26"/>
      <c r="S4163" s="26"/>
      <c r="T4163" s="26">
        <v>34000000</v>
      </c>
      <c r="U4163" s="26">
        <f t="shared" si="2677"/>
        <v>34000000</v>
      </c>
      <c r="V4163" s="11" t="s">
        <v>3182</v>
      </c>
      <c r="W4163" s="11">
        <v>2015</v>
      </c>
      <c r="X4163" s="27"/>
    </row>
    <row r="4164" spans="1:24" s="28" customFormat="1" ht="38.25" customHeight="1" x14ac:dyDescent="0.2">
      <c r="A4164" s="1" t="s">
        <v>3714</v>
      </c>
      <c r="B4164" s="15" t="s">
        <v>5277</v>
      </c>
      <c r="C4164" s="4" t="s">
        <v>3621</v>
      </c>
      <c r="D4164" s="4" t="s">
        <v>6354</v>
      </c>
      <c r="E4164" s="4" t="s">
        <v>6354</v>
      </c>
      <c r="F4164" s="4" t="s">
        <v>6356</v>
      </c>
      <c r="G4164" s="4" t="s">
        <v>3190</v>
      </c>
      <c r="H4164" s="17">
        <v>1</v>
      </c>
      <c r="I4164" s="18">
        <v>710000000</v>
      </c>
      <c r="J4164" s="4" t="s">
        <v>1931</v>
      </c>
      <c r="K4164" s="4" t="s">
        <v>554</v>
      </c>
      <c r="L4164" s="4" t="s">
        <v>2985</v>
      </c>
      <c r="M4164" s="1"/>
      <c r="N4164" s="4" t="s">
        <v>6349</v>
      </c>
      <c r="O4164" s="4" t="s">
        <v>6339</v>
      </c>
      <c r="P4164" s="1"/>
      <c r="Q4164" s="4"/>
      <c r="R4164" s="26"/>
      <c r="S4164" s="26"/>
      <c r="T4164" s="26">
        <v>673000</v>
      </c>
      <c r="U4164" s="26">
        <f t="shared" ref="U4164:U4169" si="2678">T4164</f>
        <v>673000</v>
      </c>
      <c r="V4164" s="11" t="s">
        <v>3182</v>
      </c>
      <c r="W4164" s="11">
        <v>2015</v>
      </c>
      <c r="X4164" s="27"/>
    </row>
    <row r="4165" spans="1:24" s="28" customFormat="1" ht="51" customHeight="1" x14ac:dyDescent="0.2">
      <c r="A4165" s="1" t="s">
        <v>3715</v>
      </c>
      <c r="B4165" s="15" t="s">
        <v>5277</v>
      </c>
      <c r="C4165" s="4" t="s">
        <v>3621</v>
      </c>
      <c r="D4165" s="4" t="s">
        <v>6354</v>
      </c>
      <c r="E4165" s="4" t="s">
        <v>6354</v>
      </c>
      <c r="F4165" s="4" t="s">
        <v>757</v>
      </c>
      <c r="G4165" s="4" t="s">
        <v>3190</v>
      </c>
      <c r="H4165" s="17">
        <v>1</v>
      </c>
      <c r="I4165" s="18">
        <v>710000000</v>
      </c>
      <c r="J4165" s="4" t="s">
        <v>1931</v>
      </c>
      <c r="K4165" s="4" t="s">
        <v>554</v>
      </c>
      <c r="L4165" s="4" t="s">
        <v>1409</v>
      </c>
      <c r="M4165" s="1"/>
      <c r="N4165" s="4" t="s">
        <v>6349</v>
      </c>
      <c r="O4165" s="4" t="s">
        <v>6339</v>
      </c>
      <c r="P4165" s="1"/>
      <c r="Q4165" s="4"/>
      <c r="R4165" s="26"/>
      <c r="S4165" s="26"/>
      <c r="T4165" s="26">
        <v>2200000</v>
      </c>
      <c r="U4165" s="26">
        <f t="shared" si="2678"/>
        <v>2200000</v>
      </c>
      <c r="V4165" s="11" t="s">
        <v>3182</v>
      </c>
      <c r="W4165" s="11">
        <v>2015</v>
      </c>
      <c r="X4165" s="27"/>
    </row>
    <row r="4166" spans="1:24" s="28" customFormat="1" ht="38.25" customHeight="1" x14ac:dyDescent="0.2">
      <c r="A4166" s="1" t="s">
        <v>3716</v>
      </c>
      <c r="B4166" s="15" t="s">
        <v>5277</v>
      </c>
      <c r="C4166" s="4" t="s">
        <v>3621</v>
      </c>
      <c r="D4166" s="4" t="s">
        <v>6354</v>
      </c>
      <c r="E4166" s="4" t="s">
        <v>6354</v>
      </c>
      <c r="F4166" s="4" t="s">
        <v>758</v>
      </c>
      <c r="G4166" s="4" t="s">
        <v>3190</v>
      </c>
      <c r="H4166" s="17">
        <v>1</v>
      </c>
      <c r="I4166" s="18">
        <v>710000000</v>
      </c>
      <c r="J4166" s="4" t="s">
        <v>1931</v>
      </c>
      <c r="K4166" s="4" t="s">
        <v>5390</v>
      </c>
      <c r="L4166" s="4" t="s">
        <v>2985</v>
      </c>
      <c r="M4166" s="1"/>
      <c r="N4166" s="4" t="s">
        <v>6349</v>
      </c>
      <c r="O4166" s="4" t="s">
        <v>6339</v>
      </c>
      <c r="P4166" s="1"/>
      <c r="Q4166" s="4"/>
      <c r="R4166" s="26"/>
      <c r="S4166" s="26"/>
      <c r="T4166" s="26">
        <v>0</v>
      </c>
      <c r="U4166" s="26">
        <f t="shared" si="2678"/>
        <v>0</v>
      </c>
      <c r="V4166" s="11" t="s">
        <v>3182</v>
      </c>
      <c r="W4166" s="11">
        <v>2015</v>
      </c>
      <c r="X4166" s="27" t="s">
        <v>6567</v>
      </c>
    </row>
    <row r="4167" spans="1:24" s="28" customFormat="1" ht="63" customHeight="1" x14ac:dyDescent="0.2">
      <c r="A4167" s="1" t="s">
        <v>9498</v>
      </c>
      <c r="B4167" s="15" t="s">
        <v>5277</v>
      </c>
      <c r="C4167" s="4" t="s">
        <v>3621</v>
      </c>
      <c r="D4167" s="4" t="s">
        <v>6354</v>
      </c>
      <c r="E4167" s="4" t="s">
        <v>6354</v>
      </c>
      <c r="F4167" s="4" t="s">
        <v>758</v>
      </c>
      <c r="G4167" s="4" t="s">
        <v>3190</v>
      </c>
      <c r="H4167" s="17">
        <v>1</v>
      </c>
      <c r="I4167" s="18">
        <v>710000000</v>
      </c>
      <c r="J4167" s="4" t="s">
        <v>1931</v>
      </c>
      <c r="K4167" s="4" t="s">
        <v>5390</v>
      </c>
      <c r="L4167" s="4" t="s">
        <v>2985</v>
      </c>
      <c r="M4167" s="1"/>
      <c r="N4167" s="4" t="s">
        <v>6349</v>
      </c>
      <c r="O4167" s="4" t="s">
        <v>6339</v>
      </c>
      <c r="P4167" s="1"/>
      <c r="Q4167" s="4"/>
      <c r="R4167" s="26"/>
      <c r="S4167" s="26"/>
      <c r="T4167" s="26">
        <v>180000</v>
      </c>
      <c r="U4167" s="26">
        <f t="shared" si="2678"/>
        <v>180000</v>
      </c>
      <c r="V4167" s="11" t="s">
        <v>3182</v>
      </c>
      <c r="W4167" s="11">
        <v>2015</v>
      </c>
      <c r="X4167" s="27" t="s">
        <v>7006</v>
      </c>
    </row>
    <row r="4168" spans="1:24" s="28" customFormat="1" ht="63" customHeight="1" x14ac:dyDescent="0.2">
      <c r="A4168" s="1" t="s">
        <v>10050</v>
      </c>
      <c r="B4168" s="15" t="s">
        <v>5277</v>
      </c>
      <c r="C4168" s="4" t="s">
        <v>3621</v>
      </c>
      <c r="D4168" s="4" t="s">
        <v>6354</v>
      </c>
      <c r="E4168" s="4" t="s">
        <v>6354</v>
      </c>
      <c r="F4168" s="4" t="s">
        <v>758</v>
      </c>
      <c r="G4168" s="4" t="s">
        <v>3190</v>
      </c>
      <c r="H4168" s="17">
        <v>1</v>
      </c>
      <c r="I4168" s="18">
        <v>710000000</v>
      </c>
      <c r="J4168" s="4" t="s">
        <v>1931</v>
      </c>
      <c r="K4168" s="4" t="s">
        <v>10051</v>
      </c>
      <c r="L4168" s="4" t="s">
        <v>2985</v>
      </c>
      <c r="M4168" s="1"/>
      <c r="N4168" s="4" t="s">
        <v>6349</v>
      </c>
      <c r="O4168" s="4" t="s">
        <v>6339</v>
      </c>
      <c r="P4168" s="1"/>
      <c r="Q4168" s="4"/>
      <c r="R4168" s="26"/>
      <c r="S4168" s="26"/>
      <c r="T4168" s="26">
        <v>180000</v>
      </c>
      <c r="U4168" s="26">
        <f t="shared" si="2678"/>
        <v>180000</v>
      </c>
      <c r="V4168" s="11" t="s">
        <v>3182</v>
      </c>
      <c r="W4168" s="11">
        <v>2015</v>
      </c>
      <c r="X4168" s="27"/>
    </row>
    <row r="4169" spans="1:24" s="28" customFormat="1" ht="63.75" customHeight="1" x14ac:dyDescent="0.2">
      <c r="A4169" s="1" t="s">
        <v>4114</v>
      </c>
      <c r="B4169" s="15" t="s">
        <v>5277</v>
      </c>
      <c r="C4169" s="4" t="s">
        <v>759</v>
      </c>
      <c r="D4169" s="4" t="s">
        <v>760</v>
      </c>
      <c r="E4169" s="4" t="s">
        <v>760</v>
      </c>
      <c r="F4169" s="4"/>
      <c r="G4169" s="4" t="s">
        <v>3190</v>
      </c>
      <c r="H4169" s="17">
        <v>1</v>
      </c>
      <c r="I4169" s="18">
        <v>710000000</v>
      </c>
      <c r="J4169" s="4" t="s">
        <v>1931</v>
      </c>
      <c r="K4169" s="4" t="s">
        <v>5292</v>
      </c>
      <c r="L4169" s="4" t="s">
        <v>1409</v>
      </c>
      <c r="M4169" s="1"/>
      <c r="N4169" s="4" t="s">
        <v>6349</v>
      </c>
      <c r="O4169" s="4" t="s">
        <v>6339</v>
      </c>
      <c r="P4169" s="1"/>
      <c r="Q4169" s="4"/>
      <c r="R4169" s="26"/>
      <c r="S4169" s="26"/>
      <c r="T4169" s="26">
        <v>79000</v>
      </c>
      <c r="U4169" s="26">
        <f t="shared" si="2678"/>
        <v>79000</v>
      </c>
      <c r="V4169" s="11" t="s">
        <v>3182</v>
      </c>
      <c r="W4169" s="11">
        <v>2015</v>
      </c>
      <c r="X4169" s="27"/>
    </row>
    <row r="4170" spans="1:24" s="28" customFormat="1" ht="63.75" customHeight="1" x14ac:dyDescent="0.2">
      <c r="A4170" s="1" t="s">
        <v>4115</v>
      </c>
      <c r="B4170" s="15" t="s">
        <v>5277</v>
      </c>
      <c r="C4170" s="4" t="s">
        <v>761</v>
      </c>
      <c r="D4170" s="4" t="s">
        <v>762</v>
      </c>
      <c r="E4170" s="4" t="s">
        <v>763</v>
      </c>
      <c r="F4170" s="4"/>
      <c r="G4170" s="4" t="s">
        <v>3190</v>
      </c>
      <c r="H4170" s="22">
        <v>1</v>
      </c>
      <c r="I4170" s="18">
        <v>710000000</v>
      </c>
      <c r="J4170" s="4" t="s">
        <v>1931</v>
      </c>
      <c r="K4170" s="4" t="s">
        <v>5297</v>
      </c>
      <c r="L4170" s="4" t="s">
        <v>2985</v>
      </c>
      <c r="M4170" s="1"/>
      <c r="N4170" s="4" t="s">
        <v>1408</v>
      </c>
      <c r="O4170" s="4" t="s">
        <v>6257</v>
      </c>
      <c r="P4170" s="1"/>
      <c r="Q4170" s="4"/>
      <c r="R4170" s="26"/>
      <c r="S4170" s="26"/>
      <c r="T4170" s="26">
        <v>357136</v>
      </c>
      <c r="U4170" s="26">
        <f t="shared" ref="U4170:U4211" si="2679">T4170*1.12</f>
        <v>399992.32000000007</v>
      </c>
      <c r="V4170" s="11" t="s">
        <v>3182</v>
      </c>
      <c r="W4170" s="11">
        <v>2015</v>
      </c>
      <c r="X4170" s="27"/>
    </row>
    <row r="4171" spans="1:24" s="28" customFormat="1" ht="112.5" customHeight="1" x14ac:dyDescent="0.2">
      <c r="A4171" s="1" t="s">
        <v>4116</v>
      </c>
      <c r="B4171" s="15" t="s">
        <v>5277</v>
      </c>
      <c r="C4171" s="4" t="s">
        <v>764</v>
      </c>
      <c r="D4171" s="4" t="s">
        <v>765</v>
      </c>
      <c r="E4171" s="4" t="s">
        <v>765</v>
      </c>
      <c r="F4171" s="4"/>
      <c r="G4171" s="1" t="s">
        <v>3187</v>
      </c>
      <c r="H4171" s="22">
        <v>1</v>
      </c>
      <c r="I4171" s="18">
        <v>710000000</v>
      </c>
      <c r="J4171" s="4" t="s">
        <v>1931</v>
      </c>
      <c r="K4171" s="4" t="s">
        <v>5297</v>
      </c>
      <c r="L4171" s="4" t="s">
        <v>2985</v>
      </c>
      <c r="M4171" s="1"/>
      <c r="N4171" s="4" t="s">
        <v>1408</v>
      </c>
      <c r="O4171" s="4" t="s">
        <v>6257</v>
      </c>
      <c r="P4171" s="1"/>
      <c r="Q4171" s="4"/>
      <c r="R4171" s="26"/>
      <c r="S4171" s="26"/>
      <c r="T4171" s="26">
        <v>0</v>
      </c>
      <c r="U4171" s="26">
        <f t="shared" si="2679"/>
        <v>0</v>
      </c>
      <c r="V4171" s="11" t="s">
        <v>3182</v>
      </c>
      <c r="W4171" s="11">
        <v>2015</v>
      </c>
      <c r="X4171" s="27" t="s">
        <v>7632</v>
      </c>
    </row>
    <row r="4172" spans="1:24" s="28" customFormat="1" ht="112.5" customHeight="1" x14ac:dyDescent="0.2">
      <c r="A4172" s="1" t="s">
        <v>9506</v>
      </c>
      <c r="B4172" s="15" t="s">
        <v>5277</v>
      </c>
      <c r="C4172" s="4" t="s">
        <v>764</v>
      </c>
      <c r="D4172" s="4" t="s">
        <v>765</v>
      </c>
      <c r="E4172" s="4" t="s">
        <v>765</v>
      </c>
      <c r="F4172" s="4"/>
      <c r="G4172" s="1" t="s">
        <v>3190</v>
      </c>
      <c r="H4172" s="22">
        <v>1</v>
      </c>
      <c r="I4172" s="18">
        <v>710000000</v>
      </c>
      <c r="J4172" s="4" t="s">
        <v>1931</v>
      </c>
      <c r="K4172" s="4" t="s">
        <v>9408</v>
      </c>
      <c r="L4172" s="4" t="s">
        <v>2985</v>
      </c>
      <c r="M4172" s="1"/>
      <c r="N4172" s="4" t="s">
        <v>1408</v>
      </c>
      <c r="O4172" s="4" t="s">
        <v>6257</v>
      </c>
      <c r="P4172" s="1"/>
      <c r="Q4172" s="4"/>
      <c r="R4172" s="26"/>
      <c r="S4172" s="26"/>
      <c r="T4172" s="26">
        <v>448000</v>
      </c>
      <c r="U4172" s="26">
        <f t="shared" ref="U4172" si="2680">T4172*1.12</f>
        <v>501760.00000000006</v>
      </c>
      <c r="V4172" s="11" t="s">
        <v>3182</v>
      </c>
      <c r="W4172" s="11">
        <v>2015</v>
      </c>
      <c r="X4172" s="27"/>
    </row>
    <row r="4173" spans="1:24" s="28" customFormat="1" ht="119.25" customHeight="1" x14ac:dyDescent="0.2">
      <c r="A4173" s="1" t="s">
        <v>4117</v>
      </c>
      <c r="B4173" s="15" t="s">
        <v>5277</v>
      </c>
      <c r="C4173" s="4" t="s">
        <v>3709</v>
      </c>
      <c r="D4173" s="4" t="s">
        <v>6376</v>
      </c>
      <c r="E4173" s="4" t="s">
        <v>766</v>
      </c>
      <c r="F4173" s="4" t="s">
        <v>6357</v>
      </c>
      <c r="G4173" s="1" t="s">
        <v>3187</v>
      </c>
      <c r="H4173" s="22">
        <v>1</v>
      </c>
      <c r="I4173" s="18">
        <v>710000000</v>
      </c>
      <c r="J4173" s="4" t="s">
        <v>1931</v>
      </c>
      <c r="K4173" s="4" t="s">
        <v>5297</v>
      </c>
      <c r="L4173" s="4" t="s">
        <v>2985</v>
      </c>
      <c r="M4173" s="1"/>
      <c r="N4173" s="4" t="s">
        <v>1408</v>
      </c>
      <c r="O4173" s="4" t="s">
        <v>6257</v>
      </c>
      <c r="P4173" s="1"/>
      <c r="Q4173" s="4"/>
      <c r="R4173" s="26"/>
      <c r="S4173" s="26"/>
      <c r="T4173" s="26">
        <v>0</v>
      </c>
      <c r="U4173" s="26">
        <f t="shared" si="2679"/>
        <v>0</v>
      </c>
      <c r="V4173" s="11" t="s">
        <v>3182</v>
      </c>
      <c r="W4173" s="11">
        <v>2015</v>
      </c>
      <c r="X4173" s="27" t="s">
        <v>7593</v>
      </c>
    </row>
    <row r="4174" spans="1:24" s="28" customFormat="1" ht="119.25" customHeight="1" x14ac:dyDescent="0.2">
      <c r="A4174" s="1" t="s">
        <v>7592</v>
      </c>
      <c r="B4174" s="15" t="s">
        <v>5277</v>
      </c>
      <c r="C4174" s="4" t="s">
        <v>3709</v>
      </c>
      <c r="D4174" s="4" t="s">
        <v>6376</v>
      </c>
      <c r="E4174" s="4" t="s">
        <v>766</v>
      </c>
      <c r="F4174" s="4" t="s">
        <v>6357</v>
      </c>
      <c r="G4174" s="1" t="s">
        <v>3190</v>
      </c>
      <c r="H4174" s="22">
        <v>1</v>
      </c>
      <c r="I4174" s="18">
        <v>710000000</v>
      </c>
      <c r="J4174" s="4" t="s">
        <v>1931</v>
      </c>
      <c r="K4174" s="4" t="s">
        <v>5292</v>
      </c>
      <c r="L4174" s="4" t="s">
        <v>2985</v>
      </c>
      <c r="M4174" s="1"/>
      <c r="N4174" s="4" t="s">
        <v>1408</v>
      </c>
      <c r="O4174" s="4" t="s">
        <v>6257</v>
      </c>
      <c r="P4174" s="1"/>
      <c r="Q4174" s="4"/>
      <c r="R4174" s="26"/>
      <c r="S4174" s="26"/>
      <c r="T4174" s="26">
        <f>750000</f>
        <v>750000</v>
      </c>
      <c r="U4174" s="26">
        <f t="shared" ref="U4174" si="2681">T4174*1.12</f>
        <v>840000.00000000012</v>
      </c>
      <c r="V4174" s="11" t="s">
        <v>3182</v>
      </c>
      <c r="W4174" s="11">
        <v>2015</v>
      </c>
      <c r="X4174" s="27"/>
    </row>
    <row r="4175" spans="1:24" s="28" customFormat="1" ht="51" customHeight="1" x14ac:dyDescent="0.2">
      <c r="A4175" s="1" t="s">
        <v>4203</v>
      </c>
      <c r="B4175" s="15" t="s">
        <v>5277</v>
      </c>
      <c r="C4175" s="4" t="s">
        <v>3709</v>
      </c>
      <c r="D4175" s="4" t="s">
        <v>6376</v>
      </c>
      <c r="E4175" s="4" t="s">
        <v>766</v>
      </c>
      <c r="F4175" s="4" t="s">
        <v>6357</v>
      </c>
      <c r="G4175" s="1" t="s">
        <v>3187</v>
      </c>
      <c r="H4175" s="22">
        <v>1</v>
      </c>
      <c r="I4175" s="18">
        <v>710000000</v>
      </c>
      <c r="J4175" s="4" t="s">
        <v>1931</v>
      </c>
      <c r="K4175" s="4" t="s">
        <v>5297</v>
      </c>
      <c r="L4175" s="7" t="s">
        <v>1027</v>
      </c>
      <c r="M4175" s="1"/>
      <c r="N4175" s="4" t="s">
        <v>1408</v>
      </c>
      <c r="O4175" s="4" t="s">
        <v>6257</v>
      </c>
      <c r="P4175" s="1"/>
      <c r="Q4175" s="4"/>
      <c r="R4175" s="26"/>
      <c r="S4175" s="26"/>
      <c r="T4175" s="26">
        <v>0</v>
      </c>
      <c r="U4175" s="26">
        <f t="shared" si="2679"/>
        <v>0</v>
      </c>
      <c r="V4175" s="11" t="s">
        <v>3182</v>
      </c>
      <c r="W4175" s="11">
        <v>2015</v>
      </c>
      <c r="X4175" s="27" t="s">
        <v>6565</v>
      </c>
    </row>
    <row r="4176" spans="1:24" s="28" customFormat="1" ht="51" customHeight="1" x14ac:dyDescent="0.2">
      <c r="A4176" s="1" t="s">
        <v>4215</v>
      </c>
      <c r="B4176" s="15" t="s">
        <v>5277</v>
      </c>
      <c r="C4176" s="4" t="s">
        <v>3709</v>
      </c>
      <c r="D4176" s="4" t="s">
        <v>6376</v>
      </c>
      <c r="E4176" s="4" t="s">
        <v>766</v>
      </c>
      <c r="F4176" s="4" t="s">
        <v>6357</v>
      </c>
      <c r="G4176" s="1" t="s">
        <v>3187</v>
      </c>
      <c r="H4176" s="22">
        <v>1</v>
      </c>
      <c r="I4176" s="18">
        <v>710000000</v>
      </c>
      <c r="J4176" s="4" t="s">
        <v>1931</v>
      </c>
      <c r="K4176" s="4" t="s">
        <v>5297</v>
      </c>
      <c r="L4176" s="4" t="s">
        <v>5689</v>
      </c>
      <c r="M4176" s="1"/>
      <c r="N4176" s="4" t="s">
        <v>1408</v>
      </c>
      <c r="O4176" s="4" t="s">
        <v>6257</v>
      </c>
      <c r="P4176" s="1"/>
      <c r="Q4176" s="4"/>
      <c r="R4176" s="26"/>
      <c r="S4176" s="26"/>
      <c r="T4176" s="26">
        <v>0</v>
      </c>
      <c r="U4176" s="26">
        <f t="shared" si="2679"/>
        <v>0</v>
      </c>
      <c r="V4176" s="11" t="s">
        <v>3182</v>
      </c>
      <c r="W4176" s="11">
        <v>2015</v>
      </c>
      <c r="X4176" s="27" t="s">
        <v>7593</v>
      </c>
    </row>
    <row r="4177" spans="1:24" s="28" customFormat="1" ht="51" customHeight="1" x14ac:dyDescent="0.2">
      <c r="A4177" s="1" t="s">
        <v>7594</v>
      </c>
      <c r="B4177" s="15" t="s">
        <v>5277</v>
      </c>
      <c r="C4177" s="4" t="s">
        <v>3709</v>
      </c>
      <c r="D4177" s="4" t="s">
        <v>6376</v>
      </c>
      <c r="E4177" s="4" t="s">
        <v>766</v>
      </c>
      <c r="F4177" s="4" t="s">
        <v>6357</v>
      </c>
      <c r="G4177" s="1" t="s">
        <v>3190</v>
      </c>
      <c r="H4177" s="22">
        <v>1</v>
      </c>
      <c r="I4177" s="18">
        <v>710000000</v>
      </c>
      <c r="J4177" s="4" t="s">
        <v>1931</v>
      </c>
      <c r="K4177" s="4" t="s">
        <v>7595</v>
      </c>
      <c r="L4177" s="4" t="s">
        <v>5689</v>
      </c>
      <c r="M4177" s="1"/>
      <c r="N4177" s="4" t="s">
        <v>1408</v>
      </c>
      <c r="O4177" s="4" t="s">
        <v>6257</v>
      </c>
      <c r="P4177" s="1"/>
      <c r="Q4177" s="4"/>
      <c r="R4177" s="26"/>
      <c r="S4177" s="26"/>
      <c r="T4177" s="26">
        <v>74672</v>
      </c>
      <c r="U4177" s="26">
        <f t="shared" ref="U4177" si="2682">T4177*1.12</f>
        <v>83632.640000000014</v>
      </c>
      <c r="V4177" s="11" t="s">
        <v>3182</v>
      </c>
      <c r="W4177" s="11">
        <v>2015</v>
      </c>
      <c r="X4177" s="27"/>
    </row>
    <row r="4178" spans="1:24" s="28" customFormat="1" ht="357" customHeight="1" x14ac:dyDescent="0.2">
      <c r="A4178" s="1" t="s">
        <v>4216</v>
      </c>
      <c r="B4178" s="15" t="s">
        <v>5277</v>
      </c>
      <c r="C4178" s="4" t="s">
        <v>3189</v>
      </c>
      <c r="D4178" s="4" t="s">
        <v>6304</v>
      </c>
      <c r="E4178" s="4" t="s">
        <v>6305</v>
      </c>
      <c r="F4178" s="4" t="s">
        <v>6306</v>
      </c>
      <c r="G4178" s="4" t="s">
        <v>3190</v>
      </c>
      <c r="H4178" s="17">
        <v>1</v>
      </c>
      <c r="I4178" s="18">
        <v>710000000</v>
      </c>
      <c r="J4178" s="4" t="s">
        <v>1931</v>
      </c>
      <c r="K4178" s="4" t="s">
        <v>5297</v>
      </c>
      <c r="L4178" s="4" t="s">
        <v>6391</v>
      </c>
      <c r="M4178" s="1"/>
      <c r="N4178" s="4" t="s">
        <v>1408</v>
      </c>
      <c r="O4178" s="4" t="s">
        <v>6257</v>
      </c>
      <c r="P4178" s="1"/>
      <c r="Q4178" s="4"/>
      <c r="R4178" s="26"/>
      <c r="S4178" s="26"/>
      <c r="T4178" s="26">
        <v>600000</v>
      </c>
      <c r="U4178" s="26">
        <f t="shared" ref="U4178" si="2683">T4178*1.12</f>
        <v>672000.00000000012</v>
      </c>
      <c r="V4178" s="11" t="s">
        <v>3182</v>
      </c>
      <c r="W4178" s="11">
        <v>2015</v>
      </c>
      <c r="X4178" s="27"/>
    </row>
    <row r="4179" spans="1:24" s="28" customFormat="1" ht="357" customHeight="1" x14ac:dyDescent="0.2">
      <c r="A4179" s="1" t="s">
        <v>3077</v>
      </c>
      <c r="B4179" s="15" t="s">
        <v>5277</v>
      </c>
      <c r="C4179" s="4" t="s">
        <v>3191</v>
      </c>
      <c r="D4179" s="4" t="s">
        <v>767</v>
      </c>
      <c r="E4179" s="4" t="s">
        <v>6307</v>
      </c>
      <c r="F4179" s="4" t="s">
        <v>6307</v>
      </c>
      <c r="G4179" s="4" t="s">
        <v>3190</v>
      </c>
      <c r="H4179" s="17">
        <v>1</v>
      </c>
      <c r="I4179" s="18">
        <v>710000000</v>
      </c>
      <c r="J4179" s="4" t="s">
        <v>1931</v>
      </c>
      <c r="K4179" s="4" t="s">
        <v>5297</v>
      </c>
      <c r="L4179" s="4" t="s">
        <v>1772</v>
      </c>
      <c r="M4179" s="1"/>
      <c r="N4179" s="4" t="s">
        <v>1408</v>
      </c>
      <c r="O4179" s="4" t="s">
        <v>6257</v>
      </c>
      <c r="P4179" s="1"/>
      <c r="Q4179" s="4"/>
      <c r="R4179" s="26"/>
      <c r="S4179" s="26"/>
      <c r="T4179" s="26">
        <v>1020000</v>
      </c>
      <c r="U4179" s="26">
        <f t="shared" si="2679"/>
        <v>1142400</v>
      </c>
      <c r="V4179" s="11" t="s">
        <v>3182</v>
      </c>
      <c r="W4179" s="11">
        <v>2015</v>
      </c>
      <c r="X4179" s="27"/>
    </row>
    <row r="4180" spans="1:24" s="28" customFormat="1" ht="357" customHeight="1" x14ac:dyDescent="0.2">
      <c r="A4180" s="1" t="s">
        <v>3078</v>
      </c>
      <c r="B4180" s="15" t="s">
        <v>5277</v>
      </c>
      <c r="C4180" s="4" t="s">
        <v>6553</v>
      </c>
      <c r="D4180" s="4" t="s">
        <v>6554</v>
      </c>
      <c r="E4180" s="4" t="s">
        <v>6308</v>
      </c>
      <c r="F4180" s="4"/>
      <c r="G4180" s="4" t="s">
        <v>3190</v>
      </c>
      <c r="H4180" s="17">
        <v>1</v>
      </c>
      <c r="I4180" s="18">
        <v>710000000</v>
      </c>
      <c r="J4180" s="4" t="s">
        <v>1931</v>
      </c>
      <c r="K4180" s="4" t="s">
        <v>5297</v>
      </c>
      <c r="L4180" s="4" t="s">
        <v>1772</v>
      </c>
      <c r="M4180" s="1"/>
      <c r="N4180" s="4" t="s">
        <v>1408</v>
      </c>
      <c r="O4180" s="4" t="s">
        <v>6257</v>
      </c>
      <c r="P4180" s="1"/>
      <c r="Q4180" s="4"/>
      <c r="R4180" s="26"/>
      <c r="S4180" s="26"/>
      <c r="T4180" s="26">
        <v>1033571</v>
      </c>
      <c r="U4180" s="26">
        <f t="shared" si="2679"/>
        <v>1157599.52</v>
      </c>
      <c r="V4180" s="11" t="s">
        <v>3182</v>
      </c>
      <c r="W4180" s="11">
        <v>2015</v>
      </c>
      <c r="X4180" s="27"/>
    </row>
    <row r="4181" spans="1:24" s="28" customFormat="1" ht="357" customHeight="1" x14ac:dyDescent="0.2">
      <c r="A4181" s="1" t="s">
        <v>3079</v>
      </c>
      <c r="B4181" s="15" t="s">
        <v>5277</v>
      </c>
      <c r="C4181" s="4" t="s">
        <v>768</v>
      </c>
      <c r="D4181" s="4" t="s">
        <v>769</v>
      </c>
      <c r="E4181" s="4" t="s">
        <v>769</v>
      </c>
      <c r="F4181" s="4" t="s">
        <v>6309</v>
      </c>
      <c r="G4181" s="4" t="s">
        <v>3190</v>
      </c>
      <c r="H4181" s="17">
        <v>1</v>
      </c>
      <c r="I4181" s="18">
        <v>710000000</v>
      </c>
      <c r="J4181" s="4" t="s">
        <v>1931</v>
      </c>
      <c r="K4181" s="4" t="s">
        <v>5297</v>
      </c>
      <c r="L4181" s="4" t="s">
        <v>1772</v>
      </c>
      <c r="M4181" s="1"/>
      <c r="N4181" s="4" t="s">
        <v>1408</v>
      </c>
      <c r="O4181" s="4" t="s">
        <v>6257</v>
      </c>
      <c r="P4181" s="1"/>
      <c r="Q4181" s="4"/>
      <c r="R4181" s="26"/>
      <c r="S4181" s="26"/>
      <c r="T4181" s="26">
        <v>200000</v>
      </c>
      <c r="U4181" s="26">
        <f t="shared" si="2679"/>
        <v>224000.00000000003</v>
      </c>
      <c r="V4181" s="11" t="s">
        <v>3182</v>
      </c>
      <c r="W4181" s="11">
        <v>2015</v>
      </c>
      <c r="X4181" s="27" t="s">
        <v>6567</v>
      </c>
    </row>
    <row r="4182" spans="1:24" ht="63.75" customHeight="1" x14ac:dyDescent="0.2">
      <c r="A4182" s="1" t="s">
        <v>6575</v>
      </c>
      <c r="B4182" s="15" t="s">
        <v>5277</v>
      </c>
      <c r="C4182" s="4" t="s">
        <v>768</v>
      </c>
      <c r="D4182" s="4" t="s">
        <v>769</v>
      </c>
      <c r="E4182" s="4" t="s">
        <v>769</v>
      </c>
      <c r="F4182" s="4" t="s">
        <v>6309</v>
      </c>
      <c r="G4182" s="4" t="s">
        <v>3190</v>
      </c>
      <c r="H4182" s="17">
        <v>1</v>
      </c>
      <c r="I4182" s="18">
        <v>710000000</v>
      </c>
      <c r="J4182" s="4" t="s">
        <v>1931</v>
      </c>
      <c r="K4182" s="4" t="s">
        <v>5297</v>
      </c>
      <c r="L4182" s="4" t="s">
        <v>1772</v>
      </c>
      <c r="M4182" s="1"/>
      <c r="N4182" s="4" t="s">
        <v>1408</v>
      </c>
      <c r="O4182" s="4" t="s">
        <v>6257</v>
      </c>
      <c r="P4182" s="1"/>
      <c r="Q4182" s="4"/>
      <c r="R4182" s="26"/>
      <c r="S4182" s="26"/>
      <c r="T4182" s="26">
        <f>200000-76421</f>
        <v>123579</v>
      </c>
      <c r="U4182" s="26">
        <f t="shared" ref="U4182" si="2684">T4182*1.12</f>
        <v>138408.48000000001</v>
      </c>
      <c r="V4182" s="11" t="s">
        <v>3182</v>
      </c>
      <c r="W4182" s="11">
        <v>2015</v>
      </c>
      <c r="X4182" s="27"/>
    </row>
    <row r="4183" spans="1:24" ht="357" customHeight="1" x14ac:dyDescent="0.2">
      <c r="A4183" s="1" t="s">
        <v>3080</v>
      </c>
      <c r="B4183" s="15" t="s">
        <v>5277</v>
      </c>
      <c r="C4183" s="4" t="s">
        <v>3192</v>
      </c>
      <c r="D4183" s="4" t="s">
        <v>6555</v>
      </c>
      <c r="E4183" s="4" t="s">
        <v>6556</v>
      </c>
      <c r="F4183" s="4" t="s">
        <v>6310</v>
      </c>
      <c r="G4183" s="4" t="s">
        <v>3190</v>
      </c>
      <c r="H4183" s="17">
        <v>1</v>
      </c>
      <c r="I4183" s="18">
        <v>710000000</v>
      </c>
      <c r="J4183" s="4" t="s">
        <v>1931</v>
      </c>
      <c r="K4183" s="4" t="s">
        <v>5297</v>
      </c>
      <c r="L4183" s="4" t="s">
        <v>1772</v>
      </c>
      <c r="M4183" s="1"/>
      <c r="N4183" s="4" t="s">
        <v>1408</v>
      </c>
      <c r="O4183" s="4" t="s">
        <v>6257</v>
      </c>
      <c r="P4183" s="1"/>
      <c r="Q4183" s="4"/>
      <c r="R4183" s="26"/>
      <c r="S4183" s="26"/>
      <c r="T4183" s="26">
        <v>90000</v>
      </c>
      <c r="U4183" s="26">
        <f t="shared" si="2679"/>
        <v>100800.00000000001</v>
      </c>
      <c r="V4183" s="11" t="s">
        <v>3182</v>
      </c>
      <c r="W4183" s="11">
        <v>2015</v>
      </c>
      <c r="X4183" s="27"/>
    </row>
    <row r="4184" spans="1:24" ht="38.25" customHeight="1" x14ac:dyDescent="0.2">
      <c r="A4184" s="1" t="s">
        <v>2735</v>
      </c>
      <c r="B4184" s="24" t="s">
        <v>5277</v>
      </c>
      <c r="C4184" s="4" t="s">
        <v>6596</v>
      </c>
      <c r="D4184" s="4" t="s">
        <v>6595</v>
      </c>
      <c r="E4184" s="4" t="s">
        <v>6595</v>
      </c>
      <c r="F4184" s="4" t="s">
        <v>6360</v>
      </c>
      <c r="G4184" s="4" t="s">
        <v>1888</v>
      </c>
      <c r="H4184" s="22">
        <v>0</v>
      </c>
      <c r="I4184" s="18">
        <v>710000000</v>
      </c>
      <c r="J4184" s="4" t="s">
        <v>1931</v>
      </c>
      <c r="K4184" s="4" t="s">
        <v>5297</v>
      </c>
      <c r="L4184" s="4" t="s">
        <v>6359</v>
      </c>
      <c r="M4184" s="4"/>
      <c r="N4184" s="4" t="s">
        <v>1408</v>
      </c>
      <c r="O4184" s="4" t="s">
        <v>6257</v>
      </c>
      <c r="P4184" s="4"/>
      <c r="Q4184" s="4"/>
      <c r="R4184" s="10"/>
      <c r="S4184" s="10"/>
      <c r="T4184" s="26">
        <v>10000000</v>
      </c>
      <c r="U4184" s="26">
        <f t="shared" si="2679"/>
        <v>11200000.000000002</v>
      </c>
      <c r="V4184" s="11" t="s">
        <v>3182</v>
      </c>
      <c r="W4184" s="11">
        <v>2015</v>
      </c>
      <c r="X4184" s="4"/>
    </row>
    <row r="4185" spans="1:24" ht="38.25" customHeight="1" x14ac:dyDescent="0.2">
      <c r="A4185" s="1" t="s">
        <v>5115</v>
      </c>
      <c r="B4185" s="24" t="s">
        <v>5277</v>
      </c>
      <c r="C4185" s="4" t="s">
        <v>6594</v>
      </c>
      <c r="D4185" s="4" t="s">
        <v>6593</v>
      </c>
      <c r="E4185" s="4" t="s">
        <v>6593</v>
      </c>
      <c r="F4185" s="4" t="s">
        <v>6364</v>
      </c>
      <c r="G4185" s="4" t="s">
        <v>1888</v>
      </c>
      <c r="H4185" s="22">
        <v>0</v>
      </c>
      <c r="I4185" s="18">
        <v>710000000</v>
      </c>
      <c r="J4185" s="4" t="s">
        <v>1931</v>
      </c>
      <c r="K4185" s="4" t="s">
        <v>5297</v>
      </c>
      <c r="L4185" s="4" t="s">
        <v>6365</v>
      </c>
      <c r="M4185" s="4"/>
      <c r="N4185" s="4" t="s">
        <v>1408</v>
      </c>
      <c r="O4185" s="4" t="s">
        <v>6257</v>
      </c>
      <c r="P4185" s="4"/>
      <c r="Q4185" s="4"/>
      <c r="R4185" s="10"/>
      <c r="S4185" s="10"/>
      <c r="T4185" s="26">
        <v>4000000</v>
      </c>
      <c r="U4185" s="26">
        <f t="shared" si="2679"/>
        <v>4480000</v>
      </c>
      <c r="V4185" s="11" t="s">
        <v>3182</v>
      </c>
      <c r="W4185" s="11">
        <v>2015</v>
      </c>
      <c r="X4185" s="4"/>
    </row>
    <row r="4186" spans="1:24" s="28" customFormat="1" ht="38.25" customHeight="1" x14ac:dyDescent="0.2">
      <c r="A4186" s="1" t="s">
        <v>5116</v>
      </c>
      <c r="B4186" s="24" t="s">
        <v>5277</v>
      </c>
      <c r="C4186" s="4" t="s">
        <v>6594</v>
      </c>
      <c r="D4186" s="4" t="s">
        <v>6593</v>
      </c>
      <c r="E4186" s="4" t="s">
        <v>6593</v>
      </c>
      <c r="F4186" s="4" t="s">
        <v>6358</v>
      </c>
      <c r="G4186" s="4" t="s">
        <v>1888</v>
      </c>
      <c r="H4186" s="22">
        <v>0</v>
      </c>
      <c r="I4186" s="18">
        <v>710000000</v>
      </c>
      <c r="J4186" s="4" t="s">
        <v>1931</v>
      </c>
      <c r="K4186" s="4" t="s">
        <v>5297</v>
      </c>
      <c r="L4186" s="4" t="s">
        <v>770</v>
      </c>
      <c r="M4186" s="4"/>
      <c r="N4186" s="4" t="s">
        <v>1408</v>
      </c>
      <c r="O4186" s="4" t="s">
        <v>6257</v>
      </c>
      <c r="P4186" s="4"/>
      <c r="Q4186" s="4"/>
      <c r="R4186" s="10"/>
      <c r="S4186" s="10"/>
      <c r="T4186" s="26">
        <v>6500000</v>
      </c>
      <c r="U4186" s="26">
        <f t="shared" si="2679"/>
        <v>7280000.0000000009</v>
      </c>
      <c r="V4186" s="11" t="s">
        <v>3182</v>
      </c>
      <c r="W4186" s="11">
        <v>2015</v>
      </c>
      <c r="X4186" s="4"/>
    </row>
    <row r="4187" spans="1:24" s="28" customFormat="1" ht="38.25" customHeight="1" x14ac:dyDescent="0.2">
      <c r="A4187" s="1" t="s">
        <v>5117</v>
      </c>
      <c r="B4187" s="24" t="s">
        <v>5277</v>
      </c>
      <c r="C4187" s="16" t="s">
        <v>6439</v>
      </c>
      <c r="D4187" s="16" t="s">
        <v>6361</v>
      </c>
      <c r="E4187" s="16" t="s">
        <v>6362</v>
      </c>
      <c r="F4187" s="16" t="s">
        <v>771</v>
      </c>
      <c r="G4187" s="4" t="s">
        <v>1888</v>
      </c>
      <c r="H4187" s="22">
        <v>1</v>
      </c>
      <c r="I4187" s="18">
        <v>710000000</v>
      </c>
      <c r="J4187" s="4" t="s">
        <v>1931</v>
      </c>
      <c r="K4187" s="4" t="s">
        <v>5297</v>
      </c>
      <c r="L4187" s="16" t="s">
        <v>2985</v>
      </c>
      <c r="M4187" s="1"/>
      <c r="N4187" s="4" t="s">
        <v>1408</v>
      </c>
      <c r="O4187" s="16" t="s">
        <v>6257</v>
      </c>
      <c r="P4187" s="16"/>
      <c r="Q4187" s="16"/>
      <c r="R4187" s="10"/>
      <c r="S4187" s="10"/>
      <c r="T4187" s="26">
        <v>18000000</v>
      </c>
      <c r="U4187" s="26">
        <f t="shared" si="2679"/>
        <v>20160000.000000004</v>
      </c>
      <c r="V4187" s="11" t="s">
        <v>3182</v>
      </c>
      <c r="W4187" s="11">
        <v>2015</v>
      </c>
      <c r="X4187" s="16"/>
    </row>
    <row r="4188" spans="1:24" s="28" customFormat="1" ht="38.25" customHeight="1" x14ac:dyDescent="0.2">
      <c r="A4188" s="1" t="s">
        <v>556</v>
      </c>
      <c r="B4188" s="24" t="s">
        <v>5277</v>
      </c>
      <c r="C4188" s="16" t="s">
        <v>6439</v>
      </c>
      <c r="D4188" s="16" t="s">
        <v>6361</v>
      </c>
      <c r="E4188" s="16" t="s">
        <v>6362</v>
      </c>
      <c r="F4188" s="16" t="s">
        <v>6363</v>
      </c>
      <c r="G4188" s="4" t="s">
        <v>1888</v>
      </c>
      <c r="H4188" s="22">
        <v>0.5</v>
      </c>
      <c r="I4188" s="18">
        <v>710000000</v>
      </c>
      <c r="J4188" s="4" t="s">
        <v>1931</v>
      </c>
      <c r="K4188" s="4" t="s">
        <v>5297</v>
      </c>
      <c r="L4188" s="16" t="s">
        <v>772</v>
      </c>
      <c r="M4188" s="1"/>
      <c r="N4188" s="4" t="s">
        <v>1408</v>
      </c>
      <c r="O4188" s="16" t="s">
        <v>6257</v>
      </c>
      <c r="P4188" s="16"/>
      <c r="Q4188" s="16"/>
      <c r="R4188" s="10"/>
      <c r="S4188" s="10"/>
      <c r="T4188" s="26">
        <v>0</v>
      </c>
      <c r="U4188" s="26">
        <v>0</v>
      </c>
      <c r="V4188" s="11" t="s">
        <v>3182</v>
      </c>
      <c r="W4188" s="11">
        <v>2015</v>
      </c>
      <c r="X4188" s="16" t="s">
        <v>7312</v>
      </c>
    </row>
    <row r="4189" spans="1:24" s="28" customFormat="1" ht="38.25" customHeight="1" x14ac:dyDescent="0.2">
      <c r="A4189" s="1" t="s">
        <v>8792</v>
      </c>
      <c r="B4189" s="24" t="s">
        <v>5277</v>
      </c>
      <c r="C4189" s="16" t="s">
        <v>6439</v>
      </c>
      <c r="D4189" s="16" t="s">
        <v>6361</v>
      </c>
      <c r="E4189" s="16" t="s">
        <v>6362</v>
      </c>
      <c r="F4189" s="16" t="s">
        <v>6363</v>
      </c>
      <c r="G4189" s="4" t="s">
        <v>1888</v>
      </c>
      <c r="H4189" s="22">
        <v>0.5</v>
      </c>
      <c r="I4189" s="18">
        <v>710000000</v>
      </c>
      <c r="J4189" s="4" t="s">
        <v>1931</v>
      </c>
      <c r="K4189" s="4" t="s">
        <v>6167</v>
      </c>
      <c r="L4189" s="16" t="s">
        <v>772</v>
      </c>
      <c r="M4189" s="1"/>
      <c r="N4189" s="4" t="s">
        <v>1408</v>
      </c>
      <c r="O4189" s="16" t="s">
        <v>6257</v>
      </c>
      <c r="P4189" s="16"/>
      <c r="Q4189" s="16"/>
      <c r="R4189" s="10"/>
      <c r="S4189" s="10"/>
      <c r="T4189" s="26">
        <v>1000000</v>
      </c>
      <c r="U4189" s="26">
        <f t="shared" ref="U4189" si="2685">T4189*1.12</f>
        <v>1120000</v>
      </c>
      <c r="V4189" s="11" t="s">
        <v>3182</v>
      </c>
      <c r="W4189" s="11">
        <v>2015</v>
      </c>
      <c r="X4189" s="16"/>
    </row>
    <row r="4190" spans="1:24" ht="38.25" customHeight="1" x14ac:dyDescent="0.2">
      <c r="A4190" s="1" t="s">
        <v>557</v>
      </c>
      <c r="B4190" s="24" t="s">
        <v>5277</v>
      </c>
      <c r="C4190" s="16" t="s">
        <v>6439</v>
      </c>
      <c r="D4190" s="16" t="s">
        <v>6361</v>
      </c>
      <c r="E4190" s="16" t="s">
        <v>6362</v>
      </c>
      <c r="F4190" s="16" t="s">
        <v>773</v>
      </c>
      <c r="G4190" s="4" t="s">
        <v>3190</v>
      </c>
      <c r="H4190" s="22">
        <v>0.5</v>
      </c>
      <c r="I4190" s="18">
        <v>710000000</v>
      </c>
      <c r="J4190" s="4" t="s">
        <v>1931</v>
      </c>
      <c r="K4190" s="4" t="s">
        <v>5297</v>
      </c>
      <c r="L4190" s="16" t="s">
        <v>2985</v>
      </c>
      <c r="M4190" s="1"/>
      <c r="N4190" s="4" t="s">
        <v>1408</v>
      </c>
      <c r="O4190" s="16" t="s">
        <v>6257</v>
      </c>
      <c r="P4190" s="16"/>
      <c r="Q4190" s="16"/>
      <c r="R4190" s="10"/>
      <c r="S4190" s="10"/>
      <c r="T4190" s="26">
        <v>500000</v>
      </c>
      <c r="U4190" s="26">
        <f t="shared" si="2679"/>
        <v>560000</v>
      </c>
      <c r="V4190" s="11" t="s">
        <v>3182</v>
      </c>
      <c r="W4190" s="11">
        <v>2015</v>
      </c>
      <c r="X4190" s="16"/>
    </row>
    <row r="4191" spans="1:24" s="28" customFormat="1" ht="38.25" customHeight="1" x14ac:dyDescent="0.2">
      <c r="A4191" s="1" t="s">
        <v>558</v>
      </c>
      <c r="B4191" s="24" t="s">
        <v>5277</v>
      </c>
      <c r="C4191" s="16" t="s">
        <v>774</v>
      </c>
      <c r="D4191" s="16" t="s">
        <v>775</v>
      </c>
      <c r="E4191" s="16" t="s">
        <v>775</v>
      </c>
      <c r="F4191" s="16"/>
      <c r="G4191" s="4" t="s">
        <v>3190</v>
      </c>
      <c r="H4191" s="22">
        <v>1</v>
      </c>
      <c r="I4191" s="18">
        <v>710000000</v>
      </c>
      <c r="J4191" s="4" t="s">
        <v>1931</v>
      </c>
      <c r="K4191" s="4" t="s">
        <v>5297</v>
      </c>
      <c r="L4191" s="16" t="s">
        <v>2985</v>
      </c>
      <c r="M4191" s="1"/>
      <c r="N4191" s="4" t="s">
        <v>1408</v>
      </c>
      <c r="O4191" s="16" t="s">
        <v>6257</v>
      </c>
      <c r="P4191" s="16"/>
      <c r="Q4191" s="16"/>
      <c r="R4191" s="10"/>
      <c r="S4191" s="10"/>
      <c r="T4191" s="26">
        <v>157500</v>
      </c>
      <c r="U4191" s="26">
        <f t="shared" si="2679"/>
        <v>176400.00000000003</v>
      </c>
      <c r="V4191" s="11" t="s">
        <v>3182</v>
      </c>
      <c r="W4191" s="11">
        <v>2015</v>
      </c>
      <c r="X4191" s="16"/>
    </row>
    <row r="4192" spans="1:24" s="28" customFormat="1" ht="225" customHeight="1" x14ac:dyDescent="0.2">
      <c r="A4192" s="1" t="s">
        <v>559</v>
      </c>
      <c r="B4192" s="15" t="s">
        <v>5277</v>
      </c>
      <c r="C4192" s="4" t="s">
        <v>3339</v>
      </c>
      <c r="D4192" s="4" t="s">
        <v>6368</v>
      </c>
      <c r="E4192" s="4" t="s">
        <v>6368</v>
      </c>
      <c r="F4192" s="4"/>
      <c r="G4192" s="4" t="s">
        <v>3190</v>
      </c>
      <c r="H4192" s="17">
        <v>0.5</v>
      </c>
      <c r="I4192" s="18">
        <v>710000000</v>
      </c>
      <c r="J4192" s="4" t="s">
        <v>1931</v>
      </c>
      <c r="K4192" s="4" t="s">
        <v>5297</v>
      </c>
      <c r="L4192" s="4" t="s">
        <v>2985</v>
      </c>
      <c r="M4192" s="1"/>
      <c r="N4192" s="4" t="s">
        <v>1408</v>
      </c>
      <c r="O4192" s="4" t="s">
        <v>6257</v>
      </c>
      <c r="P4192" s="1"/>
      <c r="Q4192" s="4"/>
      <c r="R4192" s="26"/>
      <c r="S4192" s="26"/>
      <c r="T4192" s="26">
        <v>1000000</v>
      </c>
      <c r="U4192" s="26">
        <f t="shared" si="2679"/>
        <v>1120000</v>
      </c>
      <c r="V4192" s="11" t="s">
        <v>3182</v>
      </c>
      <c r="W4192" s="11">
        <v>2015</v>
      </c>
      <c r="X4192" s="27"/>
    </row>
    <row r="4193" spans="1:24" s="28" customFormat="1" ht="63.75" customHeight="1" x14ac:dyDescent="0.2">
      <c r="A4193" s="1" t="s">
        <v>560</v>
      </c>
      <c r="B4193" s="15" t="s">
        <v>5277</v>
      </c>
      <c r="C4193" s="4" t="s">
        <v>3386</v>
      </c>
      <c r="D4193" s="4" t="s">
        <v>6369</v>
      </c>
      <c r="E4193" s="4" t="s">
        <v>6370</v>
      </c>
      <c r="F4193" s="4"/>
      <c r="G4193" s="4" t="s">
        <v>3190</v>
      </c>
      <c r="H4193" s="17">
        <v>1</v>
      </c>
      <c r="I4193" s="18">
        <v>710000000</v>
      </c>
      <c r="J4193" s="4" t="s">
        <v>1931</v>
      </c>
      <c r="K4193" s="4" t="s">
        <v>5297</v>
      </c>
      <c r="L4193" s="4" t="s">
        <v>2985</v>
      </c>
      <c r="M4193" s="1"/>
      <c r="N4193" s="4" t="s">
        <v>1408</v>
      </c>
      <c r="O4193" s="4" t="s">
        <v>6257</v>
      </c>
      <c r="P4193" s="1"/>
      <c r="Q4193" s="4"/>
      <c r="R4193" s="26"/>
      <c r="S4193" s="26"/>
      <c r="T4193" s="26">
        <v>0</v>
      </c>
      <c r="U4193" s="26">
        <f t="shared" si="2679"/>
        <v>0</v>
      </c>
      <c r="V4193" s="11" t="s">
        <v>3182</v>
      </c>
      <c r="W4193" s="11">
        <v>2015</v>
      </c>
      <c r="X4193" s="27" t="s">
        <v>7006</v>
      </c>
    </row>
    <row r="4194" spans="1:24" s="28" customFormat="1" ht="63.75" customHeight="1" x14ac:dyDescent="0.2">
      <c r="A4194" s="1" t="s">
        <v>7514</v>
      </c>
      <c r="B4194" s="15" t="s">
        <v>5277</v>
      </c>
      <c r="C4194" s="4" t="s">
        <v>3386</v>
      </c>
      <c r="D4194" s="4" t="s">
        <v>6369</v>
      </c>
      <c r="E4194" s="4" t="s">
        <v>6370</v>
      </c>
      <c r="F4194" s="4"/>
      <c r="G4194" s="4" t="s">
        <v>3190</v>
      </c>
      <c r="H4194" s="17">
        <v>1</v>
      </c>
      <c r="I4194" s="18">
        <v>710000000</v>
      </c>
      <c r="J4194" s="4" t="s">
        <v>1931</v>
      </c>
      <c r="K4194" s="4" t="s">
        <v>5292</v>
      </c>
      <c r="L4194" s="4" t="s">
        <v>2985</v>
      </c>
      <c r="M4194" s="1"/>
      <c r="N4194" s="4" t="s">
        <v>1408</v>
      </c>
      <c r="O4194" s="4" t="s">
        <v>6257</v>
      </c>
      <c r="P4194" s="1"/>
      <c r="Q4194" s="4"/>
      <c r="R4194" s="26"/>
      <c r="S4194" s="26"/>
      <c r="T4194" s="26">
        <v>900000</v>
      </c>
      <c r="U4194" s="26">
        <f t="shared" ref="U4194" si="2686">T4194*1.12</f>
        <v>1008000.0000000001</v>
      </c>
      <c r="V4194" s="11" t="s">
        <v>3182</v>
      </c>
      <c r="W4194" s="11">
        <v>2015</v>
      </c>
      <c r="X4194" s="27"/>
    </row>
    <row r="4195" spans="1:24" s="28" customFormat="1" ht="38.25" customHeight="1" x14ac:dyDescent="0.2">
      <c r="A4195" s="1" t="s">
        <v>561</v>
      </c>
      <c r="B4195" s="24" t="s">
        <v>5277</v>
      </c>
      <c r="C4195" s="4" t="s">
        <v>3338</v>
      </c>
      <c r="D4195" s="4" t="s">
        <v>6366</v>
      </c>
      <c r="E4195" s="4" t="s">
        <v>6366</v>
      </c>
      <c r="F4195" s="16" t="s">
        <v>6367</v>
      </c>
      <c r="G4195" s="4" t="s">
        <v>1888</v>
      </c>
      <c r="H4195" s="22">
        <v>1</v>
      </c>
      <c r="I4195" s="18">
        <v>710000000</v>
      </c>
      <c r="J4195" s="4" t="s">
        <v>1931</v>
      </c>
      <c r="K4195" s="4" t="s">
        <v>5390</v>
      </c>
      <c r="L4195" s="16" t="s">
        <v>2985</v>
      </c>
      <c r="M4195" s="1"/>
      <c r="N4195" s="4" t="s">
        <v>1408</v>
      </c>
      <c r="O4195" s="16" t="s">
        <v>6257</v>
      </c>
      <c r="P4195" s="16"/>
      <c r="Q4195" s="16"/>
      <c r="R4195" s="10"/>
      <c r="S4195" s="10"/>
      <c r="T4195" s="26">
        <v>17000000</v>
      </c>
      <c r="U4195" s="26">
        <f t="shared" si="2679"/>
        <v>19040000</v>
      </c>
      <c r="V4195" s="11" t="s">
        <v>3182</v>
      </c>
      <c r="W4195" s="11">
        <v>2015</v>
      </c>
      <c r="X4195" s="16"/>
    </row>
    <row r="4196" spans="1:24" s="28" customFormat="1" ht="38.25" customHeight="1" x14ac:dyDescent="0.2">
      <c r="A4196" s="1" t="s">
        <v>562</v>
      </c>
      <c r="B4196" s="15" t="s">
        <v>5277</v>
      </c>
      <c r="C4196" s="4" t="s">
        <v>2984</v>
      </c>
      <c r="D4196" s="4" t="s">
        <v>776</v>
      </c>
      <c r="E4196" s="4" t="s">
        <v>6312</v>
      </c>
      <c r="F4196" s="4" t="s">
        <v>6313</v>
      </c>
      <c r="G4196" s="4" t="s">
        <v>3190</v>
      </c>
      <c r="H4196" s="22">
        <v>0.5</v>
      </c>
      <c r="I4196" s="18">
        <v>710000000</v>
      </c>
      <c r="J4196" s="4" t="s">
        <v>1931</v>
      </c>
      <c r="K4196" s="4" t="s">
        <v>5706</v>
      </c>
      <c r="L4196" s="4" t="s">
        <v>2985</v>
      </c>
      <c r="M4196" s="4"/>
      <c r="N4196" s="4" t="s">
        <v>1408</v>
      </c>
      <c r="O4196" s="4" t="s">
        <v>6257</v>
      </c>
      <c r="P4196" s="4"/>
      <c r="Q4196" s="4"/>
      <c r="R4196" s="10"/>
      <c r="S4196" s="10"/>
      <c r="T4196" s="26">
        <v>24000000</v>
      </c>
      <c r="U4196" s="26">
        <f t="shared" si="2679"/>
        <v>26880000.000000004</v>
      </c>
      <c r="V4196" s="11" t="s">
        <v>3182</v>
      </c>
      <c r="W4196" s="11">
        <v>2015</v>
      </c>
      <c r="X4196" s="4"/>
    </row>
    <row r="4197" spans="1:24" s="28" customFormat="1" ht="102" customHeight="1" x14ac:dyDescent="0.2">
      <c r="A4197" s="1" t="s">
        <v>563</v>
      </c>
      <c r="B4197" s="15" t="s">
        <v>5277</v>
      </c>
      <c r="C4197" s="29" t="s">
        <v>777</v>
      </c>
      <c r="D4197" s="29" t="s">
        <v>778</v>
      </c>
      <c r="E4197" s="29" t="s">
        <v>6557</v>
      </c>
      <c r="F4197" s="29" t="s">
        <v>6392</v>
      </c>
      <c r="G4197" s="1" t="s">
        <v>3190</v>
      </c>
      <c r="H4197" s="17">
        <v>1</v>
      </c>
      <c r="I4197" s="18">
        <v>710000000</v>
      </c>
      <c r="J4197" s="4" t="s">
        <v>1931</v>
      </c>
      <c r="K4197" s="4" t="s">
        <v>5390</v>
      </c>
      <c r="L4197" s="4" t="s">
        <v>2985</v>
      </c>
      <c r="M4197" s="1"/>
      <c r="N4197" s="4" t="s">
        <v>1408</v>
      </c>
      <c r="O4197" s="4" t="s">
        <v>6257</v>
      </c>
      <c r="P4197" s="1"/>
      <c r="Q4197" s="4"/>
      <c r="R4197" s="26"/>
      <c r="S4197" s="26"/>
      <c r="T4197" s="26">
        <v>720000</v>
      </c>
      <c r="U4197" s="26">
        <f t="shared" si="2679"/>
        <v>806400.00000000012</v>
      </c>
      <c r="V4197" s="11" t="s">
        <v>3182</v>
      </c>
      <c r="W4197" s="11">
        <v>2015</v>
      </c>
      <c r="X4197" s="27"/>
    </row>
    <row r="4198" spans="1:24" ht="102" customHeight="1" x14ac:dyDescent="0.2">
      <c r="A4198" s="1" t="s">
        <v>564</v>
      </c>
      <c r="B4198" s="15" t="s">
        <v>5277</v>
      </c>
      <c r="C4198" s="4" t="s">
        <v>779</v>
      </c>
      <c r="D4198" s="4" t="s">
        <v>778</v>
      </c>
      <c r="E4198" s="4" t="s">
        <v>780</v>
      </c>
      <c r="F4198" s="29" t="s">
        <v>6393</v>
      </c>
      <c r="G4198" s="1" t="s">
        <v>3190</v>
      </c>
      <c r="H4198" s="17">
        <v>1</v>
      </c>
      <c r="I4198" s="18">
        <v>710000000</v>
      </c>
      <c r="J4198" s="4" t="s">
        <v>1931</v>
      </c>
      <c r="K4198" s="4" t="s">
        <v>5390</v>
      </c>
      <c r="L4198" s="4" t="s">
        <v>2985</v>
      </c>
      <c r="M4198" s="1"/>
      <c r="N4198" s="4" t="s">
        <v>1408</v>
      </c>
      <c r="O4198" s="4" t="s">
        <v>6257</v>
      </c>
      <c r="P4198" s="1"/>
      <c r="Q4198" s="4"/>
      <c r="R4198" s="26"/>
      <c r="S4198" s="26"/>
      <c r="T4198" s="26">
        <v>446000</v>
      </c>
      <c r="U4198" s="26">
        <f t="shared" si="2679"/>
        <v>499520.00000000006</v>
      </c>
      <c r="V4198" s="11" t="s">
        <v>3182</v>
      </c>
      <c r="W4198" s="11">
        <v>2015</v>
      </c>
      <c r="X4198" s="27"/>
    </row>
    <row r="4199" spans="1:24" s="28" customFormat="1" ht="38.25" customHeight="1" x14ac:dyDescent="0.2">
      <c r="A4199" s="1" t="s">
        <v>565</v>
      </c>
      <c r="B4199" s="15" t="s">
        <v>5277</v>
      </c>
      <c r="C4199" s="4" t="s">
        <v>781</v>
      </c>
      <c r="D4199" s="4" t="s">
        <v>782</v>
      </c>
      <c r="E4199" s="4" t="s">
        <v>6332</v>
      </c>
      <c r="F4199" s="4" t="s">
        <v>783</v>
      </c>
      <c r="G4199" s="1" t="s">
        <v>3190</v>
      </c>
      <c r="H4199" s="17">
        <v>1</v>
      </c>
      <c r="I4199" s="18">
        <v>710000000</v>
      </c>
      <c r="J4199" s="4" t="s">
        <v>1931</v>
      </c>
      <c r="K4199" s="4" t="s">
        <v>5282</v>
      </c>
      <c r="L4199" s="4" t="s">
        <v>2985</v>
      </c>
      <c r="M4199" s="1"/>
      <c r="N4199" s="4" t="s">
        <v>1408</v>
      </c>
      <c r="O4199" s="4" t="s">
        <v>6257</v>
      </c>
      <c r="P4199" s="1"/>
      <c r="Q4199" s="4"/>
      <c r="R4199" s="26"/>
      <c r="S4199" s="26"/>
      <c r="T4199" s="26">
        <v>0</v>
      </c>
      <c r="U4199" s="26">
        <f t="shared" si="2679"/>
        <v>0</v>
      </c>
      <c r="V4199" s="11" t="s">
        <v>3182</v>
      </c>
      <c r="W4199" s="11">
        <v>2015</v>
      </c>
      <c r="X4199" s="27" t="s">
        <v>7006</v>
      </c>
    </row>
    <row r="4200" spans="1:24" s="28" customFormat="1" ht="38.25" customHeight="1" x14ac:dyDescent="0.2">
      <c r="A4200" s="1" t="s">
        <v>7130</v>
      </c>
      <c r="B4200" s="15" t="s">
        <v>5277</v>
      </c>
      <c r="C4200" s="4" t="s">
        <v>781</v>
      </c>
      <c r="D4200" s="4" t="s">
        <v>782</v>
      </c>
      <c r="E4200" s="4" t="s">
        <v>6332</v>
      </c>
      <c r="F4200" s="4" t="s">
        <v>783</v>
      </c>
      <c r="G4200" s="1" t="s">
        <v>3190</v>
      </c>
      <c r="H4200" s="17">
        <v>1</v>
      </c>
      <c r="I4200" s="18">
        <v>710000000</v>
      </c>
      <c r="J4200" s="4" t="s">
        <v>1931</v>
      </c>
      <c r="K4200" s="4" t="s">
        <v>5706</v>
      </c>
      <c r="L4200" s="4" t="s">
        <v>2985</v>
      </c>
      <c r="M4200" s="1"/>
      <c r="N4200" s="4" t="s">
        <v>1408</v>
      </c>
      <c r="O4200" s="4" t="s">
        <v>6257</v>
      </c>
      <c r="P4200" s="1"/>
      <c r="Q4200" s="4"/>
      <c r="R4200" s="26"/>
      <c r="S4200" s="26"/>
      <c r="T4200" s="26">
        <v>536000</v>
      </c>
      <c r="U4200" s="26">
        <f t="shared" ref="U4200" si="2687">T4200*1.12</f>
        <v>600320</v>
      </c>
      <c r="V4200" s="11" t="s">
        <v>3182</v>
      </c>
      <c r="W4200" s="11">
        <v>2015</v>
      </c>
      <c r="X4200" s="27"/>
    </row>
    <row r="4201" spans="1:24" s="28" customFormat="1" ht="38.25" customHeight="1" x14ac:dyDescent="0.2">
      <c r="A4201" s="1" t="s">
        <v>566</v>
      </c>
      <c r="B4201" s="15" t="s">
        <v>5277</v>
      </c>
      <c r="C4201" s="4" t="s">
        <v>784</v>
      </c>
      <c r="D4201" s="4" t="s">
        <v>785</v>
      </c>
      <c r="E4201" s="4" t="s">
        <v>786</v>
      </c>
      <c r="F4201" s="4"/>
      <c r="G4201" s="1" t="s">
        <v>3190</v>
      </c>
      <c r="H4201" s="17">
        <v>1</v>
      </c>
      <c r="I4201" s="18">
        <v>710000000</v>
      </c>
      <c r="J4201" s="4" t="s">
        <v>1931</v>
      </c>
      <c r="K4201" s="4" t="s">
        <v>5706</v>
      </c>
      <c r="L4201" s="7" t="s">
        <v>1409</v>
      </c>
      <c r="M4201" s="1"/>
      <c r="N4201" s="4" t="s">
        <v>1408</v>
      </c>
      <c r="O4201" s="4" t="s">
        <v>6257</v>
      </c>
      <c r="P4201" s="1"/>
      <c r="Q4201" s="4"/>
      <c r="R4201" s="26"/>
      <c r="S4201" s="26"/>
      <c r="T4201" s="26">
        <v>178260</v>
      </c>
      <c r="U4201" s="26">
        <f t="shared" si="2679"/>
        <v>199651.20000000001</v>
      </c>
      <c r="V4201" s="19" t="s">
        <v>3182</v>
      </c>
      <c r="W4201" s="11">
        <v>2015</v>
      </c>
      <c r="X4201" s="27"/>
    </row>
    <row r="4202" spans="1:24" s="28" customFormat="1" ht="51" customHeight="1" x14ac:dyDescent="0.2">
      <c r="A4202" s="1" t="s">
        <v>567</v>
      </c>
      <c r="B4202" s="15" t="s">
        <v>5277</v>
      </c>
      <c r="C4202" s="4" t="s">
        <v>4202</v>
      </c>
      <c r="D4202" s="4" t="s">
        <v>6377</v>
      </c>
      <c r="E4202" s="4" t="s">
        <v>6377</v>
      </c>
      <c r="F4202" s="4"/>
      <c r="G4202" s="1" t="s">
        <v>3190</v>
      </c>
      <c r="H4202" s="17">
        <v>1</v>
      </c>
      <c r="I4202" s="18">
        <v>710000000</v>
      </c>
      <c r="J4202" s="4" t="s">
        <v>1931</v>
      </c>
      <c r="K4202" s="4" t="s">
        <v>5706</v>
      </c>
      <c r="L4202" s="7" t="s">
        <v>1409</v>
      </c>
      <c r="M4202" s="1"/>
      <c r="N4202" s="4" t="s">
        <v>1408</v>
      </c>
      <c r="O4202" s="4" t="s">
        <v>6257</v>
      </c>
      <c r="P4202" s="1"/>
      <c r="Q4202" s="4"/>
      <c r="R4202" s="26"/>
      <c r="S4202" s="26"/>
      <c r="T4202" s="26">
        <v>0</v>
      </c>
      <c r="U4202" s="26">
        <f t="shared" si="2679"/>
        <v>0</v>
      </c>
      <c r="V4202" s="19" t="s">
        <v>3182</v>
      </c>
      <c r="W4202" s="11">
        <v>2015</v>
      </c>
      <c r="X4202" s="27" t="s">
        <v>7006</v>
      </c>
    </row>
    <row r="4203" spans="1:24" s="28" customFormat="1" ht="51" customHeight="1" x14ac:dyDescent="0.2">
      <c r="A4203" s="1" t="s">
        <v>7670</v>
      </c>
      <c r="B4203" s="4" t="s">
        <v>5277</v>
      </c>
      <c r="C4203" s="4" t="s">
        <v>4202</v>
      </c>
      <c r="D4203" s="4" t="s">
        <v>6377</v>
      </c>
      <c r="E4203" s="4" t="s">
        <v>6377</v>
      </c>
      <c r="F4203" s="4"/>
      <c r="G4203" s="1" t="s">
        <v>3190</v>
      </c>
      <c r="H4203" s="17">
        <v>1</v>
      </c>
      <c r="I4203" s="18">
        <v>710000000</v>
      </c>
      <c r="J4203" s="4" t="s">
        <v>1931</v>
      </c>
      <c r="K4203" s="4" t="s">
        <v>756</v>
      </c>
      <c r="L4203" s="7" t="s">
        <v>1409</v>
      </c>
      <c r="M4203" s="1"/>
      <c r="N4203" s="4" t="s">
        <v>1408</v>
      </c>
      <c r="O4203" s="4" t="s">
        <v>6257</v>
      </c>
      <c r="P4203" s="1"/>
      <c r="Q4203" s="4"/>
      <c r="R4203" s="26"/>
      <c r="S4203" s="26"/>
      <c r="T4203" s="26">
        <v>0</v>
      </c>
      <c r="U4203" s="26">
        <f t="shared" ref="U4203" si="2688">T4203*1.12</f>
        <v>0</v>
      </c>
      <c r="V4203" s="26" t="s">
        <v>3182</v>
      </c>
      <c r="W4203" s="1">
        <v>2015</v>
      </c>
      <c r="X4203" s="27" t="s">
        <v>6567</v>
      </c>
    </row>
    <row r="4204" spans="1:24" s="28" customFormat="1" ht="51" customHeight="1" x14ac:dyDescent="0.2">
      <c r="A4204" s="1" t="s">
        <v>8351</v>
      </c>
      <c r="B4204" s="4" t="s">
        <v>5277</v>
      </c>
      <c r="C4204" s="4" t="s">
        <v>4202</v>
      </c>
      <c r="D4204" s="4" t="s">
        <v>6377</v>
      </c>
      <c r="E4204" s="4" t="s">
        <v>6377</v>
      </c>
      <c r="F4204" s="4"/>
      <c r="G4204" s="1" t="s">
        <v>3190</v>
      </c>
      <c r="H4204" s="17">
        <v>1</v>
      </c>
      <c r="I4204" s="18">
        <v>710000000</v>
      </c>
      <c r="J4204" s="4" t="s">
        <v>1931</v>
      </c>
      <c r="K4204" s="4" t="s">
        <v>756</v>
      </c>
      <c r="L4204" s="7" t="s">
        <v>1409</v>
      </c>
      <c r="M4204" s="1"/>
      <c r="N4204" s="4" t="s">
        <v>1408</v>
      </c>
      <c r="O4204" s="4" t="s">
        <v>6257</v>
      </c>
      <c r="P4204" s="1"/>
      <c r="Q4204" s="4"/>
      <c r="R4204" s="26"/>
      <c r="S4204" s="26"/>
      <c r="T4204" s="26">
        <f>205477+65925</f>
        <v>271402</v>
      </c>
      <c r="U4204" s="26">
        <f t="shared" ref="U4204" si="2689">T4204*1.12</f>
        <v>303970.24000000005</v>
      </c>
      <c r="V4204" s="26" t="s">
        <v>3182</v>
      </c>
      <c r="W4204" s="1">
        <v>2015</v>
      </c>
      <c r="X4204" s="27"/>
    </row>
    <row r="4205" spans="1:24" s="28" customFormat="1" ht="51" customHeight="1" x14ac:dyDescent="0.2">
      <c r="A4205" s="1" t="s">
        <v>568</v>
      </c>
      <c r="B4205" s="15" t="s">
        <v>5277</v>
      </c>
      <c r="C4205" s="4" t="s">
        <v>4204</v>
      </c>
      <c r="D4205" s="4" t="s">
        <v>787</v>
      </c>
      <c r="E4205" s="4" t="s">
        <v>6378</v>
      </c>
      <c r="F4205" s="4" t="s">
        <v>660</v>
      </c>
      <c r="G4205" s="1" t="s">
        <v>3190</v>
      </c>
      <c r="H4205" s="17">
        <v>1</v>
      </c>
      <c r="I4205" s="18">
        <v>710000000</v>
      </c>
      <c r="J4205" s="4" t="s">
        <v>1931</v>
      </c>
      <c r="K4205" s="4" t="s">
        <v>5706</v>
      </c>
      <c r="L4205" s="4" t="s">
        <v>1889</v>
      </c>
      <c r="M4205" s="4"/>
      <c r="N4205" s="4" t="s">
        <v>1408</v>
      </c>
      <c r="O4205" s="4" t="s">
        <v>6257</v>
      </c>
      <c r="P4205" s="4"/>
      <c r="Q4205" s="4"/>
      <c r="R4205" s="10"/>
      <c r="S4205" s="10"/>
      <c r="T4205" s="10">
        <v>0</v>
      </c>
      <c r="U4205" s="10">
        <f t="shared" si="2679"/>
        <v>0</v>
      </c>
      <c r="V4205" s="4" t="s">
        <v>3182</v>
      </c>
      <c r="W4205" s="11">
        <v>2015</v>
      </c>
      <c r="X4205" s="1" t="s">
        <v>7312</v>
      </c>
    </row>
    <row r="4206" spans="1:24" s="28" customFormat="1" ht="51" customHeight="1" x14ac:dyDescent="0.2">
      <c r="A4206" s="1" t="s">
        <v>9075</v>
      </c>
      <c r="B4206" s="15" t="s">
        <v>5277</v>
      </c>
      <c r="C4206" s="4" t="s">
        <v>4204</v>
      </c>
      <c r="D4206" s="4" t="s">
        <v>787</v>
      </c>
      <c r="E4206" s="4" t="s">
        <v>6378</v>
      </c>
      <c r="F4206" s="4" t="s">
        <v>660</v>
      </c>
      <c r="G4206" s="1" t="s">
        <v>3190</v>
      </c>
      <c r="H4206" s="17">
        <v>1</v>
      </c>
      <c r="I4206" s="18">
        <v>710000000</v>
      </c>
      <c r="J4206" s="4" t="s">
        <v>1931</v>
      </c>
      <c r="K4206" s="4" t="s">
        <v>9076</v>
      </c>
      <c r="L4206" s="4" t="s">
        <v>1889</v>
      </c>
      <c r="M4206" s="4"/>
      <c r="N4206" s="4" t="s">
        <v>1408</v>
      </c>
      <c r="O4206" s="4" t="s">
        <v>6257</v>
      </c>
      <c r="P4206" s="4"/>
      <c r="Q4206" s="4"/>
      <c r="R4206" s="10"/>
      <c r="S4206" s="10"/>
      <c r="T4206" s="10">
        <v>192300</v>
      </c>
      <c r="U4206" s="10">
        <f t="shared" ref="U4206" si="2690">T4206*1.12</f>
        <v>215376.00000000003</v>
      </c>
      <c r="V4206" s="4" t="s">
        <v>3182</v>
      </c>
      <c r="W4206" s="11">
        <v>2015</v>
      </c>
      <c r="X4206" s="20"/>
    </row>
    <row r="4207" spans="1:24" s="28" customFormat="1" ht="38.25" customHeight="1" x14ac:dyDescent="0.2">
      <c r="A4207" s="1" t="s">
        <v>569</v>
      </c>
      <c r="B4207" s="15" t="s">
        <v>5277</v>
      </c>
      <c r="C4207" s="4" t="s">
        <v>788</v>
      </c>
      <c r="D4207" s="4" t="s">
        <v>789</v>
      </c>
      <c r="E4207" s="4" t="s">
        <v>790</v>
      </c>
      <c r="F4207" s="4" t="s">
        <v>6347</v>
      </c>
      <c r="G4207" s="1" t="s">
        <v>3187</v>
      </c>
      <c r="H4207" s="17">
        <v>1</v>
      </c>
      <c r="I4207" s="18">
        <v>710000000</v>
      </c>
      <c r="J4207" s="4" t="s">
        <v>1931</v>
      </c>
      <c r="K4207" s="4" t="s">
        <v>5706</v>
      </c>
      <c r="L4207" s="7" t="s">
        <v>1409</v>
      </c>
      <c r="M4207" s="1"/>
      <c r="N4207" s="4" t="s">
        <v>1408</v>
      </c>
      <c r="O4207" s="4" t="s">
        <v>6257</v>
      </c>
      <c r="P4207" s="1"/>
      <c r="Q4207" s="4"/>
      <c r="R4207" s="26"/>
      <c r="S4207" s="26"/>
      <c r="T4207" s="26">
        <v>4212000</v>
      </c>
      <c r="U4207" s="26">
        <f>T4207*1.12</f>
        <v>4717440</v>
      </c>
      <c r="V4207" s="19" t="s">
        <v>3182</v>
      </c>
      <c r="W4207" s="11">
        <v>2015</v>
      </c>
      <c r="X4207" s="27"/>
    </row>
    <row r="4208" spans="1:24" s="28" customFormat="1" ht="63.75" customHeight="1" x14ac:dyDescent="0.2">
      <c r="A4208" s="1" t="s">
        <v>570</v>
      </c>
      <c r="B4208" s="15" t="s">
        <v>5277</v>
      </c>
      <c r="C4208" s="4" t="s">
        <v>791</v>
      </c>
      <c r="D4208" s="4" t="s">
        <v>792</v>
      </c>
      <c r="E4208" s="4" t="s">
        <v>792</v>
      </c>
      <c r="F4208" s="4"/>
      <c r="G4208" s="1" t="s">
        <v>3190</v>
      </c>
      <c r="H4208" s="17">
        <v>1</v>
      </c>
      <c r="I4208" s="18">
        <v>710000000</v>
      </c>
      <c r="J4208" s="4" t="s">
        <v>1931</v>
      </c>
      <c r="K4208" s="4" t="s">
        <v>5282</v>
      </c>
      <c r="L4208" s="4" t="s">
        <v>2985</v>
      </c>
      <c r="M4208" s="1"/>
      <c r="N4208" s="4" t="s">
        <v>1408</v>
      </c>
      <c r="O4208" s="4" t="s">
        <v>6257</v>
      </c>
      <c r="P4208" s="1"/>
      <c r="Q4208" s="4"/>
      <c r="R4208" s="26"/>
      <c r="S4208" s="26"/>
      <c r="T4208" s="26">
        <v>2805000</v>
      </c>
      <c r="U4208" s="26">
        <f t="shared" si="2679"/>
        <v>3141600.0000000005</v>
      </c>
      <c r="V4208" s="19" t="s">
        <v>3182</v>
      </c>
      <c r="W4208" s="11">
        <v>2015</v>
      </c>
      <c r="X4208" s="27"/>
    </row>
    <row r="4209" spans="1:246" s="28" customFormat="1" ht="63.75" customHeight="1" x14ac:dyDescent="0.2">
      <c r="A4209" s="1" t="s">
        <v>571</v>
      </c>
      <c r="B4209" s="15" t="s">
        <v>5277</v>
      </c>
      <c r="C4209" s="4" t="s">
        <v>793</v>
      </c>
      <c r="D4209" s="4" t="s">
        <v>794</v>
      </c>
      <c r="E4209" s="4" t="s">
        <v>794</v>
      </c>
      <c r="F4209" s="4"/>
      <c r="G4209" s="1" t="s">
        <v>3190</v>
      </c>
      <c r="H4209" s="17">
        <v>1</v>
      </c>
      <c r="I4209" s="18">
        <v>710000000</v>
      </c>
      <c r="J4209" s="4" t="s">
        <v>1931</v>
      </c>
      <c r="K4209" s="4" t="s">
        <v>5282</v>
      </c>
      <c r="L4209" s="4" t="s">
        <v>2985</v>
      </c>
      <c r="M4209" s="1"/>
      <c r="N4209" s="4" t="s">
        <v>1408</v>
      </c>
      <c r="O4209" s="4" t="s">
        <v>6257</v>
      </c>
      <c r="P4209" s="1"/>
      <c r="Q4209" s="4"/>
      <c r="R4209" s="26"/>
      <c r="S4209" s="26"/>
      <c r="T4209" s="26">
        <v>255000</v>
      </c>
      <c r="U4209" s="26">
        <f t="shared" si="2679"/>
        <v>285600</v>
      </c>
      <c r="V4209" s="19" t="s">
        <v>3182</v>
      </c>
      <c r="W4209" s="11">
        <v>2015</v>
      </c>
      <c r="X4209" s="27"/>
    </row>
    <row r="4210" spans="1:246" s="28" customFormat="1" ht="63.75" customHeight="1" x14ac:dyDescent="0.2">
      <c r="A4210" s="1" t="s">
        <v>572</v>
      </c>
      <c r="B4210" s="15" t="s">
        <v>5277</v>
      </c>
      <c r="C4210" s="4" t="s">
        <v>3081</v>
      </c>
      <c r="D4210" s="4" t="s">
        <v>795</v>
      </c>
      <c r="E4210" s="4" t="s">
        <v>796</v>
      </c>
      <c r="F4210" s="4"/>
      <c r="G4210" s="1" t="s">
        <v>3190</v>
      </c>
      <c r="H4210" s="17">
        <v>1</v>
      </c>
      <c r="I4210" s="18">
        <v>710000000</v>
      </c>
      <c r="J4210" s="4" t="s">
        <v>1931</v>
      </c>
      <c r="K4210" s="4" t="s">
        <v>5282</v>
      </c>
      <c r="L4210" s="4" t="s">
        <v>2985</v>
      </c>
      <c r="M4210" s="1"/>
      <c r="N4210" s="4" t="s">
        <v>1408</v>
      </c>
      <c r="O4210" s="4" t="s">
        <v>6257</v>
      </c>
      <c r="P4210" s="1"/>
      <c r="Q4210" s="4"/>
      <c r="R4210" s="26"/>
      <c r="S4210" s="26"/>
      <c r="T4210" s="26">
        <v>2600000</v>
      </c>
      <c r="U4210" s="26">
        <f t="shared" si="2679"/>
        <v>2912000.0000000005</v>
      </c>
      <c r="V4210" s="19" t="s">
        <v>3182</v>
      </c>
      <c r="W4210" s="11">
        <v>2015</v>
      </c>
      <c r="X4210" s="27"/>
    </row>
    <row r="4211" spans="1:246" s="28" customFormat="1" ht="71.25" customHeight="1" x14ac:dyDescent="0.2">
      <c r="A4211" s="1" t="s">
        <v>573</v>
      </c>
      <c r="B4211" s="24" t="s">
        <v>5277</v>
      </c>
      <c r="C4211" s="4" t="s">
        <v>797</v>
      </c>
      <c r="D4211" s="4" t="s">
        <v>798</v>
      </c>
      <c r="E4211" s="4" t="s">
        <v>799</v>
      </c>
      <c r="F4211" s="4" t="s">
        <v>555</v>
      </c>
      <c r="G4211" s="4" t="s">
        <v>1888</v>
      </c>
      <c r="H4211" s="17">
        <v>0.5</v>
      </c>
      <c r="I4211" s="18">
        <v>710000000</v>
      </c>
      <c r="J4211" s="4" t="s">
        <v>1931</v>
      </c>
      <c r="K4211" s="4" t="s">
        <v>6167</v>
      </c>
      <c r="L4211" s="7" t="s">
        <v>1708</v>
      </c>
      <c r="M4211" s="1"/>
      <c r="N4211" s="4" t="s">
        <v>1408</v>
      </c>
      <c r="O4211" s="4" t="s">
        <v>6257</v>
      </c>
      <c r="P4211" s="1"/>
      <c r="Q4211" s="1"/>
      <c r="R4211" s="26"/>
      <c r="S4211" s="26"/>
      <c r="T4211" s="26">
        <v>0</v>
      </c>
      <c r="U4211" s="26">
        <f t="shared" si="2679"/>
        <v>0</v>
      </c>
      <c r="V4211" s="56" t="s">
        <v>3182</v>
      </c>
      <c r="W4211" s="11">
        <v>2015</v>
      </c>
      <c r="X4211" s="27" t="s">
        <v>6565</v>
      </c>
    </row>
    <row r="4212" spans="1:246" s="28" customFormat="1" ht="89.25" customHeight="1" x14ac:dyDescent="0.2">
      <c r="A4212" s="1" t="s">
        <v>6430</v>
      </c>
      <c r="B4212" s="15" t="s">
        <v>5277</v>
      </c>
      <c r="C4212" s="4" t="s">
        <v>5118</v>
      </c>
      <c r="D4212" s="4" t="s">
        <v>6380</v>
      </c>
      <c r="E4212" s="4" t="s">
        <v>800</v>
      </c>
      <c r="F4212" s="4"/>
      <c r="G4212" s="1" t="s">
        <v>3190</v>
      </c>
      <c r="H4212" s="17">
        <v>1</v>
      </c>
      <c r="I4212" s="18">
        <v>710000000</v>
      </c>
      <c r="J4212" s="4" t="s">
        <v>1931</v>
      </c>
      <c r="K4212" s="4" t="s">
        <v>5282</v>
      </c>
      <c r="L4212" s="4" t="s">
        <v>5119</v>
      </c>
      <c r="M4212" s="1"/>
      <c r="N4212" s="4" t="s">
        <v>1408</v>
      </c>
      <c r="O4212" s="4" t="s">
        <v>6257</v>
      </c>
      <c r="P4212" s="1"/>
      <c r="Q4212" s="4"/>
      <c r="R4212" s="26"/>
      <c r="S4212" s="26"/>
      <c r="T4212" s="26">
        <v>15351000</v>
      </c>
      <c r="U4212" s="26">
        <f>T4212*1.12</f>
        <v>17193120</v>
      </c>
      <c r="V4212" s="19" t="s">
        <v>3182</v>
      </c>
      <c r="W4212" s="11">
        <v>2015</v>
      </c>
      <c r="X4212" s="27"/>
    </row>
    <row r="4213" spans="1:246" s="28" customFormat="1" ht="63.75" customHeight="1" x14ac:dyDescent="0.2">
      <c r="A4213" s="1" t="s">
        <v>6993</v>
      </c>
      <c r="B4213" s="15" t="s">
        <v>5277</v>
      </c>
      <c r="C4213" s="4" t="s">
        <v>7002</v>
      </c>
      <c r="D4213" s="4" t="s">
        <v>7001</v>
      </c>
      <c r="E4213" s="4" t="s">
        <v>7001</v>
      </c>
      <c r="F4213" s="4" t="s">
        <v>7003</v>
      </c>
      <c r="G4213" s="1" t="s">
        <v>3190</v>
      </c>
      <c r="H4213" s="17">
        <v>1</v>
      </c>
      <c r="I4213" s="18">
        <v>710000000</v>
      </c>
      <c r="J4213" s="4" t="s">
        <v>1931</v>
      </c>
      <c r="K4213" s="4" t="s">
        <v>5297</v>
      </c>
      <c r="L4213" s="4" t="s">
        <v>1940</v>
      </c>
      <c r="M4213" s="1"/>
      <c r="N4213" s="4" t="s">
        <v>1408</v>
      </c>
      <c r="O4213" s="4" t="s">
        <v>6257</v>
      </c>
      <c r="P4213" s="1"/>
      <c r="Q4213" s="4"/>
      <c r="R4213" s="26"/>
      <c r="S4213" s="26"/>
      <c r="T4213" s="26">
        <v>218571.43</v>
      </c>
      <c r="U4213" s="26">
        <f>T4213*1.12</f>
        <v>244800.00160000002</v>
      </c>
      <c r="V4213" s="19" t="s">
        <v>3182</v>
      </c>
      <c r="W4213" s="11">
        <v>2015</v>
      </c>
      <c r="X4213" s="27"/>
    </row>
    <row r="4214" spans="1:246" s="28" customFormat="1" ht="38.25" customHeight="1" x14ac:dyDescent="0.2">
      <c r="A4214" s="1" t="s">
        <v>7278</v>
      </c>
      <c r="B4214" s="15" t="s">
        <v>5277</v>
      </c>
      <c r="C4214" s="4" t="s">
        <v>7290</v>
      </c>
      <c r="D4214" s="4" t="s">
        <v>7289</v>
      </c>
      <c r="E4214" s="4" t="s">
        <v>7289</v>
      </c>
      <c r="F4214" s="4" t="s">
        <v>7292</v>
      </c>
      <c r="G4214" s="4" t="s">
        <v>1888</v>
      </c>
      <c r="H4214" s="17">
        <v>0.5</v>
      </c>
      <c r="I4214" s="18">
        <v>710000000</v>
      </c>
      <c r="J4214" s="4" t="s">
        <v>1931</v>
      </c>
      <c r="K4214" s="4" t="s">
        <v>5706</v>
      </c>
      <c r="L4214" s="4" t="s">
        <v>7291</v>
      </c>
      <c r="M4214" s="1"/>
      <c r="N4214" s="4" t="s">
        <v>1408</v>
      </c>
      <c r="O4214" s="4" t="s">
        <v>6257</v>
      </c>
      <c r="P4214" s="1"/>
      <c r="Q4214" s="4"/>
      <c r="R4214" s="26"/>
      <c r="S4214" s="26"/>
      <c r="T4214" s="26">
        <v>0</v>
      </c>
      <c r="U4214" s="26">
        <f t="shared" ref="U4214" si="2691">T4214*1.12</f>
        <v>0</v>
      </c>
      <c r="V4214" s="11" t="s">
        <v>3182</v>
      </c>
      <c r="W4214" s="11">
        <v>2015</v>
      </c>
      <c r="X4214" s="27" t="s">
        <v>7582</v>
      </c>
    </row>
    <row r="4215" spans="1:246" s="28" customFormat="1" ht="51" customHeight="1" x14ac:dyDescent="0.2">
      <c r="A4215" s="1" t="s">
        <v>7580</v>
      </c>
      <c r="B4215" s="15" t="s">
        <v>5277</v>
      </c>
      <c r="C4215" s="4" t="s">
        <v>7290</v>
      </c>
      <c r="D4215" s="4" t="s">
        <v>7289</v>
      </c>
      <c r="E4215" s="4" t="s">
        <v>7289</v>
      </c>
      <c r="F4215" s="4" t="s">
        <v>7581</v>
      </c>
      <c r="G4215" s="4" t="s">
        <v>1888</v>
      </c>
      <c r="H4215" s="17">
        <v>0.5</v>
      </c>
      <c r="I4215" s="18">
        <v>710000000</v>
      </c>
      <c r="J4215" s="4" t="s">
        <v>1931</v>
      </c>
      <c r="K4215" s="4" t="s">
        <v>5292</v>
      </c>
      <c r="L4215" s="4" t="s">
        <v>7291</v>
      </c>
      <c r="M4215" s="1"/>
      <c r="N4215" s="4" t="s">
        <v>1408</v>
      </c>
      <c r="O4215" s="4" t="s">
        <v>6257</v>
      </c>
      <c r="P4215" s="1"/>
      <c r="Q4215" s="4"/>
      <c r="R4215" s="26"/>
      <c r="S4215" s="26"/>
      <c r="T4215" s="26">
        <v>0</v>
      </c>
      <c r="U4215" s="26">
        <f t="shared" ref="U4215" si="2692">T4215*1.12</f>
        <v>0</v>
      </c>
      <c r="V4215" s="11" t="s">
        <v>3182</v>
      </c>
      <c r="W4215" s="11">
        <v>2015</v>
      </c>
      <c r="X4215" s="27" t="s">
        <v>9510</v>
      </c>
    </row>
    <row r="4216" spans="1:246" s="28" customFormat="1" ht="51" customHeight="1" x14ac:dyDescent="0.2">
      <c r="A4216" s="1" t="s">
        <v>9509</v>
      </c>
      <c r="B4216" s="15" t="s">
        <v>5277</v>
      </c>
      <c r="C4216" s="4" t="s">
        <v>7290</v>
      </c>
      <c r="D4216" s="4" t="s">
        <v>7289</v>
      </c>
      <c r="E4216" s="4" t="s">
        <v>7289</v>
      </c>
      <c r="F4216" s="4" t="s">
        <v>7581</v>
      </c>
      <c r="G4216" s="4" t="s">
        <v>1888</v>
      </c>
      <c r="H4216" s="17">
        <v>0.5</v>
      </c>
      <c r="I4216" s="18">
        <v>710000000</v>
      </c>
      <c r="J4216" s="4" t="s">
        <v>1931</v>
      </c>
      <c r="K4216" s="4" t="s">
        <v>9508</v>
      </c>
      <c r="L4216" s="4" t="s">
        <v>7291</v>
      </c>
      <c r="M4216" s="1"/>
      <c r="N4216" s="4" t="s">
        <v>1408</v>
      </c>
      <c r="O4216" s="4" t="s">
        <v>6257</v>
      </c>
      <c r="P4216" s="1"/>
      <c r="Q4216" s="4"/>
      <c r="R4216" s="26"/>
      <c r="S4216" s="26"/>
      <c r="T4216" s="26">
        <f>111920000-9702000</f>
        <v>102218000</v>
      </c>
      <c r="U4216" s="26">
        <f t="shared" ref="U4216" si="2693">T4216*1.12</f>
        <v>114484160.00000001</v>
      </c>
      <c r="V4216" s="11" t="s">
        <v>3182</v>
      </c>
      <c r="W4216" s="11">
        <v>2015</v>
      </c>
      <c r="X4216" s="27"/>
    </row>
    <row r="4217" spans="1:246" s="28" customFormat="1" ht="38.25" customHeight="1" x14ac:dyDescent="0.2">
      <c r="A4217" s="1" t="s">
        <v>7283</v>
      </c>
      <c r="B4217" s="15" t="s">
        <v>5277</v>
      </c>
      <c r="C4217" s="4" t="s">
        <v>7286</v>
      </c>
      <c r="D4217" s="4" t="s">
        <v>7284</v>
      </c>
      <c r="E4217" s="4" t="s">
        <v>7285</v>
      </c>
      <c r="F4217" s="4" t="s">
        <v>7287</v>
      </c>
      <c r="G4217" s="4" t="s">
        <v>1888</v>
      </c>
      <c r="H4217" s="17">
        <v>1</v>
      </c>
      <c r="I4217" s="18">
        <v>710000000</v>
      </c>
      <c r="J4217" s="4" t="s">
        <v>1931</v>
      </c>
      <c r="K4217" s="4" t="s">
        <v>5706</v>
      </c>
      <c r="L4217" s="4" t="s">
        <v>2985</v>
      </c>
      <c r="M4217" s="1"/>
      <c r="N4217" s="4" t="s">
        <v>1408</v>
      </c>
      <c r="O4217" s="4" t="s">
        <v>6257</v>
      </c>
      <c r="P4217" s="1"/>
      <c r="Q4217" s="4"/>
      <c r="R4217" s="26"/>
      <c r="S4217" s="26"/>
      <c r="T4217" s="26">
        <v>20874600</v>
      </c>
      <c r="U4217" s="26">
        <f t="shared" ref="U4217:U4218" si="2694">T4217*1.12</f>
        <v>23379552.000000004</v>
      </c>
      <c r="V4217" s="11" t="s">
        <v>3182</v>
      </c>
      <c r="W4217" s="11">
        <v>2015</v>
      </c>
      <c r="X4217" s="27"/>
    </row>
    <row r="4218" spans="1:246" s="28" customFormat="1" ht="51" customHeight="1" x14ac:dyDescent="0.2">
      <c r="A4218" s="1" t="s">
        <v>7288</v>
      </c>
      <c r="B4218" s="15" t="s">
        <v>5277</v>
      </c>
      <c r="C4218" s="4" t="s">
        <v>1755</v>
      </c>
      <c r="D4218" s="4" t="s">
        <v>1756</v>
      </c>
      <c r="E4218" s="4" t="s">
        <v>1757</v>
      </c>
      <c r="F4218" s="4" t="s">
        <v>7293</v>
      </c>
      <c r="G4218" s="4" t="s">
        <v>1888</v>
      </c>
      <c r="H4218" s="17">
        <v>1</v>
      </c>
      <c r="I4218" s="18">
        <v>710000000</v>
      </c>
      <c r="J4218" s="4" t="s">
        <v>1931</v>
      </c>
      <c r="K4218" s="4" t="s">
        <v>5706</v>
      </c>
      <c r="L4218" s="4" t="s">
        <v>2985</v>
      </c>
      <c r="M4218" s="1"/>
      <c r="N4218" s="4" t="s">
        <v>1408</v>
      </c>
      <c r="O4218" s="4" t="s">
        <v>6257</v>
      </c>
      <c r="P4218" s="1"/>
      <c r="Q4218" s="4"/>
      <c r="R4218" s="26"/>
      <c r="S4218" s="26"/>
      <c r="T4218" s="26">
        <v>0</v>
      </c>
      <c r="U4218" s="26">
        <f t="shared" si="2694"/>
        <v>0</v>
      </c>
      <c r="V4218" s="11" t="s">
        <v>3182</v>
      </c>
      <c r="W4218" s="11">
        <v>2015</v>
      </c>
      <c r="X4218" s="27" t="s">
        <v>6574</v>
      </c>
    </row>
    <row r="4219" spans="1:246" s="28" customFormat="1" ht="51" customHeight="1" x14ac:dyDescent="0.2">
      <c r="A4219" s="1" t="s">
        <v>7537</v>
      </c>
      <c r="B4219" s="15" t="s">
        <v>5277</v>
      </c>
      <c r="C4219" s="4" t="s">
        <v>1755</v>
      </c>
      <c r="D4219" s="4" t="s">
        <v>1756</v>
      </c>
      <c r="E4219" s="4" t="s">
        <v>1757</v>
      </c>
      <c r="F4219" s="4" t="s">
        <v>7553</v>
      </c>
      <c r="G4219" s="4" t="s">
        <v>1888</v>
      </c>
      <c r="H4219" s="17">
        <v>1</v>
      </c>
      <c r="I4219" s="18">
        <v>710000000</v>
      </c>
      <c r="J4219" s="4" t="s">
        <v>1931</v>
      </c>
      <c r="K4219" s="4" t="s">
        <v>5706</v>
      </c>
      <c r="L4219" s="4" t="s">
        <v>2985</v>
      </c>
      <c r="M4219" s="1"/>
      <c r="N4219" s="4" t="s">
        <v>1408</v>
      </c>
      <c r="O4219" s="4" t="s">
        <v>6257</v>
      </c>
      <c r="P4219" s="1"/>
      <c r="Q4219" s="4"/>
      <c r="R4219" s="26"/>
      <c r="S4219" s="26"/>
      <c r="T4219" s="26">
        <f>2968650+5937300</f>
        <v>8905950</v>
      </c>
      <c r="U4219" s="26">
        <f t="shared" ref="U4219" si="2695">T4219*1.12</f>
        <v>9974664.0000000019</v>
      </c>
      <c r="V4219" s="11" t="s">
        <v>3182</v>
      </c>
      <c r="W4219" s="11">
        <v>2015</v>
      </c>
      <c r="X4219" s="27"/>
    </row>
    <row r="4220" spans="1:246" s="41" customFormat="1" ht="38.25" customHeight="1" x14ac:dyDescent="0.2">
      <c r="A4220" s="42" t="s">
        <v>7307</v>
      </c>
      <c r="B4220" s="43" t="s">
        <v>5277</v>
      </c>
      <c r="C4220" s="44" t="s">
        <v>6439</v>
      </c>
      <c r="D4220" s="44" t="s">
        <v>6361</v>
      </c>
      <c r="E4220" s="44" t="s">
        <v>6362</v>
      </c>
      <c r="F4220" s="44" t="s">
        <v>7306</v>
      </c>
      <c r="G4220" s="44" t="s">
        <v>3190</v>
      </c>
      <c r="H4220" s="45">
        <v>1</v>
      </c>
      <c r="I4220" s="46">
        <v>710000000</v>
      </c>
      <c r="J4220" s="44" t="s">
        <v>1931</v>
      </c>
      <c r="K4220" s="44" t="s">
        <v>5706</v>
      </c>
      <c r="L4220" s="44" t="s">
        <v>2985</v>
      </c>
      <c r="M4220" s="42"/>
      <c r="N4220" s="44" t="s">
        <v>1408</v>
      </c>
      <c r="O4220" s="44" t="s">
        <v>6257</v>
      </c>
      <c r="P4220" s="42"/>
      <c r="Q4220" s="44"/>
      <c r="R4220" s="47"/>
      <c r="S4220" s="47"/>
      <c r="T4220" s="47">
        <v>8928.57</v>
      </c>
      <c r="U4220" s="47">
        <f t="shared" ref="U4220" si="2696">T4220*1.12</f>
        <v>9999.9984000000004</v>
      </c>
      <c r="V4220" s="48" t="s">
        <v>3182</v>
      </c>
      <c r="W4220" s="48">
        <v>2015</v>
      </c>
      <c r="X4220" s="49"/>
    </row>
    <row r="4221" spans="1:246" ht="51" customHeight="1" x14ac:dyDescent="0.2">
      <c r="A4221" s="1" t="s">
        <v>7313</v>
      </c>
      <c r="B4221" s="15" t="s">
        <v>5277</v>
      </c>
      <c r="C4221" s="4" t="s">
        <v>7314</v>
      </c>
      <c r="D4221" s="4" t="s">
        <v>7315</v>
      </c>
      <c r="E4221" s="4" t="s">
        <v>7315</v>
      </c>
      <c r="F4221" s="4" t="s">
        <v>7316</v>
      </c>
      <c r="G4221" s="4" t="s">
        <v>3190</v>
      </c>
      <c r="H4221" s="17">
        <v>1</v>
      </c>
      <c r="I4221" s="18">
        <v>710000000</v>
      </c>
      <c r="J4221" s="4" t="s">
        <v>1931</v>
      </c>
      <c r="K4221" s="4" t="s">
        <v>5292</v>
      </c>
      <c r="L4221" s="4" t="s">
        <v>2985</v>
      </c>
      <c r="M4221" s="1"/>
      <c r="N4221" s="4" t="s">
        <v>1408</v>
      </c>
      <c r="O4221" s="4" t="s">
        <v>6257</v>
      </c>
      <c r="P4221" s="1"/>
      <c r="Q4221" s="4"/>
      <c r="R4221" s="26"/>
      <c r="S4221" s="26"/>
      <c r="T4221" s="26">
        <v>169642.85699999999</v>
      </c>
      <c r="U4221" s="26">
        <f t="shared" ref="U4221:U4222" si="2697">T4221*1.12</f>
        <v>189999.99984</v>
      </c>
      <c r="V4221" s="11" t="s">
        <v>3182</v>
      </c>
      <c r="W4221" s="11">
        <v>2015</v>
      </c>
      <c r="X4221" s="27"/>
    </row>
    <row r="4222" spans="1:246" ht="38.25" customHeight="1" x14ac:dyDescent="0.2">
      <c r="A4222" s="1" t="s">
        <v>7489</v>
      </c>
      <c r="B4222" s="15" t="s">
        <v>5277</v>
      </c>
      <c r="C4222" s="4" t="s">
        <v>7290</v>
      </c>
      <c r="D4222" s="4" t="s">
        <v>7289</v>
      </c>
      <c r="E4222" s="4" t="s">
        <v>7289</v>
      </c>
      <c r="F4222" s="4" t="s">
        <v>7490</v>
      </c>
      <c r="G4222" s="4" t="s">
        <v>1888</v>
      </c>
      <c r="H4222" s="17">
        <v>0.5</v>
      </c>
      <c r="I4222" s="18">
        <v>710000000</v>
      </c>
      <c r="J4222" s="4" t="s">
        <v>1931</v>
      </c>
      <c r="K4222" s="4" t="s">
        <v>5706</v>
      </c>
      <c r="L4222" s="4" t="s">
        <v>1356</v>
      </c>
      <c r="M4222" s="1"/>
      <c r="N4222" s="4" t="s">
        <v>1408</v>
      </c>
      <c r="O4222" s="4" t="s">
        <v>6257</v>
      </c>
      <c r="P4222" s="1"/>
      <c r="Q4222" s="4"/>
      <c r="R4222" s="26"/>
      <c r="S4222" s="26"/>
      <c r="T4222" s="26">
        <v>0</v>
      </c>
      <c r="U4222" s="26">
        <f t="shared" si="2697"/>
        <v>0</v>
      </c>
      <c r="V4222" s="11" t="s">
        <v>3182</v>
      </c>
      <c r="W4222" s="11">
        <v>2015</v>
      </c>
      <c r="X4222" s="27" t="s">
        <v>7582</v>
      </c>
    </row>
    <row r="4223" spans="1:246" ht="51" customHeight="1" x14ac:dyDescent="0.2">
      <c r="A4223" s="1" t="s">
        <v>7583</v>
      </c>
      <c r="B4223" s="15" t="s">
        <v>5277</v>
      </c>
      <c r="C4223" s="4" t="s">
        <v>7290</v>
      </c>
      <c r="D4223" s="4" t="s">
        <v>7289</v>
      </c>
      <c r="E4223" s="4" t="s">
        <v>7289</v>
      </c>
      <c r="F4223" s="4" t="s">
        <v>7584</v>
      </c>
      <c r="G4223" s="4" t="s">
        <v>1888</v>
      </c>
      <c r="H4223" s="17">
        <v>0.5</v>
      </c>
      <c r="I4223" s="18">
        <v>710000000</v>
      </c>
      <c r="J4223" s="4" t="s">
        <v>1931</v>
      </c>
      <c r="K4223" s="4" t="s">
        <v>5292</v>
      </c>
      <c r="L4223" s="4" t="s">
        <v>1356</v>
      </c>
      <c r="M4223" s="1"/>
      <c r="N4223" s="4" t="s">
        <v>1408</v>
      </c>
      <c r="O4223" s="4" t="s">
        <v>6257</v>
      </c>
      <c r="P4223" s="1"/>
      <c r="Q4223" s="4"/>
      <c r="R4223" s="26"/>
      <c r="S4223" s="26"/>
      <c r="T4223" s="26">
        <v>19880509</v>
      </c>
      <c r="U4223" s="26">
        <f t="shared" ref="U4223" si="2698">T4223*1.12</f>
        <v>22266170.080000002</v>
      </c>
      <c r="V4223" s="11" t="s">
        <v>3182</v>
      </c>
      <c r="W4223" s="11">
        <v>2015</v>
      </c>
      <c r="X4223" s="27"/>
    </row>
    <row r="4224" spans="1:246" ht="38.25" customHeight="1" x14ac:dyDescent="0.2">
      <c r="A4224" s="1" t="s">
        <v>7491</v>
      </c>
      <c r="B4224" s="15" t="s">
        <v>5277</v>
      </c>
      <c r="C4224" s="4" t="s">
        <v>7290</v>
      </c>
      <c r="D4224" s="4" t="s">
        <v>7289</v>
      </c>
      <c r="E4224" s="4" t="s">
        <v>7289</v>
      </c>
      <c r="F4224" s="4" t="s">
        <v>7492</v>
      </c>
      <c r="G4224" s="4" t="s">
        <v>1888</v>
      </c>
      <c r="H4224" s="17">
        <v>0.5</v>
      </c>
      <c r="I4224" s="18">
        <v>710000000</v>
      </c>
      <c r="J4224" s="4" t="s">
        <v>1931</v>
      </c>
      <c r="K4224" s="4" t="s">
        <v>5706</v>
      </c>
      <c r="L4224" s="4" t="s">
        <v>1356</v>
      </c>
      <c r="M4224" s="1"/>
      <c r="N4224" s="4" t="s">
        <v>1408</v>
      </c>
      <c r="O4224" s="4" t="s">
        <v>6257</v>
      </c>
      <c r="P4224" s="1"/>
      <c r="Q4224" s="4"/>
      <c r="R4224" s="26"/>
      <c r="S4224" s="26"/>
      <c r="T4224" s="26">
        <v>0</v>
      </c>
      <c r="U4224" s="26">
        <f t="shared" ref="U4224" si="2699">T4224*1.12</f>
        <v>0</v>
      </c>
      <c r="V4224" s="11" t="s">
        <v>3182</v>
      </c>
      <c r="W4224" s="11">
        <v>2015</v>
      </c>
      <c r="X4224" s="27" t="s">
        <v>7582</v>
      </c>
      <c r="Y4224" s="28"/>
      <c r="Z4224" s="28"/>
      <c r="AA4224" s="28"/>
      <c r="AB4224" s="28"/>
      <c r="AC4224" s="28"/>
      <c r="AD4224" s="28"/>
      <c r="AE4224" s="28"/>
      <c r="AF4224" s="28"/>
      <c r="AG4224" s="28"/>
      <c r="AH4224" s="28"/>
      <c r="AI4224" s="28"/>
      <c r="AJ4224" s="28"/>
      <c r="AK4224" s="28"/>
      <c r="AL4224" s="28"/>
      <c r="AM4224" s="28"/>
      <c r="AN4224" s="28"/>
      <c r="AO4224" s="28"/>
      <c r="AP4224" s="28"/>
      <c r="AQ4224" s="28"/>
      <c r="AR4224" s="28"/>
      <c r="AS4224" s="28"/>
      <c r="AT4224" s="28"/>
      <c r="AU4224" s="28"/>
      <c r="AV4224" s="28"/>
      <c r="AW4224" s="28"/>
      <c r="AX4224" s="28"/>
      <c r="AY4224" s="28"/>
      <c r="AZ4224" s="28"/>
      <c r="BA4224" s="28"/>
      <c r="BB4224" s="28"/>
      <c r="BC4224" s="28"/>
      <c r="BD4224" s="28"/>
      <c r="BE4224" s="28"/>
      <c r="BF4224" s="28"/>
      <c r="BG4224" s="28"/>
      <c r="BH4224" s="28"/>
      <c r="BI4224" s="28"/>
      <c r="BJ4224" s="28"/>
      <c r="BK4224" s="28"/>
      <c r="BL4224" s="28"/>
      <c r="BM4224" s="28"/>
      <c r="BN4224" s="28"/>
      <c r="BO4224" s="28"/>
      <c r="BP4224" s="28"/>
      <c r="BQ4224" s="28"/>
      <c r="BR4224" s="28"/>
      <c r="BS4224" s="28"/>
      <c r="BT4224" s="28"/>
      <c r="BU4224" s="28"/>
      <c r="BV4224" s="28"/>
      <c r="BW4224" s="28"/>
      <c r="BX4224" s="28"/>
      <c r="BY4224" s="28"/>
      <c r="BZ4224" s="28"/>
      <c r="CA4224" s="28"/>
      <c r="CB4224" s="28"/>
      <c r="CC4224" s="28"/>
      <c r="CD4224" s="28"/>
      <c r="CE4224" s="28"/>
      <c r="CF4224" s="28"/>
      <c r="CG4224" s="28"/>
      <c r="CH4224" s="28"/>
      <c r="CI4224" s="28"/>
      <c r="CJ4224" s="28"/>
      <c r="CK4224" s="28"/>
      <c r="CL4224" s="28"/>
      <c r="CM4224" s="28"/>
      <c r="CN4224" s="28"/>
      <c r="CO4224" s="28"/>
      <c r="CP4224" s="28"/>
      <c r="CQ4224" s="28"/>
      <c r="CR4224" s="28"/>
      <c r="CS4224" s="28"/>
      <c r="CT4224" s="28"/>
      <c r="CU4224" s="28"/>
      <c r="CV4224" s="28"/>
      <c r="CW4224" s="28"/>
      <c r="CX4224" s="28"/>
      <c r="CY4224" s="28"/>
      <c r="CZ4224" s="28"/>
      <c r="DA4224" s="28"/>
      <c r="DB4224" s="28"/>
      <c r="DC4224" s="28"/>
      <c r="DD4224" s="28"/>
      <c r="DE4224" s="28"/>
      <c r="DF4224" s="28"/>
      <c r="DG4224" s="28"/>
      <c r="DH4224" s="28"/>
      <c r="DI4224" s="28"/>
      <c r="DJ4224" s="28"/>
      <c r="DK4224" s="28"/>
      <c r="DL4224" s="28"/>
      <c r="DM4224" s="28"/>
      <c r="DN4224" s="28"/>
      <c r="DO4224" s="28"/>
      <c r="DP4224" s="28"/>
      <c r="DQ4224" s="28"/>
      <c r="DR4224" s="28"/>
      <c r="DS4224" s="28"/>
      <c r="DT4224" s="28"/>
      <c r="DU4224" s="28"/>
      <c r="DV4224" s="28"/>
      <c r="DW4224" s="28"/>
      <c r="DX4224" s="28"/>
      <c r="DY4224" s="28"/>
      <c r="DZ4224" s="28"/>
      <c r="EA4224" s="28"/>
      <c r="EB4224" s="28"/>
      <c r="EC4224" s="28"/>
      <c r="ED4224" s="28"/>
      <c r="EE4224" s="28"/>
      <c r="EF4224" s="28"/>
      <c r="EG4224" s="28"/>
      <c r="EH4224" s="28"/>
      <c r="EI4224" s="28"/>
      <c r="EJ4224" s="28"/>
      <c r="EK4224" s="28"/>
      <c r="EL4224" s="28"/>
      <c r="EM4224" s="28"/>
      <c r="EN4224" s="28"/>
      <c r="EO4224" s="28"/>
      <c r="EP4224" s="28"/>
      <c r="EQ4224" s="28"/>
      <c r="ER4224" s="28"/>
      <c r="ES4224" s="28"/>
      <c r="ET4224" s="28"/>
      <c r="EU4224" s="28"/>
      <c r="EV4224" s="28"/>
      <c r="EW4224" s="28"/>
      <c r="EX4224" s="28"/>
      <c r="EY4224" s="28"/>
      <c r="EZ4224" s="28"/>
      <c r="FA4224" s="28"/>
      <c r="FB4224" s="28"/>
      <c r="FC4224" s="28"/>
      <c r="FD4224" s="28"/>
      <c r="FE4224" s="28"/>
      <c r="FF4224" s="28"/>
      <c r="FG4224" s="28"/>
      <c r="FH4224" s="28"/>
      <c r="FI4224" s="28"/>
      <c r="FJ4224" s="28"/>
      <c r="FK4224" s="28"/>
      <c r="FL4224" s="28"/>
      <c r="FM4224" s="28"/>
      <c r="FN4224" s="28"/>
      <c r="FO4224" s="28"/>
      <c r="FP4224" s="28"/>
      <c r="FQ4224" s="28"/>
      <c r="FR4224" s="28"/>
      <c r="FS4224" s="28"/>
      <c r="FT4224" s="28"/>
      <c r="FU4224" s="28"/>
      <c r="FV4224" s="28"/>
      <c r="FW4224" s="28"/>
      <c r="FX4224" s="28"/>
      <c r="FY4224" s="28"/>
      <c r="FZ4224" s="28"/>
      <c r="GA4224" s="28"/>
      <c r="GB4224" s="28"/>
      <c r="GC4224" s="28"/>
      <c r="GD4224" s="28"/>
      <c r="GE4224" s="28"/>
      <c r="GF4224" s="28"/>
      <c r="GG4224" s="28"/>
      <c r="GH4224" s="28"/>
      <c r="GI4224" s="28"/>
      <c r="GJ4224" s="28"/>
      <c r="GK4224" s="28"/>
      <c r="GL4224" s="28"/>
      <c r="GM4224" s="28"/>
      <c r="GN4224" s="28"/>
      <c r="GO4224" s="28"/>
      <c r="GP4224" s="28"/>
      <c r="GQ4224" s="28"/>
      <c r="GR4224" s="28"/>
      <c r="GS4224" s="28"/>
      <c r="GT4224" s="28"/>
      <c r="GU4224" s="28"/>
      <c r="GV4224" s="28"/>
      <c r="GW4224" s="28"/>
      <c r="GX4224" s="28"/>
      <c r="GY4224" s="28"/>
      <c r="GZ4224" s="28"/>
      <c r="HA4224" s="28"/>
      <c r="HB4224" s="28"/>
      <c r="HC4224" s="28"/>
      <c r="HD4224" s="28"/>
      <c r="HE4224" s="28"/>
      <c r="HF4224" s="28"/>
      <c r="HG4224" s="28"/>
      <c r="HH4224" s="28"/>
      <c r="HI4224" s="28"/>
      <c r="HJ4224" s="28"/>
      <c r="HK4224" s="28"/>
      <c r="HL4224" s="28"/>
      <c r="HM4224" s="28"/>
      <c r="HN4224" s="28"/>
      <c r="HO4224" s="28"/>
      <c r="HP4224" s="28"/>
      <c r="HQ4224" s="28"/>
      <c r="HR4224" s="28"/>
      <c r="HS4224" s="28"/>
      <c r="HT4224" s="28"/>
      <c r="HU4224" s="28"/>
      <c r="HV4224" s="28"/>
      <c r="HW4224" s="28"/>
      <c r="HX4224" s="28"/>
      <c r="HY4224" s="28"/>
      <c r="HZ4224" s="28"/>
      <c r="IA4224" s="28"/>
      <c r="IB4224" s="28"/>
      <c r="IC4224" s="28"/>
      <c r="ID4224" s="28"/>
      <c r="IE4224" s="28"/>
      <c r="IF4224" s="28"/>
      <c r="IG4224" s="28"/>
      <c r="IH4224" s="28"/>
      <c r="II4224" s="28"/>
      <c r="IJ4224" s="28"/>
      <c r="IK4224" s="28"/>
      <c r="IL4224" s="28"/>
    </row>
    <row r="4225" spans="1:246" ht="53.25" customHeight="1" x14ac:dyDescent="0.2">
      <c r="A4225" s="1" t="s">
        <v>7585</v>
      </c>
      <c r="B4225" s="15" t="s">
        <v>5277</v>
      </c>
      <c r="C4225" s="4" t="s">
        <v>7290</v>
      </c>
      <c r="D4225" s="4" t="s">
        <v>7289</v>
      </c>
      <c r="E4225" s="4" t="s">
        <v>7289</v>
      </c>
      <c r="F4225" s="4" t="s">
        <v>7586</v>
      </c>
      <c r="G4225" s="4" t="s">
        <v>1888</v>
      </c>
      <c r="H4225" s="17">
        <v>0.5</v>
      </c>
      <c r="I4225" s="18">
        <v>710000000</v>
      </c>
      <c r="J4225" s="4" t="s">
        <v>1931</v>
      </c>
      <c r="K4225" s="4" t="s">
        <v>5292</v>
      </c>
      <c r="L4225" s="4" t="s">
        <v>1356</v>
      </c>
      <c r="M4225" s="1"/>
      <c r="N4225" s="4" t="s">
        <v>1408</v>
      </c>
      <c r="O4225" s="4" t="s">
        <v>6257</v>
      </c>
      <c r="P4225" s="1"/>
      <c r="Q4225" s="4"/>
      <c r="R4225" s="26"/>
      <c r="S4225" s="26"/>
      <c r="T4225" s="26">
        <v>0</v>
      </c>
      <c r="U4225" s="26">
        <f t="shared" ref="U4225" si="2700">T4225*1.12</f>
        <v>0</v>
      </c>
      <c r="V4225" s="11" t="s">
        <v>3182</v>
      </c>
      <c r="W4225" s="11">
        <v>2015</v>
      </c>
      <c r="X4225" s="27" t="s">
        <v>7312</v>
      </c>
      <c r="Y4225" s="28"/>
      <c r="Z4225" s="28"/>
      <c r="AA4225" s="28"/>
      <c r="AB4225" s="28"/>
      <c r="AC4225" s="28"/>
      <c r="AD4225" s="28"/>
      <c r="AE4225" s="28"/>
      <c r="AF4225" s="28"/>
      <c r="AG4225" s="28"/>
      <c r="AH4225" s="28"/>
      <c r="AI4225" s="28"/>
      <c r="AJ4225" s="28"/>
      <c r="AK4225" s="28"/>
      <c r="AL4225" s="28"/>
      <c r="AM4225" s="28"/>
      <c r="AN4225" s="28"/>
      <c r="AO4225" s="28"/>
      <c r="AP4225" s="28"/>
      <c r="AQ4225" s="28"/>
      <c r="AR4225" s="28"/>
      <c r="AS4225" s="28"/>
      <c r="AT4225" s="28"/>
      <c r="AU4225" s="28"/>
      <c r="AV4225" s="28"/>
      <c r="AW4225" s="28"/>
      <c r="AX4225" s="28"/>
      <c r="AY4225" s="28"/>
      <c r="AZ4225" s="28"/>
      <c r="BA4225" s="28"/>
      <c r="BB4225" s="28"/>
      <c r="BC4225" s="28"/>
      <c r="BD4225" s="28"/>
      <c r="BE4225" s="28"/>
      <c r="BF4225" s="28"/>
      <c r="BG4225" s="28"/>
      <c r="BH4225" s="28"/>
      <c r="BI4225" s="28"/>
      <c r="BJ4225" s="28"/>
      <c r="BK4225" s="28"/>
      <c r="BL4225" s="28"/>
      <c r="BM4225" s="28"/>
      <c r="BN4225" s="28"/>
      <c r="BO4225" s="28"/>
      <c r="BP4225" s="28"/>
      <c r="BQ4225" s="28"/>
      <c r="BR4225" s="28"/>
      <c r="BS4225" s="28"/>
      <c r="BT4225" s="28"/>
      <c r="BU4225" s="28"/>
      <c r="BV4225" s="28"/>
      <c r="BW4225" s="28"/>
      <c r="BX4225" s="28"/>
      <c r="BY4225" s="28"/>
      <c r="BZ4225" s="28"/>
      <c r="CA4225" s="28"/>
      <c r="CB4225" s="28"/>
      <c r="CC4225" s="28"/>
      <c r="CD4225" s="28"/>
      <c r="CE4225" s="28"/>
      <c r="CF4225" s="28"/>
      <c r="CG4225" s="28"/>
      <c r="CH4225" s="28"/>
      <c r="CI4225" s="28"/>
      <c r="CJ4225" s="28"/>
      <c r="CK4225" s="28"/>
      <c r="CL4225" s="28"/>
      <c r="CM4225" s="28"/>
      <c r="CN4225" s="28"/>
      <c r="CO4225" s="28"/>
      <c r="CP4225" s="28"/>
      <c r="CQ4225" s="28"/>
      <c r="CR4225" s="28"/>
      <c r="CS4225" s="28"/>
      <c r="CT4225" s="28"/>
      <c r="CU4225" s="28"/>
      <c r="CV4225" s="28"/>
      <c r="CW4225" s="28"/>
      <c r="CX4225" s="28"/>
      <c r="CY4225" s="28"/>
      <c r="CZ4225" s="28"/>
      <c r="DA4225" s="28"/>
      <c r="DB4225" s="28"/>
      <c r="DC4225" s="28"/>
      <c r="DD4225" s="28"/>
      <c r="DE4225" s="28"/>
      <c r="DF4225" s="28"/>
      <c r="DG4225" s="28"/>
      <c r="DH4225" s="28"/>
      <c r="DI4225" s="28"/>
      <c r="DJ4225" s="28"/>
      <c r="DK4225" s="28"/>
      <c r="DL4225" s="28"/>
      <c r="DM4225" s="28"/>
      <c r="DN4225" s="28"/>
      <c r="DO4225" s="28"/>
      <c r="DP4225" s="28"/>
      <c r="DQ4225" s="28"/>
      <c r="DR4225" s="28"/>
      <c r="DS4225" s="28"/>
      <c r="DT4225" s="28"/>
      <c r="DU4225" s="28"/>
      <c r="DV4225" s="28"/>
      <c r="DW4225" s="28"/>
      <c r="DX4225" s="28"/>
      <c r="DY4225" s="28"/>
      <c r="DZ4225" s="28"/>
      <c r="EA4225" s="28"/>
      <c r="EB4225" s="28"/>
      <c r="EC4225" s="28"/>
      <c r="ED4225" s="28"/>
      <c r="EE4225" s="28"/>
      <c r="EF4225" s="28"/>
      <c r="EG4225" s="28"/>
      <c r="EH4225" s="28"/>
      <c r="EI4225" s="28"/>
      <c r="EJ4225" s="28"/>
      <c r="EK4225" s="28"/>
      <c r="EL4225" s="28"/>
      <c r="EM4225" s="28"/>
      <c r="EN4225" s="28"/>
      <c r="EO4225" s="28"/>
      <c r="EP4225" s="28"/>
      <c r="EQ4225" s="28"/>
      <c r="ER4225" s="28"/>
      <c r="ES4225" s="28"/>
      <c r="ET4225" s="28"/>
      <c r="EU4225" s="28"/>
      <c r="EV4225" s="28"/>
      <c r="EW4225" s="28"/>
      <c r="EX4225" s="28"/>
      <c r="EY4225" s="28"/>
      <c r="EZ4225" s="28"/>
      <c r="FA4225" s="28"/>
      <c r="FB4225" s="28"/>
      <c r="FC4225" s="28"/>
      <c r="FD4225" s="28"/>
      <c r="FE4225" s="28"/>
      <c r="FF4225" s="28"/>
      <c r="FG4225" s="28"/>
      <c r="FH4225" s="28"/>
      <c r="FI4225" s="28"/>
      <c r="FJ4225" s="28"/>
      <c r="FK4225" s="28"/>
      <c r="FL4225" s="28"/>
      <c r="FM4225" s="28"/>
      <c r="FN4225" s="28"/>
      <c r="FO4225" s="28"/>
      <c r="FP4225" s="28"/>
      <c r="FQ4225" s="28"/>
      <c r="FR4225" s="28"/>
      <c r="FS4225" s="28"/>
      <c r="FT4225" s="28"/>
      <c r="FU4225" s="28"/>
      <c r="FV4225" s="28"/>
      <c r="FW4225" s="28"/>
      <c r="FX4225" s="28"/>
      <c r="FY4225" s="28"/>
      <c r="FZ4225" s="28"/>
      <c r="GA4225" s="28"/>
      <c r="GB4225" s="28"/>
      <c r="GC4225" s="28"/>
      <c r="GD4225" s="28"/>
      <c r="GE4225" s="28"/>
      <c r="GF4225" s="28"/>
      <c r="GG4225" s="28"/>
      <c r="GH4225" s="28"/>
      <c r="GI4225" s="28"/>
      <c r="GJ4225" s="28"/>
      <c r="GK4225" s="28"/>
      <c r="GL4225" s="28"/>
      <c r="GM4225" s="28"/>
      <c r="GN4225" s="28"/>
      <c r="GO4225" s="28"/>
      <c r="GP4225" s="28"/>
      <c r="GQ4225" s="28"/>
      <c r="GR4225" s="28"/>
      <c r="GS4225" s="28"/>
      <c r="GT4225" s="28"/>
      <c r="GU4225" s="28"/>
      <c r="GV4225" s="28"/>
      <c r="GW4225" s="28"/>
      <c r="GX4225" s="28"/>
      <c r="GY4225" s="28"/>
      <c r="GZ4225" s="28"/>
      <c r="HA4225" s="28"/>
      <c r="HB4225" s="28"/>
      <c r="HC4225" s="28"/>
      <c r="HD4225" s="28"/>
      <c r="HE4225" s="28"/>
      <c r="HF4225" s="28"/>
      <c r="HG4225" s="28"/>
      <c r="HH4225" s="28"/>
      <c r="HI4225" s="28"/>
      <c r="HJ4225" s="28"/>
      <c r="HK4225" s="28"/>
      <c r="HL4225" s="28"/>
      <c r="HM4225" s="28"/>
      <c r="HN4225" s="28"/>
      <c r="HO4225" s="28"/>
      <c r="HP4225" s="28"/>
      <c r="HQ4225" s="28"/>
      <c r="HR4225" s="28"/>
      <c r="HS4225" s="28"/>
      <c r="HT4225" s="28"/>
      <c r="HU4225" s="28"/>
      <c r="HV4225" s="28"/>
      <c r="HW4225" s="28"/>
      <c r="HX4225" s="28"/>
      <c r="HY4225" s="28"/>
      <c r="HZ4225" s="28"/>
      <c r="IA4225" s="28"/>
      <c r="IB4225" s="28"/>
      <c r="IC4225" s="28"/>
      <c r="ID4225" s="28"/>
      <c r="IE4225" s="28"/>
      <c r="IF4225" s="28"/>
      <c r="IG4225" s="28"/>
      <c r="IH4225" s="28"/>
      <c r="II4225" s="28"/>
      <c r="IJ4225" s="28"/>
      <c r="IK4225" s="28"/>
      <c r="IL4225" s="28"/>
    </row>
    <row r="4226" spans="1:246" ht="57.75" customHeight="1" x14ac:dyDescent="0.2">
      <c r="A4226" s="1" t="s">
        <v>9547</v>
      </c>
      <c r="B4226" s="15" t="s">
        <v>5277</v>
      </c>
      <c r="C4226" s="4" t="s">
        <v>7290</v>
      </c>
      <c r="D4226" s="4" t="s">
        <v>7289</v>
      </c>
      <c r="E4226" s="4" t="s">
        <v>7289</v>
      </c>
      <c r="F4226" s="4" t="s">
        <v>7586</v>
      </c>
      <c r="G4226" s="4" t="s">
        <v>1888</v>
      </c>
      <c r="H4226" s="17">
        <v>0.5</v>
      </c>
      <c r="I4226" s="18">
        <v>710000000</v>
      </c>
      <c r="J4226" s="4" t="s">
        <v>1931</v>
      </c>
      <c r="K4226" s="4" t="s">
        <v>9508</v>
      </c>
      <c r="L4226" s="4" t="s">
        <v>1356</v>
      </c>
      <c r="M4226" s="1"/>
      <c r="N4226" s="4" t="s">
        <v>1408</v>
      </c>
      <c r="O4226" s="4" t="s">
        <v>6257</v>
      </c>
      <c r="P4226" s="1"/>
      <c r="Q4226" s="4"/>
      <c r="R4226" s="26"/>
      <c r="S4226" s="26"/>
      <c r="T4226" s="26">
        <f>7232000+7000000</f>
        <v>14232000</v>
      </c>
      <c r="U4226" s="26">
        <f t="shared" ref="U4226" si="2701">T4226*1.12</f>
        <v>15939840.000000002</v>
      </c>
      <c r="V4226" s="11" t="s">
        <v>3182</v>
      </c>
      <c r="W4226" s="11">
        <v>2015</v>
      </c>
      <c r="X4226" s="27"/>
      <c r="Y4226" s="28"/>
      <c r="Z4226" s="28"/>
      <c r="AA4226" s="28"/>
      <c r="AB4226" s="28"/>
      <c r="AC4226" s="28"/>
      <c r="AD4226" s="28"/>
      <c r="AE4226" s="28"/>
      <c r="AF4226" s="28"/>
      <c r="AG4226" s="28"/>
      <c r="AH4226" s="28"/>
      <c r="AI4226" s="28"/>
      <c r="AJ4226" s="28"/>
      <c r="AK4226" s="28"/>
      <c r="AL4226" s="28"/>
      <c r="AM4226" s="28"/>
      <c r="AN4226" s="28"/>
      <c r="AO4226" s="28"/>
      <c r="AP4226" s="28"/>
      <c r="AQ4226" s="28"/>
      <c r="AR4226" s="28"/>
      <c r="AS4226" s="28"/>
      <c r="AT4226" s="28"/>
      <c r="AU4226" s="28"/>
      <c r="AV4226" s="28"/>
      <c r="AW4226" s="28"/>
      <c r="AX4226" s="28"/>
      <c r="AY4226" s="28"/>
      <c r="AZ4226" s="28"/>
      <c r="BA4226" s="28"/>
      <c r="BB4226" s="28"/>
      <c r="BC4226" s="28"/>
      <c r="BD4226" s="28"/>
      <c r="BE4226" s="28"/>
      <c r="BF4226" s="28"/>
      <c r="BG4226" s="28"/>
      <c r="BH4226" s="28"/>
      <c r="BI4226" s="28"/>
      <c r="BJ4226" s="28"/>
      <c r="BK4226" s="28"/>
      <c r="BL4226" s="28"/>
      <c r="BM4226" s="28"/>
      <c r="BN4226" s="28"/>
      <c r="BO4226" s="28"/>
      <c r="BP4226" s="28"/>
      <c r="BQ4226" s="28"/>
      <c r="BR4226" s="28"/>
      <c r="BS4226" s="28"/>
      <c r="BT4226" s="28"/>
      <c r="BU4226" s="28"/>
      <c r="BV4226" s="28"/>
      <c r="BW4226" s="28"/>
      <c r="BX4226" s="28"/>
      <c r="BY4226" s="28"/>
      <c r="BZ4226" s="28"/>
      <c r="CA4226" s="28"/>
      <c r="CB4226" s="28"/>
      <c r="CC4226" s="28"/>
      <c r="CD4226" s="28"/>
      <c r="CE4226" s="28"/>
      <c r="CF4226" s="28"/>
      <c r="CG4226" s="28"/>
      <c r="CH4226" s="28"/>
      <c r="CI4226" s="28"/>
      <c r="CJ4226" s="28"/>
      <c r="CK4226" s="28"/>
      <c r="CL4226" s="28"/>
      <c r="CM4226" s="28"/>
      <c r="CN4226" s="28"/>
      <c r="CO4226" s="28"/>
      <c r="CP4226" s="28"/>
      <c r="CQ4226" s="28"/>
      <c r="CR4226" s="28"/>
      <c r="CS4226" s="28"/>
      <c r="CT4226" s="28"/>
      <c r="CU4226" s="28"/>
      <c r="CV4226" s="28"/>
      <c r="CW4226" s="28"/>
      <c r="CX4226" s="28"/>
      <c r="CY4226" s="28"/>
      <c r="CZ4226" s="28"/>
      <c r="DA4226" s="28"/>
      <c r="DB4226" s="28"/>
      <c r="DC4226" s="28"/>
      <c r="DD4226" s="28"/>
      <c r="DE4226" s="28"/>
      <c r="DF4226" s="28"/>
      <c r="DG4226" s="28"/>
      <c r="DH4226" s="28"/>
      <c r="DI4226" s="28"/>
      <c r="DJ4226" s="28"/>
      <c r="DK4226" s="28"/>
      <c r="DL4226" s="28"/>
      <c r="DM4226" s="28"/>
      <c r="DN4226" s="28"/>
      <c r="DO4226" s="28"/>
      <c r="DP4226" s="28"/>
      <c r="DQ4226" s="28"/>
      <c r="DR4226" s="28"/>
      <c r="DS4226" s="28"/>
      <c r="DT4226" s="28"/>
      <c r="DU4226" s="28"/>
      <c r="DV4226" s="28"/>
      <c r="DW4226" s="28"/>
      <c r="DX4226" s="28"/>
      <c r="DY4226" s="28"/>
      <c r="DZ4226" s="28"/>
      <c r="EA4226" s="28"/>
      <c r="EB4226" s="28"/>
      <c r="EC4226" s="28"/>
      <c r="ED4226" s="28"/>
      <c r="EE4226" s="28"/>
      <c r="EF4226" s="28"/>
      <c r="EG4226" s="28"/>
      <c r="EH4226" s="28"/>
      <c r="EI4226" s="28"/>
      <c r="EJ4226" s="28"/>
      <c r="EK4226" s="28"/>
      <c r="EL4226" s="28"/>
      <c r="EM4226" s="28"/>
      <c r="EN4226" s="28"/>
      <c r="EO4226" s="28"/>
      <c r="EP4226" s="28"/>
      <c r="EQ4226" s="28"/>
      <c r="ER4226" s="28"/>
      <c r="ES4226" s="28"/>
      <c r="ET4226" s="28"/>
      <c r="EU4226" s="28"/>
      <c r="EV4226" s="28"/>
      <c r="EW4226" s="28"/>
      <c r="EX4226" s="28"/>
      <c r="EY4226" s="28"/>
      <c r="EZ4226" s="28"/>
      <c r="FA4226" s="28"/>
      <c r="FB4226" s="28"/>
      <c r="FC4226" s="28"/>
      <c r="FD4226" s="28"/>
      <c r="FE4226" s="28"/>
      <c r="FF4226" s="28"/>
      <c r="FG4226" s="28"/>
      <c r="FH4226" s="28"/>
      <c r="FI4226" s="28"/>
      <c r="FJ4226" s="28"/>
      <c r="FK4226" s="28"/>
      <c r="FL4226" s="28"/>
      <c r="FM4226" s="28"/>
      <c r="FN4226" s="28"/>
      <c r="FO4226" s="28"/>
      <c r="FP4226" s="28"/>
      <c r="FQ4226" s="28"/>
      <c r="FR4226" s="28"/>
      <c r="FS4226" s="28"/>
      <c r="FT4226" s="28"/>
      <c r="FU4226" s="28"/>
      <c r="FV4226" s="28"/>
      <c r="FW4226" s="28"/>
      <c r="FX4226" s="28"/>
      <c r="FY4226" s="28"/>
      <c r="FZ4226" s="28"/>
      <c r="GA4226" s="28"/>
      <c r="GB4226" s="28"/>
      <c r="GC4226" s="28"/>
      <c r="GD4226" s="28"/>
      <c r="GE4226" s="28"/>
      <c r="GF4226" s="28"/>
      <c r="GG4226" s="28"/>
      <c r="GH4226" s="28"/>
      <c r="GI4226" s="28"/>
      <c r="GJ4226" s="28"/>
      <c r="GK4226" s="28"/>
      <c r="GL4226" s="28"/>
      <c r="GM4226" s="28"/>
      <c r="GN4226" s="28"/>
      <c r="GO4226" s="28"/>
      <c r="GP4226" s="28"/>
      <c r="GQ4226" s="28"/>
      <c r="GR4226" s="28"/>
      <c r="GS4226" s="28"/>
      <c r="GT4226" s="28"/>
      <c r="GU4226" s="28"/>
      <c r="GV4226" s="28"/>
      <c r="GW4226" s="28"/>
      <c r="GX4226" s="28"/>
      <c r="GY4226" s="28"/>
      <c r="GZ4226" s="28"/>
      <c r="HA4226" s="28"/>
      <c r="HB4226" s="28"/>
      <c r="HC4226" s="28"/>
      <c r="HD4226" s="28"/>
      <c r="HE4226" s="28"/>
      <c r="HF4226" s="28"/>
      <c r="HG4226" s="28"/>
      <c r="HH4226" s="28"/>
      <c r="HI4226" s="28"/>
      <c r="HJ4226" s="28"/>
      <c r="HK4226" s="28"/>
      <c r="HL4226" s="28"/>
      <c r="HM4226" s="28"/>
      <c r="HN4226" s="28"/>
      <c r="HO4226" s="28"/>
      <c r="HP4226" s="28"/>
      <c r="HQ4226" s="28"/>
      <c r="HR4226" s="28"/>
      <c r="HS4226" s="28"/>
      <c r="HT4226" s="28"/>
      <c r="HU4226" s="28"/>
      <c r="HV4226" s="28"/>
      <c r="HW4226" s="28"/>
      <c r="HX4226" s="28"/>
      <c r="HY4226" s="28"/>
      <c r="HZ4226" s="28"/>
      <c r="IA4226" s="28"/>
      <c r="IB4226" s="28"/>
      <c r="IC4226" s="28"/>
      <c r="ID4226" s="28"/>
      <c r="IE4226" s="28"/>
      <c r="IF4226" s="28"/>
      <c r="IG4226" s="28"/>
      <c r="IH4226" s="28"/>
      <c r="II4226" s="28"/>
      <c r="IJ4226" s="28"/>
      <c r="IK4226" s="28"/>
      <c r="IL4226" s="28"/>
    </row>
    <row r="4227" spans="1:246" ht="38.25" customHeight="1" x14ac:dyDescent="0.2">
      <c r="A4227" s="1" t="s">
        <v>7493</v>
      </c>
      <c r="B4227" s="15" t="s">
        <v>5277</v>
      </c>
      <c r="C4227" s="4" t="s">
        <v>7290</v>
      </c>
      <c r="D4227" s="4" t="s">
        <v>7289</v>
      </c>
      <c r="E4227" s="4" t="s">
        <v>7289</v>
      </c>
      <c r="F4227" s="4" t="s">
        <v>7494</v>
      </c>
      <c r="G4227" s="4" t="s">
        <v>1888</v>
      </c>
      <c r="H4227" s="17">
        <v>0.5</v>
      </c>
      <c r="I4227" s="18">
        <v>710000000</v>
      </c>
      <c r="J4227" s="4" t="s">
        <v>1931</v>
      </c>
      <c r="K4227" s="4" t="s">
        <v>5706</v>
      </c>
      <c r="L4227" s="4" t="s">
        <v>1356</v>
      </c>
      <c r="M4227" s="1"/>
      <c r="N4227" s="4" t="s">
        <v>1408</v>
      </c>
      <c r="O4227" s="4" t="s">
        <v>6257</v>
      </c>
      <c r="P4227" s="1"/>
      <c r="Q4227" s="4"/>
      <c r="R4227" s="26"/>
      <c r="S4227" s="26"/>
      <c r="T4227" s="26">
        <v>0</v>
      </c>
      <c r="U4227" s="26">
        <f t="shared" ref="U4227" si="2702">T4227*1.12</f>
        <v>0</v>
      </c>
      <c r="V4227" s="11" t="s">
        <v>3182</v>
      </c>
      <c r="W4227" s="11">
        <v>2015</v>
      </c>
      <c r="X4227" s="27" t="s">
        <v>7582</v>
      </c>
    </row>
    <row r="4228" spans="1:246" ht="51" customHeight="1" x14ac:dyDescent="0.2">
      <c r="A4228" s="1" t="s">
        <v>7587</v>
      </c>
      <c r="B4228" s="15" t="s">
        <v>5277</v>
      </c>
      <c r="C4228" s="4" t="s">
        <v>7290</v>
      </c>
      <c r="D4228" s="4" t="s">
        <v>7289</v>
      </c>
      <c r="E4228" s="4" t="s">
        <v>7289</v>
      </c>
      <c r="F4228" s="4" t="s">
        <v>7588</v>
      </c>
      <c r="G4228" s="4" t="s">
        <v>1888</v>
      </c>
      <c r="H4228" s="17">
        <v>0.5</v>
      </c>
      <c r="I4228" s="18">
        <v>710000000</v>
      </c>
      <c r="J4228" s="4" t="s">
        <v>1931</v>
      </c>
      <c r="K4228" s="4" t="s">
        <v>5292</v>
      </c>
      <c r="L4228" s="4" t="s">
        <v>1356</v>
      </c>
      <c r="M4228" s="1"/>
      <c r="N4228" s="4" t="s">
        <v>1408</v>
      </c>
      <c r="O4228" s="4" t="s">
        <v>6257</v>
      </c>
      <c r="P4228" s="1"/>
      <c r="Q4228" s="4"/>
      <c r="R4228" s="26"/>
      <c r="S4228" s="26"/>
      <c r="T4228" s="26">
        <v>3177000</v>
      </c>
      <c r="U4228" s="26">
        <f t="shared" ref="U4228" si="2703">T4228*1.12</f>
        <v>3558240.0000000005</v>
      </c>
      <c r="V4228" s="11" t="s">
        <v>3182</v>
      </c>
      <c r="W4228" s="11">
        <v>2015</v>
      </c>
      <c r="X4228" s="27"/>
    </row>
    <row r="4229" spans="1:246" ht="63.75" customHeight="1" x14ac:dyDescent="0.2">
      <c r="A4229" s="1" t="s">
        <v>7519</v>
      </c>
      <c r="B4229" s="15" t="s">
        <v>5277</v>
      </c>
      <c r="C4229" s="4" t="s">
        <v>7520</v>
      </c>
      <c r="D4229" s="4" t="s">
        <v>7521</v>
      </c>
      <c r="E4229" s="4" t="s">
        <v>7522</v>
      </c>
      <c r="F4229" s="4"/>
      <c r="G4229" s="4" t="s">
        <v>3190</v>
      </c>
      <c r="H4229" s="17">
        <v>1</v>
      </c>
      <c r="I4229" s="18">
        <v>710000000</v>
      </c>
      <c r="J4229" s="4" t="s">
        <v>1931</v>
      </c>
      <c r="K4229" s="4" t="s">
        <v>5292</v>
      </c>
      <c r="L4229" s="4" t="s">
        <v>2985</v>
      </c>
      <c r="M4229" s="1"/>
      <c r="N4229" s="4" t="s">
        <v>1408</v>
      </c>
      <c r="O4229" s="4" t="s">
        <v>6257</v>
      </c>
      <c r="P4229" s="1"/>
      <c r="Q4229" s="4"/>
      <c r="R4229" s="26"/>
      <c r="S4229" s="26"/>
      <c r="T4229" s="26">
        <v>1393240.26</v>
      </c>
      <c r="U4229" s="26">
        <f t="shared" ref="U4229" si="2704">T4229*1.12</f>
        <v>1560429.0912000001</v>
      </c>
      <c r="V4229" s="11" t="s">
        <v>3182</v>
      </c>
      <c r="W4229" s="11">
        <v>2015</v>
      </c>
      <c r="X4229" s="27"/>
    </row>
    <row r="4230" spans="1:246" ht="51" customHeight="1" x14ac:dyDescent="0.2">
      <c r="A4230" s="1" t="s">
        <v>8356</v>
      </c>
      <c r="B4230" s="15" t="s">
        <v>5277</v>
      </c>
      <c r="C4230" s="4" t="s">
        <v>8357</v>
      </c>
      <c r="D4230" s="4" t="s">
        <v>8358</v>
      </c>
      <c r="E4230" s="4" t="s">
        <v>8358</v>
      </c>
      <c r="F4230" s="4"/>
      <c r="G4230" s="4" t="s">
        <v>3190</v>
      </c>
      <c r="H4230" s="17">
        <v>1</v>
      </c>
      <c r="I4230" s="18">
        <v>710000000</v>
      </c>
      <c r="J4230" s="4" t="s">
        <v>1931</v>
      </c>
      <c r="K4230" s="4" t="s">
        <v>756</v>
      </c>
      <c r="L4230" s="4" t="s">
        <v>2985</v>
      </c>
      <c r="M4230" s="1"/>
      <c r="N4230" s="4" t="s">
        <v>1408</v>
      </c>
      <c r="O4230" s="4" t="s">
        <v>6257</v>
      </c>
      <c r="P4230" s="1"/>
      <c r="Q4230" s="4"/>
      <c r="R4230" s="26"/>
      <c r="S4230" s="26"/>
      <c r="T4230" s="26">
        <v>12321.4285</v>
      </c>
      <c r="U4230" s="26">
        <f t="shared" ref="U4230" si="2705">T4230*1.12</f>
        <v>13799.999920000002</v>
      </c>
      <c r="V4230" s="11" t="s">
        <v>3182</v>
      </c>
      <c r="W4230" s="11">
        <v>2015</v>
      </c>
      <c r="X4230" s="27"/>
    </row>
    <row r="4231" spans="1:246" ht="38.25" customHeight="1" x14ac:dyDescent="0.2">
      <c r="A4231" s="1" t="s">
        <v>8420</v>
      </c>
      <c r="B4231" s="4" t="s">
        <v>5277</v>
      </c>
      <c r="C4231" s="4" t="s">
        <v>8421</v>
      </c>
      <c r="D4231" s="4" t="s">
        <v>8422</v>
      </c>
      <c r="E4231" s="83" t="s">
        <v>8422</v>
      </c>
      <c r="F4231" s="4" t="s">
        <v>8423</v>
      </c>
      <c r="G4231" s="4" t="s">
        <v>3190</v>
      </c>
      <c r="H4231" s="17">
        <v>1</v>
      </c>
      <c r="I4231" s="18">
        <v>710000000</v>
      </c>
      <c r="J4231" s="4" t="s">
        <v>1931</v>
      </c>
      <c r="K4231" s="4" t="s">
        <v>6167</v>
      </c>
      <c r="L4231" s="4" t="s">
        <v>1931</v>
      </c>
      <c r="M4231" s="1"/>
      <c r="N4231" s="4" t="s">
        <v>1408</v>
      </c>
      <c r="O4231" s="4" t="s">
        <v>6257</v>
      </c>
      <c r="P4231" s="1"/>
      <c r="Q4231" s="4"/>
      <c r="R4231" s="26"/>
      <c r="S4231" s="26"/>
      <c r="T4231" s="26">
        <v>43035.714285714283</v>
      </c>
      <c r="U4231" s="26">
        <v>48200</v>
      </c>
      <c r="V4231" s="11" t="s">
        <v>3182</v>
      </c>
      <c r="W4231" s="11">
        <v>2015</v>
      </c>
      <c r="X4231" s="27"/>
    </row>
    <row r="4232" spans="1:246" s="84" customFormat="1" ht="120.75" customHeight="1" x14ac:dyDescent="0.2">
      <c r="A4232" s="1" t="s">
        <v>8677</v>
      </c>
      <c r="B4232" s="15" t="s">
        <v>5277</v>
      </c>
      <c r="C4232" s="4" t="s">
        <v>8675</v>
      </c>
      <c r="D4232" s="4" t="s">
        <v>8676</v>
      </c>
      <c r="E4232" s="4" t="s">
        <v>8676</v>
      </c>
      <c r="F4232" s="4"/>
      <c r="G4232" s="4" t="s">
        <v>3190</v>
      </c>
      <c r="H4232" s="17">
        <v>0</v>
      </c>
      <c r="I4232" s="18">
        <v>710000000</v>
      </c>
      <c r="J4232" s="4" t="s">
        <v>1931</v>
      </c>
      <c r="K4232" s="4" t="s">
        <v>6167</v>
      </c>
      <c r="L4232" s="7" t="s">
        <v>2985</v>
      </c>
      <c r="M4232" s="1"/>
      <c r="N4232" s="4" t="s">
        <v>1408</v>
      </c>
      <c r="O4232" s="4" t="s">
        <v>6257</v>
      </c>
      <c r="P4232" s="1"/>
      <c r="Q4232" s="4"/>
      <c r="R4232" s="26"/>
      <c r="S4232" s="26"/>
      <c r="T4232" s="26">
        <v>0</v>
      </c>
      <c r="U4232" s="26">
        <f>T4232*1.12</f>
        <v>0</v>
      </c>
      <c r="V4232" s="11" t="s">
        <v>3182</v>
      </c>
      <c r="W4232" s="11">
        <v>2015</v>
      </c>
      <c r="X4232" s="27" t="s">
        <v>7312</v>
      </c>
    </row>
    <row r="4233" spans="1:246" s="84" customFormat="1" ht="120.75" customHeight="1" x14ac:dyDescent="0.2">
      <c r="A4233" s="1" t="s">
        <v>9264</v>
      </c>
      <c r="B4233" s="15" t="s">
        <v>5277</v>
      </c>
      <c r="C4233" s="4" t="s">
        <v>8675</v>
      </c>
      <c r="D4233" s="4" t="s">
        <v>8676</v>
      </c>
      <c r="E4233" s="4" t="s">
        <v>8676</v>
      </c>
      <c r="F4233" s="4"/>
      <c r="G4233" s="4" t="s">
        <v>3190</v>
      </c>
      <c r="H4233" s="17">
        <v>0</v>
      </c>
      <c r="I4233" s="18">
        <v>710000000</v>
      </c>
      <c r="J4233" s="4" t="s">
        <v>1931</v>
      </c>
      <c r="K4233" s="4" t="s">
        <v>9263</v>
      </c>
      <c r="L4233" s="7" t="s">
        <v>2985</v>
      </c>
      <c r="M4233" s="1"/>
      <c r="N4233" s="4" t="s">
        <v>1408</v>
      </c>
      <c r="O4233" s="4" t="s">
        <v>6257</v>
      </c>
      <c r="P4233" s="1"/>
      <c r="Q4233" s="4"/>
      <c r="R4233" s="26"/>
      <c r="S4233" s="26"/>
      <c r="T4233" s="26">
        <f>708750+447456</f>
        <v>1156206</v>
      </c>
      <c r="U4233" s="26">
        <f>T4233*1.12</f>
        <v>1294950.7200000002</v>
      </c>
      <c r="V4233" s="11" t="s">
        <v>3182</v>
      </c>
      <c r="W4233" s="11">
        <v>2015</v>
      </c>
      <c r="X4233" s="27"/>
    </row>
    <row r="4234" spans="1:246" s="28" customFormat="1" ht="64.5" customHeight="1" x14ac:dyDescent="0.2">
      <c r="A4234" s="1" t="s">
        <v>8681</v>
      </c>
      <c r="B4234" s="15" t="s">
        <v>5277</v>
      </c>
      <c r="C4234" s="4" t="s">
        <v>3620</v>
      </c>
      <c r="D4234" s="4" t="s">
        <v>6348</v>
      </c>
      <c r="E4234" s="4" t="s">
        <v>6348</v>
      </c>
      <c r="F4234" s="4"/>
      <c r="G4234" s="4" t="s">
        <v>3190</v>
      </c>
      <c r="H4234" s="17">
        <v>1</v>
      </c>
      <c r="I4234" s="18">
        <v>710000000</v>
      </c>
      <c r="J4234" s="4" t="s">
        <v>1931</v>
      </c>
      <c r="K4234" s="4" t="s">
        <v>6167</v>
      </c>
      <c r="L4234" s="7" t="s">
        <v>1409</v>
      </c>
      <c r="M4234" s="1"/>
      <c r="N4234" s="4" t="s">
        <v>1408</v>
      </c>
      <c r="O4234" s="4" t="s">
        <v>6257</v>
      </c>
      <c r="P4234" s="1"/>
      <c r="Q4234" s="4"/>
      <c r="R4234" s="26"/>
      <c r="S4234" s="26"/>
      <c r="T4234" s="26">
        <v>0</v>
      </c>
      <c r="U4234" s="26">
        <f>T4234*1.12</f>
        <v>0</v>
      </c>
      <c r="V4234" s="11" t="s">
        <v>3182</v>
      </c>
      <c r="W4234" s="11">
        <v>2015</v>
      </c>
      <c r="X4234" s="27" t="s">
        <v>6565</v>
      </c>
    </row>
    <row r="4235" spans="1:246" s="61" customFormat="1" ht="136.5" customHeight="1" x14ac:dyDescent="0.2">
      <c r="A4235" s="1" t="s">
        <v>8682</v>
      </c>
      <c r="B4235" s="15" t="s">
        <v>5277</v>
      </c>
      <c r="C4235" s="4" t="s">
        <v>8678</v>
      </c>
      <c r="D4235" s="4" t="s">
        <v>8679</v>
      </c>
      <c r="E4235" s="4" t="s">
        <v>8680</v>
      </c>
      <c r="F4235" s="4"/>
      <c r="G4235" s="4" t="s">
        <v>3190</v>
      </c>
      <c r="H4235" s="17">
        <v>1</v>
      </c>
      <c r="I4235" s="18">
        <v>710000000</v>
      </c>
      <c r="J4235" s="4" t="s">
        <v>1931</v>
      </c>
      <c r="K4235" s="88" t="s">
        <v>6167</v>
      </c>
      <c r="L4235" s="4" t="s">
        <v>2985</v>
      </c>
      <c r="M4235" s="88" t="s">
        <v>3195</v>
      </c>
      <c r="N4235" s="4" t="s">
        <v>1408</v>
      </c>
      <c r="O4235" s="4" t="s">
        <v>6257</v>
      </c>
      <c r="P4235" s="88"/>
      <c r="Q4235" s="4"/>
      <c r="R4235" s="26"/>
      <c r="S4235" s="26"/>
      <c r="T4235" s="26">
        <f>U4235/1.12</f>
        <v>114285.71428571428</v>
      </c>
      <c r="U4235" s="26">
        <v>128000</v>
      </c>
      <c r="V4235" s="11" t="s">
        <v>3182</v>
      </c>
      <c r="W4235" s="11">
        <v>2015</v>
      </c>
      <c r="X4235" s="27"/>
      <c r="Z4235" s="23"/>
    </row>
    <row r="4236" spans="1:246" s="28" customFormat="1" ht="136.5" customHeight="1" x14ac:dyDescent="0.2">
      <c r="A4236" s="1" t="s">
        <v>8737</v>
      </c>
      <c r="B4236" s="15" t="s">
        <v>5277</v>
      </c>
      <c r="C4236" s="4" t="s">
        <v>8738</v>
      </c>
      <c r="D4236" s="4" t="s">
        <v>8739</v>
      </c>
      <c r="E4236" s="4" t="s">
        <v>8739</v>
      </c>
      <c r="F4236" s="4" t="s">
        <v>8740</v>
      </c>
      <c r="G4236" s="4" t="s">
        <v>3190</v>
      </c>
      <c r="H4236" s="17">
        <v>1</v>
      </c>
      <c r="I4236" s="18">
        <v>710000000</v>
      </c>
      <c r="J4236" s="4" t="s">
        <v>1931</v>
      </c>
      <c r="K4236" s="88" t="s">
        <v>6167</v>
      </c>
      <c r="L4236" s="4" t="s">
        <v>1889</v>
      </c>
      <c r="M4236" s="88" t="s">
        <v>3195</v>
      </c>
      <c r="N4236" s="4" t="s">
        <v>1408</v>
      </c>
      <c r="O4236" s="4" t="s">
        <v>6257</v>
      </c>
      <c r="P4236" s="88"/>
      <c r="Q4236" s="4"/>
      <c r="R4236" s="26"/>
      <c r="S4236" s="26"/>
      <c r="T4236" s="26">
        <v>2177000</v>
      </c>
      <c r="U4236" s="26">
        <f>T4236*1.12</f>
        <v>2438240</v>
      </c>
      <c r="V4236" s="11" t="s">
        <v>3182</v>
      </c>
      <c r="W4236" s="11">
        <v>2015</v>
      </c>
      <c r="X4236" s="27"/>
      <c r="Z4236" s="23"/>
    </row>
    <row r="4237" spans="1:246" s="84" customFormat="1" ht="63.75" customHeight="1" x14ac:dyDescent="0.2">
      <c r="A4237" s="1" t="s">
        <v>8793</v>
      </c>
      <c r="B4237" s="15" t="s">
        <v>5277</v>
      </c>
      <c r="C4237" s="4" t="s">
        <v>8794</v>
      </c>
      <c r="D4237" s="4" t="s">
        <v>8795</v>
      </c>
      <c r="E4237" s="4" t="s">
        <v>8795</v>
      </c>
      <c r="F4237" s="4" t="s">
        <v>8796</v>
      </c>
      <c r="G4237" s="4" t="s">
        <v>3190</v>
      </c>
      <c r="H4237" s="17">
        <v>1</v>
      </c>
      <c r="I4237" s="18">
        <v>710000000</v>
      </c>
      <c r="J4237" s="4" t="s">
        <v>1931</v>
      </c>
      <c r="K4237" s="88" t="s">
        <v>6167</v>
      </c>
      <c r="L4237" s="7" t="s">
        <v>1932</v>
      </c>
      <c r="M4237" s="88" t="s">
        <v>3195</v>
      </c>
      <c r="N4237" s="4" t="s">
        <v>1408</v>
      </c>
      <c r="O4237" s="4" t="s">
        <v>6257</v>
      </c>
      <c r="P4237" s="88"/>
      <c r="Q4237" s="4"/>
      <c r="R4237" s="26"/>
      <c r="S4237" s="26"/>
      <c r="T4237" s="26">
        <v>1501785.71</v>
      </c>
      <c r="U4237" s="26">
        <f>T4237*1.12</f>
        <v>1681999.9952</v>
      </c>
      <c r="V4237" s="11" t="s">
        <v>3182</v>
      </c>
      <c r="W4237" s="11">
        <v>2015</v>
      </c>
      <c r="X4237" s="27"/>
    </row>
    <row r="4238" spans="1:246" s="84" customFormat="1" ht="51" customHeight="1" x14ac:dyDescent="0.2">
      <c r="A4238" s="1" t="s">
        <v>8891</v>
      </c>
      <c r="B4238" s="15" t="s">
        <v>5277</v>
      </c>
      <c r="C4238" s="4" t="s">
        <v>4202</v>
      </c>
      <c r="D4238" s="4" t="s">
        <v>6377</v>
      </c>
      <c r="E4238" s="4" t="s">
        <v>6377</v>
      </c>
      <c r="F4238" s="4" t="s">
        <v>8896</v>
      </c>
      <c r="G4238" s="4" t="s">
        <v>3190</v>
      </c>
      <c r="H4238" s="17">
        <v>1</v>
      </c>
      <c r="I4238" s="18">
        <v>710000000</v>
      </c>
      <c r="J4238" s="4" t="s">
        <v>1931</v>
      </c>
      <c r="K4238" s="88" t="s">
        <v>6167</v>
      </c>
      <c r="L4238" s="7" t="s">
        <v>7579</v>
      </c>
      <c r="M4238" s="88" t="s">
        <v>3195</v>
      </c>
      <c r="N4238" s="4" t="s">
        <v>1408</v>
      </c>
      <c r="O4238" s="4" t="s">
        <v>6257</v>
      </c>
      <c r="P4238" s="88"/>
      <c r="Q4238" s="4"/>
      <c r="R4238" s="26"/>
      <c r="S4238" s="26"/>
      <c r="T4238" s="26">
        <v>90000</v>
      </c>
      <c r="U4238" s="26">
        <f>T4238*1.12</f>
        <v>100800.00000000001</v>
      </c>
      <c r="V4238" s="11" t="s">
        <v>3182</v>
      </c>
      <c r="W4238" s="11">
        <v>2015</v>
      </c>
      <c r="X4238" s="27"/>
    </row>
    <row r="4239" spans="1:246" s="84" customFormat="1" ht="43.5" customHeight="1" x14ac:dyDescent="0.2">
      <c r="A4239" s="1" t="s">
        <v>8938</v>
      </c>
      <c r="B4239" s="15" t="s">
        <v>5277</v>
      </c>
      <c r="C4239" s="4" t="s">
        <v>6439</v>
      </c>
      <c r="D4239" s="4" t="s">
        <v>6361</v>
      </c>
      <c r="E4239" s="4" t="s">
        <v>6362</v>
      </c>
      <c r="F4239" s="4" t="s">
        <v>8921</v>
      </c>
      <c r="G4239" s="4" t="s">
        <v>3190</v>
      </c>
      <c r="H4239" s="17">
        <v>1</v>
      </c>
      <c r="I4239" s="18">
        <v>710000000</v>
      </c>
      <c r="J4239" s="4" t="s">
        <v>1931</v>
      </c>
      <c r="K4239" s="4" t="s">
        <v>6167</v>
      </c>
      <c r="L4239" s="4" t="s">
        <v>2985</v>
      </c>
      <c r="M4239" s="4"/>
      <c r="N4239" s="4" t="s">
        <v>1408</v>
      </c>
      <c r="O4239" s="4" t="s">
        <v>6257</v>
      </c>
      <c r="P4239" s="4"/>
      <c r="Q4239" s="4"/>
      <c r="R4239" s="26"/>
      <c r="S4239" s="4"/>
      <c r="T4239" s="26">
        <v>21000</v>
      </c>
      <c r="U4239" s="26">
        <f t="shared" ref="U4239:U4240" si="2706">T4239*1.12</f>
        <v>23520.000000000004</v>
      </c>
      <c r="V4239" s="11" t="s">
        <v>3182</v>
      </c>
      <c r="W4239" s="11">
        <v>2015</v>
      </c>
      <c r="X4239" s="27"/>
      <c r="Y4239" s="119"/>
    </row>
    <row r="4240" spans="1:246" s="84" customFormat="1" ht="75.75" customHeight="1" x14ac:dyDescent="0.2">
      <c r="A4240" s="1" t="s">
        <v>8962</v>
      </c>
      <c r="B4240" s="15" t="s">
        <v>5277</v>
      </c>
      <c r="C4240" s="4" t="s">
        <v>8963</v>
      </c>
      <c r="D4240" s="4" t="s">
        <v>8964</v>
      </c>
      <c r="E4240" s="4" t="s">
        <v>8965</v>
      </c>
      <c r="F4240" s="4" t="s">
        <v>8966</v>
      </c>
      <c r="G4240" s="4" t="s">
        <v>3190</v>
      </c>
      <c r="H4240" s="17">
        <v>1</v>
      </c>
      <c r="I4240" s="18">
        <v>710000000</v>
      </c>
      <c r="J4240" s="4" t="s">
        <v>1931</v>
      </c>
      <c r="K4240" s="4" t="s">
        <v>554</v>
      </c>
      <c r="L4240" s="4" t="s">
        <v>2985</v>
      </c>
      <c r="M4240" s="4"/>
      <c r="N4240" s="4" t="s">
        <v>8969</v>
      </c>
      <c r="O4240" s="4" t="s">
        <v>6257</v>
      </c>
      <c r="P4240" s="4"/>
      <c r="Q4240" s="4"/>
      <c r="R4240" s="26"/>
      <c r="S4240" s="4"/>
      <c r="T4240" s="26">
        <v>1500000</v>
      </c>
      <c r="U4240" s="26">
        <f t="shared" si="2706"/>
        <v>1680000.0000000002</v>
      </c>
      <c r="V4240" s="11" t="s">
        <v>3182</v>
      </c>
      <c r="W4240" s="11">
        <v>2015</v>
      </c>
      <c r="X4240" s="27"/>
      <c r="Y4240" s="122"/>
    </row>
    <row r="4241" spans="1:25" s="84" customFormat="1" ht="75.75" customHeight="1" x14ac:dyDescent="0.2">
      <c r="A4241" s="1" t="s">
        <v>9050</v>
      </c>
      <c r="B4241" s="15" t="s">
        <v>5277</v>
      </c>
      <c r="C4241" s="7" t="s">
        <v>9054</v>
      </c>
      <c r="D4241" s="7" t="s">
        <v>9051</v>
      </c>
      <c r="E4241" s="18" t="s">
        <v>9052</v>
      </c>
      <c r="F4241" s="18" t="s">
        <v>9053</v>
      </c>
      <c r="G4241" s="4" t="s">
        <v>3190</v>
      </c>
      <c r="H4241" s="17">
        <v>0.5</v>
      </c>
      <c r="I4241" s="18">
        <v>710000000</v>
      </c>
      <c r="J4241" s="4" t="s">
        <v>1931</v>
      </c>
      <c r="K4241" s="4" t="s">
        <v>554</v>
      </c>
      <c r="L4241" s="4" t="s">
        <v>2985</v>
      </c>
      <c r="M4241" s="4"/>
      <c r="N4241" s="4" t="s">
        <v>9055</v>
      </c>
      <c r="O4241" s="4" t="s">
        <v>6257</v>
      </c>
      <c r="P4241" s="4"/>
      <c r="Q4241" s="4"/>
      <c r="R4241" s="26"/>
      <c r="S4241" s="4"/>
      <c r="T4241" s="26">
        <v>315535.71000000002</v>
      </c>
      <c r="U4241" s="26">
        <f t="shared" ref="U4241" si="2707">T4241*1.12</f>
        <v>353399.99520000006</v>
      </c>
      <c r="V4241" s="11" t="s">
        <v>3182</v>
      </c>
      <c r="W4241" s="11">
        <v>2015</v>
      </c>
      <c r="X4241" s="27"/>
      <c r="Y4241" s="122"/>
    </row>
    <row r="4242" spans="1:25" s="84" customFormat="1" ht="88.5" customHeight="1" x14ac:dyDescent="0.2">
      <c r="A4242" s="1" t="s">
        <v>9118</v>
      </c>
      <c r="B4242" s="15" t="s">
        <v>5277</v>
      </c>
      <c r="C4242" s="18" t="s">
        <v>9119</v>
      </c>
      <c r="D4242" s="18" t="s">
        <v>9120</v>
      </c>
      <c r="E4242" s="18" t="s">
        <v>9120</v>
      </c>
      <c r="F4242" s="18" t="s">
        <v>9121</v>
      </c>
      <c r="G4242" s="4" t="s">
        <v>3190</v>
      </c>
      <c r="H4242" s="17">
        <v>1</v>
      </c>
      <c r="I4242" s="18">
        <v>710000000</v>
      </c>
      <c r="J4242" s="4" t="s">
        <v>1931</v>
      </c>
      <c r="K4242" s="4" t="s">
        <v>7595</v>
      </c>
      <c r="L4242" s="7" t="s">
        <v>1708</v>
      </c>
      <c r="M4242" s="4"/>
      <c r="N4242" s="4" t="s">
        <v>9055</v>
      </c>
      <c r="O4242" s="4" t="s">
        <v>6257</v>
      </c>
      <c r="P4242" s="4"/>
      <c r="Q4242" s="4"/>
      <c r="R4242" s="26"/>
      <c r="S4242" s="4"/>
      <c r="T4242" s="26">
        <v>0</v>
      </c>
      <c r="U4242" s="26">
        <f t="shared" ref="U4242" si="2708">T4242*1.12</f>
        <v>0</v>
      </c>
      <c r="V4242" s="11" t="s">
        <v>3182</v>
      </c>
      <c r="W4242" s="11">
        <v>2015</v>
      </c>
      <c r="X4242" s="27" t="s">
        <v>9184</v>
      </c>
      <c r="Y4242" s="122"/>
    </row>
    <row r="4243" spans="1:25" s="84" customFormat="1" ht="136.5" customHeight="1" x14ac:dyDescent="0.2">
      <c r="A4243" s="1" t="s">
        <v>9182</v>
      </c>
      <c r="B4243" s="15" t="s">
        <v>5277</v>
      </c>
      <c r="C4243" s="18" t="s">
        <v>9119</v>
      </c>
      <c r="D4243" s="18" t="s">
        <v>9120</v>
      </c>
      <c r="E4243" s="18" t="s">
        <v>9120</v>
      </c>
      <c r="F4243" s="18" t="s">
        <v>9121</v>
      </c>
      <c r="G4243" s="4" t="s">
        <v>3190</v>
      </c>
      <c r="H4243" s="17">
        <v>1</v>
      </c>
      <c r="I4243" s="18">
        <v>710000000</v>
      </c>
      <c r="J4243" s="4" t="s">
        <v>1931</v>
      </c>
      <c r="K4243" s="4" t="s">
        <v>7595</v>
      </c>
      <c r="L4243" s="7" t="s">
        <v>1708</v>
      </c>
      <c r="M4243" s="4"/>
      <c r="N4243" s="4" t="s">
        <v>9183</v>
      </c>
      <c r="O4243" s="4" t="s">
        <v>6257</v>
      </c>
      <c r="P4243" s="4"/>
      <c r="Q4243" s="4"/>
      <c r="R4243" s="26"/>
      <c r="S4243" s="4"/>
      <c r="T4243" s="26">
        <v>208001.78599999999</v>
      </c>
      <c r="U4243" s="26">
        <f t="shared" ref="U4243" si="2709">T4243*1.12</f>
        <v>232962.00032000002</v>
      </c>
      <c r="V4243" s="11" t="s">
        <v>3182</v>
      </c>
      <c r="W4243" s="11">
        <v>2015</v>
      </c>
      <c r="X4243" s="27"/>
      <c r="Y4243" s="122"/>
    </row>
    <row r="4244" spans="1:25" s="84" customFormat="1" ht="141.75" customHeight="1" x14ac:dyDescent="0.2">
      <c r="A4244" s="1" t="s">
        <v>9185</v>
      </c>
      <c r="B4244" s="15" t="s">
        <v>5277</v>
      </c>
      <c r="C4244" s="18" t="s">
        <v>9119</v>
      </c>
      <c r="D4244" s="18" t="s">
        <v>9120</v>
      </c>
      <c r="E4244" s="18" t="s">
        <v>9120</v>
      </c>
      <c r="F4244" s="18" t="s">
        <v>9186</v>
      </c>
      <c r="G4244" s="4" t="s">
        <v>3190</v>
      </c>
      <c r="H4244" s="17">
        <v>1</v>
      </c>
      <c r="I4244" s="18">
        <v>710000000</v>
      </c>
      <c r="J4244" s="4" t="s">
        <v>1931</v>
      </c>
      <c r="K4244" s="4" t="s">
        <v>7595</v>
      </c>
      <c r="L4244" s="7" t="s">
        <v>1708</v>
      </c>
      <c r="M4244" s="4"/>
      <c r="N4244" s="4" t="s">
        <v>9187</v>
      </c>
      <c r="O4244" s="4" t="s">
        <v>6257</v>
      </c>
      <c r="P4244" s="4"/>
      <c r="Q4244" s="4"/>
      <c r="R4244" s="26"/>
      <c r="S4244" s="4"/>
      <c r="T4244" s="26">
        <v>238469</v>
      </c>
      <c r="U4244" s="26">
        <f t="shared" ref="U4244" si="2710">T4244*1.12</f>
        <v>267085.28000000003</v>
      </c>
      <c r="V4244" s="11" t="s">
        <v>3182</v>
      </c>
      <c r="W4244" s="11">
        <v>2015</v>
      </c>
      <c r="X4244" s="27"/>
      <c r="Y4244" s="122"/>
    </row>
    <row r="4245" spans="1:25" s="84" customFormat="1" ht="141.75" customHeight="1" x14ac:dyDescent="0.2">
      <c r="A4245" s="1" t="s">
        <v>9188</v>
      </c>
      <c r="B4245" s="15" t="s">
        <v>5277</v>
      </c>
      <c r="C4245" s="18" t="s">
        <v>9189</v>
      </c>
      <c r="D4245" s="18" t="s">
        <v>9190</v>
      </c>
      <c r="E4245" s="18" t="s">
        <v>9191</v>
      </c>
      <c r="F4245" s="18" t="s">
        <v>9269</v>
      </c>
      <c r="G4245" s="4" t="s">
        <v>3190</v>
      </c>
      <c r="H4245" s="17">
        <v>1</v>
      </c>
      <c r="I4245" s="18">
        <v>710000000</v>
      </c>
      <c r="J4245" s="4" t="s">
        <v>1931</v>
      </c>
      <c r="K4245" s="4" t="s">
        <v>7595</v>
      </c>
      <c r="L4245" s="7" t="s">
        <v>1708</v>
      </c>
      <c r="M4245" s="4"/>
      <c r="N4245" s="4" t="s">
        <v>1408</v>
      </c>
      <c r="O4245" s="4" t="s">
        <v>6257</v>
      </c>
      <c r="P4245" s="4"/>
      <c r="Q4245" s="4"/>
      <c r="R4245" s="26"/>
      <c r="S4245" s="4"/>
      <c r="T4245" s="26">
        <v>62464.2857</v>
      </c>
      <c r="U4245" s="26">
        <f t="shared" ref="U4245" si="2711">T4245*1.12</f>
        <v>69959.999984000009</v>
      </c>
      <c r="V4245" s="11" t="s">
        <v>3182</v>
      </c>
      <c r="W4245" s="11">
        <v>2015</v>
      </c>
      <c r="X4245" s="27"/>
      <c r="Y4245" s="122"/>
    </row>
    <row r="4246" spans="1:25" s="84" customFormat="1" ht="141.75" customHeight="1" x14ac:dyDescent="0.2">
      <c r="A4246" s="1" t="s">
        <v>9192</v>
      </c>
      <c r="B4246" s="15" t="s">
        <v>5277</v>
      </c>
      <c r="C4246" s="18" t="s">
        <v>9189</v>
      </c>
      <c r="D4246" s="18" t="s">
        <v>9190</v>
      </c>
      <c r="E4246" s="18" t="s">
        <v>9191</v>
      </c>
      <c r="F4246" s="18" t="s">
        <v>9270</v>
      </c>
      <c r="G4246" s="4" t="s">
        <v>3190</v>
      </c>
      <c r="H4246" s="17">
        <v>1</v>
      </c>
      <c r="I4246" s="18">
        <v>710000000</v>
      </c>
      <c r="J4246" s="4" t="s">
        <v>1931</v>
      </c>
      <c r="K4246" s="4" t="s">
        <v>7595</v>
      </c>
      <c r="L4246" s="7" t="s">
        <v>1409</v>
      </c>
      <c r="M4246" s="4"/>
      <c r="N4246" s="4" t="s">
        <v>1408</v>
      </c>
      <c r="O4246" s="4" t="s">
        <v>6257</v>
      </c>
      <c r="P4246" s="4"/>
      <c r="Q4246" s="4"/>
      <c r="R4246" s="26"/>
      <c r="S4246" s="4"/>
      <c r="T4246" s="130">
        <v>251669.64</v>
      </c>
      <c r="U4246" s="26">
        <f t="shared" ref="U4246" si="2712">T4246*1.12</f>
        <v>281869.99680000002</v>
      </c>
      <c r="V4246" s="11" t="s">
        <v>3182</v>
      </c>
      <c r="W4246" s="11">
        <v>2015</v>
      </c>
      <c r="X4246" s="27"/>
      <c r="Y4246" s="122"/>
    </row>
    <row r="4247" spans="1:25" s="84" customFormat="1" ht="141.75" customHeight="1" x14ac:dyDescent="0.2">
      <c r="A4247" s="1" t="s">
        <v>9265</v>
      </c>
      <c r="B4247" s="15" t="s">
        <v>5277</v>
      </c>
      <c r="C4247" s="18" t="s">
        <v>9189</v>
      </c>
      <c r="D4247" s="18" t="s">
        <v>9190</v>
      </c>
      <c r="E4247" s="18" t="s">
        <v>9191</v>
      </c>
      <c r="F4247" s="18" t="s">
        <v>9271</v>
      </c>
      <c r="G4247" s="4" t="s">
        <v>3190</v>
      </c>
      <c r="H4247" s="17">
        <v>1</v>
      </c>
      <c r="I4247" s="18">
        <v>710000000</v>
      </c>
      <c r="J4247" s="4" t="s">
        <v>1931</v>
      </c>
      <c r="K4247" s="4" t="s">
        <v>7595</v>
      </c>
      <c r="L4247" s="7" t="s">
        <v>1409</v>
      </c>
      <c r="M4247" s="4"/>
      <c r="N4247" s="4" t="s">
        <v>1408</v>
      </c>
      <c r="O4247" s="4" t="s">
        <v>6257</v>
      </c>
      <c r="P4247" s="4"/>
      <c r="Q4247" s="4"/>
      <c r="R4247" s="26"/>
      <c r="S4247" s="4"/>
      <c r="T4247" s="26">
        <v>31130</v>
      </c>
      <c r="U4247" s="26">
        <f t="shared" ref="U4247" si="2713">T4247*1.12</f>
        <v>34865.600000000006</v>
      </c>
      <c r="V4247" s="11" t="s">
        <v>3182</v>
      </c>
      <c r="W4247" s="11">
        <v>2015</v>
      </c>
      <c r="X4247" s="27"/>
      <c r="Y4247" s="122"/>
    </row>
    <row r="4248" spans="1:25" s="84" customFormat="1" ht="141.75" customHeight="1" x14ac:dyDescent="0.2">
      <c r="A4248" s="1" t="s">
        <v>9268</v>
      </c>
      <c r="B4248" s="15" t="s">
        <v>5277</v>
      </c>
      <c r="C4248" s="18" t="s">
        <v>9267</v>
      </c>
      <c r="D4248" s="18" t="s">
        <v>9266</v>
      </c>
      <c r="E4248" s="18" t="s">
        <v>9266</v>
      </c>
      <c r="F4248" s="18" t="s">
        <v>9272</v>
      </c>
      <c r="G4248" s="4" t="s">
        <v>3190</v>
      </c>
      <c r="H4248" s="17">
        <v>1</v>
      </c>
      <c r="I4248" s="18">
        <v>710000000</v>
      </c>
      <c r="J4248" s="4" t="s">
        <v>1931</v>
      </c>
      <c r="K4248" s="4" t="s">
        <v>7595</v>
      </c>
      <c r="L4248" s="4" t="s">
        <v>2985</v>
      </c>
      <c r="M4248" s="4"/>
      <c r="N4248" s="4" t="s">
        <v>1408</v>
      </c>
      <c r="O4248" s="4" t="s">
        <v>6257</v>
      </c>
      <c r="P4248" s="4"/>
      <c r="Q4248" s="4"/>
      <c r="R4248" s="26"/>
      <c r="S4248" s="4"/>
      <c r="T4248" s="26">
        <v>500000</v>
      </c>
      <c r="U4248" s="26">
        <f t="shared" ref="U4248" si="2714">T4248*1.12</f>
        <v>560000</v>
      </c>
      <c r="V4248" s="11" t="s">
        <v>3182</v>
      </c>
      <c r="W4248" s="11">
        <v>2015</v>
      </c>
      <c r="X4248" s="27"/>
      <c r="Y4248" s="122"/>
    </row>
    <row r="4249" spans="1:25" s="28" customFormat="1" ht="38.25" customHeight="1" x14ac:dyDescent="0.2">
      <c r="A4249" s="1" t="s">
        <v>9337</v>
      </c>
      <c r="B4249" s="15" t="s">
        <v>5277</v>
      </c>
      <c r="C4249" s="4" t="s">
        <v>3621</v>
      </c>
      <c r="D4249" s="4" t="s">
        <v>6354</v>
      </c>
      <c r="E4249" s="4" t="s">
        <v>6354</v>
      </c>
      <c r="F4249" s="4" t="s">
        <v>9338</v>
      </c>
      <c r="G4249" s="4" t="s">
        <v>3190</v>
      </c>
      <c r="H4249" s="17">
        <v>1</v>
      </c>
      <c r="I4249" s="18">
        <v>710000000</v>
      </c>
      <c r="J4249" s="4" t="s">
        <v>1931</v>
      </c>
      <c r="K4249" s="4" t="s">
        <v>5390</v>
      </c>
      <c r="L4249" s="4" t="s">
        <v>2985</v>
      </c>
      <c r="M4249" s="1"/>
      <c r="N4249" s="4" t="s">
        <v>6349</v>
      </c>
      <c r="O4249" s="4" t="s">
        <v>6339</v>
      </c>
      <c r="P4249" s="1"/>
      <c r="Q4249" s="4"/>
      <c r="R4249" s="26"/>
      <c r="S4249" s="26"/>
      <c r="T4249" s="26">
        <v>112454</v>
      </c>
      <c r="U4249" s="26">
        <f>T4249</f>
        <v>112454</v>
      </c>
      <c r="V4249" s="11" t="s">
        <v>3182</v>
      </c>
      <c r="W4249" s="11">
        <v>2015</v>
      </c>
      <c r="X4249" s="27"/>
    </row>
    <row r="4250" spans="1:25" s="28" customFormat="1" ht="57" customHeight="1" x14ac:dyDescent="0.2">
      <c r="A4250" s="1" t="s">
        <v>9618</v>
      </c>
      <c r="B4250" s="15" t="s">
        <v>5277</v>
      </c>
      <c r="C4250" s="4" t="s">
        <v>9619</v>
      </c>
      <c r="D4250" s="4" t="s">
        <v>9620</v>
      </c>
      <c r="E4250" s="4" t="s">
        <v>9620</v>
      </c>
      <c r="F4250" s="4" t="s">
        <v>9621</v>
      </c>
      <c r="G4250" s="4" t="s">
        <v>3190</v>
      </c>
      <c r="H4250" s="17">
        <v>1</v>
      </c>
      <c r="I4250" s="18">
        <v>710000000</v>
      </c>
      <c r="J4250" s="4" t="s">
        <v>1931</v>
      </c>
      <c r="K4250" s="4" t="s">
        <v>5390</v>
      </c>
      <c r="L4250" s="4" t="s">
        <v>2985</v>
      </c>
      <c r="M4250" s="1"/>
      <c r="N4250" s="4" t="s">
        <v>1408</v>
      </c>
      <c r="O4250" s="4" t="s">
        <v>6339</v>
      </c>
      <c r="P4250" s="1"/>
      <c r="Q4250" s="4"/>
      <c r="R4250" s="26"/>
      <c r="S4250" s="26"/>
      <c r="T4250" s="26">
        <v>180000</v>
      </c>
      <c r="U4250" s="26">
        <f>T4250*1.12</f>
        <v>201600.00000000003</v>
      </c>
      <c r="V4250" s="11" t="s">
        <v>3182</v>
      </c>
      <c r="W4250" s="11">
        <v>2015</v>
      </c>
      <c r="X4250" s="27"/>
    </row>
    <row r="4251" spans="1:25" s="28" customFormat="1" ht="57" customHeight="1" x14ac:dyDescent="0.2">
      <c r="A4251" s="1" t="s">
        <v>9679</v>
      </c>
      <c r="B4251" s="15" t="s">
        <v>5277</v>
      </c>
      <c r="C4251" s="4" t="s">
        <v>774</v>
      </c>
      <c r="D4251" s="4" t="s">
        <v>775</v>
      </c>
      <c r="E4251" s="4" t="s">
        <v>775</v>
      </c>
      <c r="F4251" s="4" t="s">
        <v>9680</v>
      </c>
      <c r="G4251" s="4" t="s">
        <v>3190</v>
      </c>
      <c r="H4251" s="17">
        <v>1</v>
      </c>
      <c r="I4251" s="18">
        <v>710000000</v>
      </c>
      <c r="J4251" s="4" t="s">
        <v>1931</v>
      </c>
      <c r="K4251" s="4" t="s">
        <v>5390</v>
      </c>
      <c r="L4251" s="4" t="s">
        <v>2985</v>
      </c>
      <c r="M4251" s="1"/>
      <c r="N4251" s="4" t="s">
        <v>1408</v>
      </c>
      <c r="O4251" s="4" t="s">
        <v>6257</v>
      </c>
      <c r="P4251" s="1"/>
      <c r="Q4251" s="4"/>
      <c r="R4251" s="26"/>
      <c r="S4251" s="26"/>
      <c r="T4251" s="130">
        <v>133928.57</v>
      </c>
      <c r="U4251" s="26">
        <f t="shared" ref="U4251:U4252" si="2715">T4251*1.12</f>
        <v>149999.99840000001</v>
      </c>
      <c r="V4251" s="11" t="s">
        <v>3182</v>
      </c>
      <c r="W4251" s="11">
        <v>2015</v>
      </c>
      <c r="X4251" s="27"/>
    </row>
    <row r="4252" spans="1:25" s="28" customFormat="1" ht="51" customHeight="1" x14ac:dyDescent="0.2">
      <c r="A4252" s="1" t="s">
        <v>9909</v>
      </c>
      <c r="B4252" s="15" t="s">
        <v>5277</v>
      </c>
      <c r="C4252" s="4" t="s">
        <v>9910</v>
      </c>
      <c r="D4252" s="4" t="s">
        <v>9911</v>
      </c>
      <c r="E4252" s="4" t="s">
        <v>9912</v>
      </c>
      <c r="F4252" s="4" t="s">
        <v>9926</v>
      </c>
      <c r="G4252" s="1" t="s">
        <v>3190</v>
      </c>
      <c r="H4252" s="17">
        <v>1</v>
      </c>
      <c r="I4252" s="18">
        <v>710000000</v>
      </c>
      <c r="J4252" s="4" t="s">
        <v>1931</v>
      </c>
      <c r="K4252" s="4" t="s">
        <v>9683</v>
      </c>
      <c r="L4252" s="7" t="s">
        <v>1409</v>
      </c>
      <c r="M4252" s="1"/>
      <c r="N4252" s="4" t="s">
        <v>1408</v>
      </c>
      <c r="O4252" s="4" t="s">
        <v>6257</v>
      </c>
      <c r="P4252" s="1"/>
      <c r="Q4252" s="4"/>
      <c r="R4252" s="26"/>
      <c r="S4252" s="26"/>
      <c r="T4252" s="26">
        <v>214000</v>
      </c>
      <c r="U4252" s="26">
        <f t="shared" si="2715"/>
        <v>239680.00000000003</v>
      </c>
      <c r="V4252" s="11" t="s">
        <v>3182</v>
      </c>
      <c r="W4252" s="11">
        <v>2015</v>
      </c>
      <c r="X4252" s="27"/>
    </row>
    <row r="4253" spans="1:25" s="28" customFormat="1" ht="57" customHeight="1" x14ac:dyDescent="0.2">
      <c r="A4253" s="1" t="s">
        <v>9919</v>
      </c>
      <c r="B4253" s="15" t="s">
        <v>5277</v>
      </c>
      <c r="C4253" s="4" t="s">
        <v>738</v>
      </c>
      <c r="D4253" s="4" t="s">
        <v>739</v>
      </c>
      <c r="E4253" s="4" t="s">
        <v>740</v>
      </c>
      <c r="F4253" s="4" t="s">
        <v>9920</v>
      </c>
      <c r="G4253" s="4" t="s">
        <v>3190</v>
      </c>
      <c r="H4253" s="17">
        <v>1</v>
      </c>
      <c r="I4253" s="18">
        <v>710000000</v>
      </c>
      <c r="J4253" s="4" t="s">
        <v>1931</v>
      </c>
      <c r="K4253" s="4" t="s">
        <v>9683</v>
      </c>
      <c r="L4253" s="4" t="s">
        <v>2985</v>
      </c>
      <c r="M4253" s="1"/>
      <c r="N4253" s="4" t="s">
        <v>1408</v>
      </c>
      <c r="O4253" s="4" t="s">
        <v>6339</v>
      </c>
      <c r="P4253" s="1"/>
      <c r="Q4253" s="4"/>
      <c r="R4253" s="26"/>
      <c r="S4253" s="26"/>
      <c r="T4253" s="26">
        <v>45000</v>
      </c>
      <c r="U4253" s="26">
        <f>T4253*1.12</f>
        <v>50400.000000000007</v>
      </c>
      <c r="V4253" s="11" t="s">
        <v>3182</v>
      </c>
      <c r="W4253" s="11">
        <v>2015</v>
      </c>
      <c r="X4253" s="27"/>
    </row>
    <row r="4254" spans="1:25" s="28" customFormat="1" ht="81" customHeight="1" x14ac:dyDescent="0.2">
      <c r="A4254" s="1" t="s">
        <v>9922</v>
      </c>
      <c r="B4254" s="15" t="s">
        <v>5277</v>
      </c>
      <c r="C4254" s="4" t="s">
        <v>9923</v>
      </c>
      <c r="D4254" s="4" t="s">
        <v>9924</v>
      </c>
      <c r="E4254" s="4" t="s">
        <v>9925</v>
      </c>
      <c r="F4254" s="4"/>
      <c r="G4254" s="4" t="s">
        <v>3190</v>
      </c>
      <c r="H4254" s="17">
        <v>1</v>
      </c>
      <c r="I4254" s="18">
        <v>710000000</v>
      </c>
      <c r="J4254" s="4" t="s">
        <v>1931</v>
      </c>
      <c r="K4254" s="4" t="s">
        <v>9683</v>
      </c>
      <c r="L4254" s="4" t="s">
        <v>2985</v>
      </c>
      <c r="M4254" s="1"/>
      <c r="N4254" s="4" t="s">
        <v>6349</v>
      </c>
      <c r="O4254" s="4" t="s">
        <v>6339</v>
      </c>
      <c r="P4254" s="1"/>
      <c r="Q4254" s="4"/>
      <c r="R4254" s="26"/>
      <c r="S4254" s="26"/>
      <c r="T4254" s="147">
        <v>6475073.5999999996</v>
      </c>
      <c r="U4254" s="26">
        <f>T4254</f>
        <v>6475073.5999999996</v>
      </c>
      <c r="V4254" s="11" t="s">
        <v>3182</v>
      </c>
      <c r="W4254" s="11">
        <v>2015</v>
      </c>
      <c r="X4254" s="27"/>
    </row>
    <row r="4255" spans="1:25" s="28" customFormat="1" ht="81" customHeight="1" x14ac:dyDescent="0.2">
      <c r="A4255" s="1" t="s">
        <v>9952</v>
      </c>
      <c r="B4255" s="15" t="s">
        <v>5277</v>
      </c>
      <c r="C4255" s="4" t="s">
        <v>9953</v>
      </c>
      <c r="D4255" s="4" t="s">
        <v>9954</v>
      </c>
      <c r="E4255" s="4" t="s">
        <v>9955</v>
      </c>
      <c r="F4255" s="4" t="s">
        <v>9956</v>
      </c>
      <c r="G4255" s="4" t="s">
        <v>3190</v>
      </c>
      <c r="H4255" s="17">
        <v>0.5</v>
      </c>
      <c r="I4255" s="18">
        <v>710000000</v>
      </c>
      <c r="J4255" s="4" t="s">
        <v>1931</v>
      </c>
      <c r="K4255" s="4" t="s">
        <v>9683</v>
      </c>
      <c r="L4255" s="4" t="s">
        <v>9957</v>
      </c>
      <c r="M4255" s="1"/>
      <c r="N4255" s="4" t="s">
        <v>9958</v>
      </c>
      <c r="O4255" s="4" t="s">
        <v>6257</v>
      </c>
      <c r="P4255" s="1"/>
      <c r="Q4255" s="4"/>
      <c r="R4255" s="26"/>
      <c r="S4255" s="26"/>
      <c r="T4255" s="130">
        <v>1741071.429</v>
      </c>
      <c r="U4255" s="26">
        <f t="shared" ref="U4255" si="2716">T4255*1.12</f>
        <v>1950000.0004800002</v>
      </c>
      <c r="V4255" s="11" t="s">
        <v>3182</v>
      </c>
      <c r="W4255" s="11">
        <v>2015</v>
      </c>
      <c r="X4255" s="27"/>
    </row>
    <row r="4256" spans="1:25" s="61" customFormat="1" ht="116.25" customHeight="1" outlineLevel="1" x14ac:dyDescent="0.2">
      <c r="A4256" s="1" t="s">
        <v>10008</v>
      </c>
      <c r="B4256" s="24" t="s">
        <v>5277</v>
      </c>
      <c r="C4256" s="7" t="s">
        <v>10005</v>
      </c>
      <c r="D4256" s="7" t="s">
        <v>10006</v>
      </c>
      <c r="E4256" s="18" t="s">
        <v>10007</v>
      </c>
      <c r="F4256" s="25"/>
      <c r="G4256" s="1" t="s">
        <v>1888</v>
      </c>
      <c r="H4256" s="17">
        <v>1</v>
      </c>
      <c r="I4256" s="18">
        <v>710000000</v>
      </c>
      <c r="J4256" s="4" t="s">
        <v>1931</v>
      </c>
      <c r="K4256" s="8" t="s">
        <v>9683</v>
      </c>
      <c r="L4256" s="7" t="s">
        <v>2985</v>
      </c>
      <c r="M4256" s="8"/>
      <c r="N4256" s="8" t="s">
        <v>6349</v>
      </c>
      <c r="O4256" s="8" t="s">
        <v>10027</v>
      </c>
      <c r="P4256" s="1"/>
      <c r="Q4256" s="4"/>
      <c r="R4256" s="120"/>
      <c r="S4256" s="120"/>
      <c r="T4256" s="130">
        <v>51190100</v>
      </c>
      <c r="U4256" s="120">
        <f>T4256</f>
        <v>51190100</v>
      </c>
      <c r="V4256" s="8" t="s">
        <v>3182</v>
      </c>
      <c r="W4256" s="11">
        <v>2015</v>
      </c>
      <c r="X4256" s="131"/>
      <c r="Y4256" s="21"/>
    </row>
    <row r="4257" spans="1:24" s="28" customFormat="1" ht="132" customHeight="1" x14ac:dyDescent="0.2">
      <c r="A4257" s="1" t="s">
        <v>10036</v>
      </c>
      <c r="B4257" s="196" t="s">
        <v>8192</v>
      </c>
      <c r="C4257" s="196" t="s">
        <v>10037</v>
      </c>
      <c r="D4257" s="196" t="s">
        <v>10038</v>
      </c>
      <c r="E4257" s="196" t="s">
        <v>10039</v>
      </c>
      <c r="F4257" s="196" t="s">
        <v>10040</v>
      </c>
      <c r="G4257" s="4" t="s">
        <v>3190</v>
      </c>
      <c r="H4257" s="17">
        <v>1</v>
      </c>
      <c r="I4257" s="18">
        <v>710000000</v>
      </c>
      <c r="J4257" s="4" t="s">
        <v>1931</v>
      </c>
      <c r="K4257" s="4" t="s">
        <v>10033</v>
      </c>
      <c r="L4257" s="7" t="s">
        <v>1409</v>
      </c>
      <c r="M4257" s="8"/>
      <c r="N4257" s="8" t="s">
        <v>1408</v>
      </c>
      <c r="O4257" s="8" t="s">
        <v>6257</v>
      </c>
      <c r="P4257" s="1"/>
      <c r="Q4257" s="4"/>
      <c r="R4257" s="120"/>
      <c r="S4257" s="120"/>
      <c r="T4257" s="120">
        <v>180000</v>
      </c>
      <c r="U4257" s="120">
        <f>T4257*1.12</f>
        <v>201600.00000000003</v>
      </c>
      <c r="V4257" s="8" t="s">
        <v>3182</v>
      </c>
      <c r="W4257" s="11">
        <v>2015</v>
      </c>
      <c r="X4257" s="8"/>
    </row>
    <row r="4258" spans="1:24" s="28" customFormat="1" ht="120" customHeight="1" x14ac:dyDescent="0.2">
      <c r="A4258" s="1" t="s">
        <v>10148</v>
      </c>
      <c r="B4258" s="24" t="s">
        <v>5277</v>
      </c>
      <c r="C4258" s="4" t="s">
        <v>10136</v>
      </c>
      <c r="D4258" s="4" t="s">
        <v>10137</v>
      </c>
      <c r="E4258" s="4" t="s">
        <v>10137</v>
      </c>
      <c r="F4258" s="4" t="s">
        <v>10138</v>
      </c>
      <c r="G4258" s="1" t="s">
        <v>3190</v>
      </c>
      <c r="H4258" s="17">
        <v>0.5</v>
      </c>
      <c r="I4258" s="18">
        <v>710000000</v>
      </c>
      <c r="J4258" s="4" t="s">
        <v>1931</v>
      </c>
      <c r="K4258" s="4" t="s">
        <v>10090</v>
      </c>
      <c r="L4258" s="3" t="s">
        <v>2140</v>
      </c>
      <c r="M4258" s="144"/>
      <c r="N4258" s="4" t="s">
        <v>1408</v>
      </c>
      <c r="O4258" s="8" t="s">
        <v>6257</v>
      </c>
      <c r="P4258" s="1"/>
      <c r="Q4258" s="1"/>
      <c r="R4258" s="26"/>
      <c r="S4258" s="26"/>
      <c r="T4258" s="26">
        <f>126400/1.12</f>
        <v>112857.14285714284</v>
      </c>
      <c r="U4258" s="26">
        <f>T4258*1.12</f>
        <v>126400</v>
      </c>
      <c r="V4258" s="56" t="s">
        <v>3182</v>
      </c>
      <c r="W4258" s="1">
        <v>2015</v>
      </c>
      <c r="X4258" s="27"/>
    </row>
    <row r="4259" spans="1:24" s="28" customFormat="1" ht="120" customHeight="1" x14ac:dyDescent="0.2">
      <c r="A4259" s="1" t="s">
        <v>10196</v>
      </c>
      <c r="B4259" s="24" t="s">
        <v>5277</v>
      </c>
      <c r="C4259" s="4" t="s">
        <v>10197</v>
      </c>
      <c r="D4259" s="4" t="s">
        <v>10198</v>
      </c>
      <c r="E4259" s="4" t="s">
        <v>10198</v>
      </c>
      <c r="F4259" s="4" t="s">
        <v>10203</v>
      </c>
      <c r="G4259" s="1" t="s">
        <v>3190</v>
      </c>
      <c r="H4259" s="17">
        <v>0.5</v>
      </c>
      <c r="I4259" s="18">
        <v>710000000</v>
      </c>
      <c r="J4259" s="4" t="s">
        <v>1931</v>
      </c>
      <c r="K4259" s="4" t="s">
        <v>10090</v>
      </c>
      <c r="L4259" s="7" t="s">
        <v>1708</v>
      </c>
      <c r="M4259" s="144"/>
      <c r="N4259" s="4" t="s">
        <v>1408</v>
      </c>
      <c r="O4259" s="8" t="s">
        <v>6257</v>
      </c>
      <c r="P4259" s="1"/>
      <c r="Q4259" s="1"/>
      <c r="R4259" s="26"/>
      <c r="S4259" s="26"/>
      <c r="T4259" s="26">
        <v>1700000</v>
      </c>
      <c r="U4259" s="26">
        <f>T4259*1.12</f>
        <v>1904000.0000000002</v>
      </c>
      <c r="V4259" s="56" t="s">
        <v>3182</v>
      </c>
      <c r="W4259" s="1">
        <v>2015</v>
      </c>
      <c r="X4259" s="27"/>
    </row>
    <row r="4260" spans="1:24" s="28" customFormat="1" ht="105.75" customHeight="1" x14ac:dyDescent="0.2">
      <c r="A4260" s="1" t="s">
        <v>10247</v>
      </c>
      <c r="B4260" s="24" t="s">
        <v>5277</v>
      </c>
      <c r="C4260" s="4" t="s">
        <v>10248</v>
      </c>
      <c r="D4260" s="4" t="s">
        <v>6361</v>
      </c>
      <c r="E4260" s="4" t="s">
        <v>6361</v>
      </c>
      <c r="F4260" s="4" t="s">
        <v>10249</v>
      </c>
      <c r="G4260" s="1" t="s">
        <v>1888</v>
      </c>
      <c r="H4260" s="17">
        <v>1</v>
      </c>
      <c r="I4260" s="18">
        <v>710000000</v>
      </c>
      <c r="J4260" s="4" t="s">
        <v>1931</v>
      </c>
      <c r="K4260" s="4" t="s">
        <v>10250</v>
      </c>
      <c r="L4260" s="53" t="s">
        <v>1940</v>
      </c>
      <c r="M4260" s="144"/>
      <c r="N4260" s="4" t="s">
        <v>10251</v>
      </c>
      <c r="O4260" s="8" t="s">
        <v>6257</v>
      </c>
      <c r="P4260" s="1"/>
      <c r="Q4260" s="1"/>
      <c r="R4260" s="26"/>
      <c r="S4260" s="26"/>
      <c r="T4260" s="26">
        <v>150000</v>
      </c>
      <c r="U4260" s="26">
        <f>T4260*1.12</f>
        <v>168000.00000000003</v>
      </c>
      <c r="V4260" s="56" t="s">
        <v>3182</v>
      </c>
      <c r="W4260" s="1" t="s">
        <v>10252</v>
      </c>
      <c r="X4260" s="27"/>
    </row>
    <row r="4261" spans="1:24" s="28" customFormat="1" ht="101.25" customHeight="1" x14ac:dyDescent="0.2">
      <c r="A4261" s="1" t="s">
        <v>10253</v>
      </c>
      <c r="B4261" s="24" t="s">
        <v>5277</v>
      </c>
      <c r="C4261" s="4" t="s">
        <v>10248</v>
      </c>
      <c r="D4261" s="4" t="s">
        <v>6361</v>
      </c>
      <c r="E4261" s="4" t="s">
        <v>6361</v>
      </c>
      <c r="F4261" s="4" t="s">
        <v>10254</v>
      </c>
      <c r="G4261" s="1" t="s">
        <v>1888</v>
      </c>
      <c r="H4261" s="17">
        <v>1</v>
      </c>
      <c r="I4261" s="18">
        <v>710000000</v>
      </c>
      <c r="J4261" s="4" t="s">
        <v>1931</v>
      </c>
      <c r="K4261" s="4" t="s">
        <v>10250</v>
      </c>
      <c r="L4261" s="4" t="s">
        <v>10255</v>
      </c>
      <c r="M4261" s="144"/>
      <c r="N4261" s="4" t="s">
        <v>10251</v>
      </c>
      <c r="O4261" s="8" t="s">
        <v>6257</v>
      </c>
      <c r="P4261" s="1"/>
      <c r="Q4261" s="1"/>
      <c r="R4261" s="26"/>
      <c r="S4261" s="26"/>
      <c r="T4261" s="26">
        <v>350000</v>
      </c>
      <c r="U4261" s="26">
        <f>T4261*1.12</f>
        <v>392000.00000000006</v>
      </c>
      <c r="V4261" s="56" t="s">
        <v>3182</v>
      </c>
      <c r="W4261" s="1" t="s">
        <v>10252</v>
      </c>
      <c r="X4261" s="27"/>
    </row>
    <row r="4262" spans="1:24" ht="12.75" customHeight="1" x14ac:dyDescent="0.2">
      <c r="A4262" s="230" t="s">
        <v>6381</v>
      </c>
      <c r="B4262" s="237"/>
      <c r="C4262" s="238"/>
      <c r="D4262" s="1"/>
      <c r="E4262" s="83"/>
      <c r="F4262" s="1"/>
      <c r="G4262" s="1"/>
      <c r="H4262" s="1"/>
      <c r="I4262" s="1"/>
      <c r="J4262" s="1"/>
      <c r="K4262" s="4"/>
      <c r="L4262" s="1"/>
      <c r="M4262" s="1"/>
      <c r="N4262" s="1"/>
      <c r="O4262" s="1"/>
      <c r="P4262" s="1"/>
      <c r="Q4262" s="1"/>
      <c r="R4262" s="26" t="s">
        <v>3178</v>
      </c>
      <c r="S4262" s="26"/>
      <c r="T4262" s="239">
        <f>SUM(T3991:T4261)</f>
        <v>1359250085.5419285</v>
      </c>
      <c r="U4262" s="239">
        <f>SUM(U3991:U4261)</f>
        <v>1510288755.1109598</v>
      </c>
      <c r="V4262" s="11"/>
      <c r="W4262" s="11"/>
      <c r="X4262" s="20"/>
    </row>
    <row r="4263" spans="1:24" x14ac:dyDescent="0.2">
      <c r="A4263" s="20"/>
      <c r="B4263" s="101"/>
      <c r="C4263" s="4"/>
      <c r="D4263" s="102"/>
      <c r="E4263" s="4"/>
      <c r="F4263" s="1"/>
      <c r="G4263" s="1"/>
      <c r="H4263" s="1"/>
      <c r="I4263" s="1"/>
      <c r="J4263" s="1"/>
      <c r="K4263" s="4"/>
      <c r="L4263" s="1"/>
      <c r="M4263" s="1"/>
      <c r="N4263" s="1"/>
      <c r="O4263" s="1"/>
      <c r="P4263" s="1"/>
      <c r="Q4263" s="1"/>
      <c r="R4263" s="26"/>
      <c r="S4263" s="26"/>
      <c r="T4263" s="26"/>
      <c r="U4263" s="26"/>
      <c r="V4263" s="1"/>
      <c r="W4263" s="1"/>
      <c r="X4263" s="20"/>
    </row>
    <row r="4264" spans="1:24" x14ac:dyDescent="0.2">
      <c r="A4264" s="103" t="s">
        <v>6382</v>
      </c>
      <c r="B4264" s="104"/>
      <c r="C4264" s="105"/>
      <c r="D4264" s="102"/>
      <c r="E4264" s="31"/>
      <c r="F4264" s="7"/>
      <c r="G4264" s="1"/>
      <c r="H4264" s="1"/>
      <c r="I4264" s="1"/>
      <c r="J4264" s="1"/>
      <c r="K4264" s="4"/>
      <c r="L4264" s="1"/>
      <c r="M4264" s="1"/>
      <c r="N4264" s="1"/>
      <c r="O4264" s="1"/>
      <c r="P4264" s="1"/>
      <c r="Q4264" s="1"/>
      <c r="R4264" s="26" t="s">
        <v>3178</v>
      </c>
      <c r="S4264" s="26"/>
      <c r="T4264" s="106">
        <f>T3882+T3988+T4262</f>
        <v>2484008529.9198236</v>
      </c>
      <c r="U4264" s="106">
        <f>U3882+U3988+U4262</f>
        <v>2772974906.6854</v>
      </c>
      <c r="V4264" s="1"/>
      <c r="W4264" s="1"/>
      <c r="X4264" s="1"/>
    </row>
    <row r="4265" spans="1:24" x14ac:dyDescent="0.2">
      <c r="A4265" s="107"/>
      <c r="B4265" s="107"/>
      <c r="D4265" s="108"/>
      <c r="E4265" s="109"/>
      <c r="F4265" s="109"/>
      <c r="G4265" s="28"/>
      <c r="H4265" s="28"/>
      <c r="I4265" s="28"/>
      <c r="J4265" s="28"/>
      <c r="K4265" s="23"/>
      <c r="L4265" s="28"/>
      <c r="M4265" s="28"/>
      <c r="N4265" s="28"/>
      <c r="O4265" s="28"/>
      <c r="P4265" s="28"/>
      <c r="Q4265" s="28"/>
    </row>
    <row r="4266" spans="1:24" x14ac:dyDescent="0.2">
      <c r="A4266" s="107"/>
      <c r="B4266" s="107"/>
      <c r="D4266" s="111"/>
      <c r="E4266" s="23"/>
      <c r="F4266" s="28"/>
      <c r="G4266" s="28"/>
      <c r="H4266" s="28"/>
      <c r="I4266" s="28"/>
      <c r="J4266" s="28"/>
      <c r="K4266" s="23"/>
      <c r="L4266" s="28"/>
      <c r="M4266" s="28"/>
      <c r="N4266" s="28"/>
      <c r="O4266" s="28"/>
      <c r="P4266" s="28"/>
      <c r="Q4266" s="28"/>
    </row>
    <row r="4267" spans="1:24" x14ac:dyDescent="0.2">
      <c r="B4267" s="21" t="s">
        <v>659</v>
      </c>
      <c r="D4267" s="261"/>
      <c r="F4267" s="261"/>
      <c r="G4267" s="261"/>
      <c r="J4267" s="261"/>
    </row>
    <row r="4268" spans="1:24" x14ac:dyDescent="0.2">
      <c r="B4268" s="21" t="s">
        <v>6383</v>
      </c>
      <c r="C4268" s="112"/>
      <c r="D4268" s="113"/>
      <c r="E4268" s="21"/>
      <c r="H4268" s="113"/>
      <c r="I4268" s="113"/>
      <c r="J4268" s="113"/>
      <c r="K4268" s="112"/>
    </row>
    <row r="4269" spans="1:24" x14ac:dyDescent="0.2">
      <c r="B4269" s="21" t="s">
        <v>6384</v>
      </c>
      <c r="E4269" s="21"/>
    </row>
    <row r="4270" spans="1:24" x14ac:dyDescent="0.2">
      <c r="B4270" s="21" t="s">
        <v>6385</v>
      </c>
      <c r="E4270" s="21"/>
    </row>
    <row r="4271" spans="1:24" x14ac:dyDescent="0.2">
      <c r="B4271" s="113" t="s">
        <v>6386</v>
      </c>
      <c r="C4271" s="112"/>
      <c r="D4271" s="113"/>
      <c r="E4271" s="113"/>
      <c r="F4271" s="113"/>
    </row>
    <row r="4272" spans="1:24" x14ac:dyDescent="0.2">
      <c r="A4272" s="107">
        <v>1</v>
      </c>
      <c r="B4272" s="271" t="s">
        <v>6387</v>
      </c>
      <c r="C4272" s="271"/>
      <c r="D4272" s="271"/>
      <c r="E4272" s="271"/>
      <c r="F4272" s="271"/>
      <c r="G4272" s="271"/>
      <c r="H4272" s="271"/>
      <c r="I4272" s="271"/>
      <c r="J4272" s="271"/>
      <c r="K4272" s="271"/>
      <c r="L4272" s="271"/>
      <c r="M4272" s="271"/>
      <c r="N4272" s="271"/>
      <c r="O4272" s="271"/>
      <c r="P4272" s="271"/>
      <c r="Q4272" s="271"/>
      <c r="R4272" s="271"/>
      <c r="S4272" s="271"/>
      <c r="T4272" s="271"/>
      <c r="U4272" s="271"/>
      <c r="V4272" s="271"/>
      <c r="W4272" s="271"/>
    </row>
    <row r="4273" spans="1:24" x14ac:dyDescent="0.2">
      <c r="A4273" s="107"/>
      <c r="B4273" s="99" t="s">
        <v>6388</v>
      </c>
      <c r="C4273" s="260"/>
      <c r="D4273" s="260"/>
      <c r="E4273" s="260"/>
      <c r="F4273" s="260"/>
      <c r="G4273" s="260"/>
      <c r="H4273" s="260"/>
      <c r="I4273" s="260"/>
      <c r="J4273" s="260"/>
      <c r="K4273" s="260"/>
      <c r="L4273" s="260"/>
      <c r="M4273" s="260"/>
      <c r="N4273" s="260"/>
      <c r="O4273" s="260"/>
      <c r="P4273" s="260"/>
      <c r="Q4273" s="260"/>
      <c r="R4273" s="114"/>
      <c r="S4273" s="114"/>
      <c r="T4273" s="114"/>
      <c r="U4273" s="114"/>
      <c r="V4273" s="23"/>
      <c r="W4273" s="23"/>
    </row>
    <row r="4274" spans="1:24" x14ac:dyDescent="0.2">
      <c r="A4274" s="107"/>
      <c r="B4274" s="99" t="s">
        <v>6389</v>
      </c>
      <c r="C4274" s="260"/>
      <c r="D4274" s="260"/>
      <c r="E4274" s="260"/>
      <c r="F4274" s="260"/>
      <c r="G4274" s="260"/>
      <c r="H4274" s="260"/>
      <c r="I4274" s="260"/>
      <c r="J4274" s="260"/>
      <c r="K4274" s="260"/>
      <c r="L4274" s="260"/>
      <c r="M4274" s="260"/>
      <c r="N4274" s="260"/>
      <c r="O4274" s="260"/>
      <c r="P4274" s="260"/>
      <c r="Q4274" s="260"/>
      <c r="R4274" s="114"/>
      <c r="S4274" s="114"/>
      <c r="T4274" s="114"/>
      <c r="U4274" s="114"/>
      <c r="V4274" s="23"/>
      <c r="W4274" s="23"/>
    </row>
    <row r="4275" spans="1:24" x14ac:dyDescent="0.2">
      <c r="A4275" s="107"/>
      <c r="B4275" s="21" t="s">
        <v>6390</v>
      </c>
      <c r="D4275" s="261"/>
      <c r="F4275" s="261"/>
      <c r="G4275" s="261"/>
      <c r="H4275" s="261"/>
      <c r="I4275" s="261"/>
      <c r="J4275" s="261"/>
      <c r="L4275" s="261"/>
      <c r="M4275" s="260"/>
      <c r="N4275" s="260"/>
      <c r="O4275" s="260"/>
      <c r="P4275" s="260"/>
      <c r="Q4275" s="260"/>
      <c r="R4275" s="114"/>
      <c r="S4275" s="114"/>
      <c r="T4275" s="114"/>
      <c r="U4275" s="114"/>
      <c r="V4275" s="23"/>
      <c r="W4275" s="23"/>
    </row>
    <row r="4276" spans="1:24" x14ac:dyDescent="0.2">
      <c r="A4276" s="107"/>
      <c r="B4276" s="113" t="s">
        <v>5954</v>
      </c>
      <c r="D4276" s="261"/>
      <c r="F4276" s="261"/>
      <c r="G4276" s="261"/>
      <c r="H4276" s="261"/>
      <c r="I4276" s="261"/>
      <c r="J4276" s="261"/>
      <c r="L4276" s="261"/>
      <c r="M4276" s="260"/>
      <c r="N4276" s="260"/>
      <c r="O4276" s="260"/>
      <c r="P4276" s="260"/>
      <c r="Q4276" s="260"/>
      <c r="R4276" s="114"/>
      <c r="S4276" s="114"/>
      <c r="T4276" s="114"/>
      <c r="U4276" s="114"/>
      <c r="V4276" s="23"/>
      <c r="W4276" s="23"/>
    </row>
    <row r="4277" spans="1:24" x14ac:dyDescent="0.2">
      <c r="A4277" s="107"/>
      <c r="B4277" s="113" t="s">
        <v>5955</v>
      </c>
      <c r="D4277" s="261"/>
      <c r="F4277" s="261"/>
      <c r="G4277" s="261"/>
      <c r="H4277" s="261"/>
      <c r="I4277" s="261"/>
      <c r="J4277" s="261"/>
      <c r="L4277" s="261"/>
      <c r="M4277" s="260"/>
      <c r="N4277" s="260"/>
      <c r="O4277" s="260"/>
      <c r="P4277" s="260"/>
      <c r="Q4277" s="260"/>
      <c r="R4277" s="114"/>
      <c r="S4277" s="114"/>
      <c r="T4277" s="114"/>
      <c r="U4277" s="114"/>
      <c r="V4277" s="23"/>
      <c r="W4277" s="23"/>
    </row>
    <row r="4278" spans="1:24" x14ac:dyDescent="0.2">
      <c r="A4278" s="107"/>
      <c r="B4278" s="99" t="s">
        <v>5956</v>
      </c>
      <c r="C4278" s="260"/>
      <c r="D4278" s="260"/>
      <c r="E4278" s="260"/>
      <c r="F4278" s="260"/>
      <c r="G4278" s="260"/>
      <c r="H4278" s="260"/>
      <c r="I4278" s="260"/>
      <c r="J4278" s="260"/>
      <c r="K4278" s="260"/>
      <c r="L4278" s="260"/>
      <c r="M4278" s="260"/>
      <c r="N4278" s="260"/>
      <c r="O4278" s="260"/>
      <c r="P4278" s="260"/>
      <c r="Q4278" s="260"/>
      <c r="R4278" s="114"/>
      <c r="S4278" s="114"/>
      <c r="T4278" s="114"/>
      <c r="U4278" s="114"/>
      <c r="V4278" s="23"/>
      <c r="W4278" s="23"/>
    </row>
    <row r="4279" spans="1:24" x14ac:dyDescent="0.2">
      <c r="B4279" s="21" t="s">
        <v>5957</v>
      </c>
      <c r="C4279" s="112"/>
      <c r="D4279" s="113"/>
      <c r="E4279" s="113"/>
      <c r="F4279" s="113"/>
      <c r="G4279" s="113"/>
      <c r="H4279" s="113"/>
      <c r="I4279" s="113"/>
      <c r="J4279" s="113"/>
      <c r="K4279" s="112"/>
      <c r="L4279" s="113"/>
      <c r="M4279" s="113"/>
      <c r="N4279" s="113"/>
      <c r="O4279" s="113"/>
      <c r="P4279" s="113"/>
      <c r="Q4279" s="113"/>
      <c r="R4279" s="240"/>
      <c r="S4279" s="240"/>
      <c r="T4279" s="240"/>
      <c r="U4279" s="240"/>
      <c r="V4279" s="107"/>
      <c r="W4279" s="107"/>
    </row>
    <row r="4280" spans="1:24" x14ac:dyDescent="0.2">
      <c r="B4280" s="21" t="s">
        <v>5958</v>
      </c>
      <c r="D4280" s="261"/>
      <c r="F4280" s="261"/>
      <c r="G4280" s="261"/>
      <c r="H4280" s="261"/>
      <c r="I4280" s="261"/>
      <c r="J4280" s="261"/>
      <c r="L4280" s="261"/>
      <c r="M4280" s="261"/>
      <c r="N4280" s="261"/>
      <c r="O4280" s="261"/>
      <c r="P4280" s="261"/>
      <c r="Q4280" s="261"/>
      <c r="R4280" s="114"/>
      <c r="S4280" s="114"/>
      <c r="T4280" s="114"/>
      <c r="U4280" s="114"/>
      <c r="V4280" s="23"/>
      <c r="W4280" s="23"/>
    </row>
    <row r="4281" spans="1:24" x14ac:dyDescent="0.2">
      <c r="B4281" s="271" t="s">
        <v>5959</v>
      </c>
      <c r="C4281" s="271"/>
      <c r="D4281" s="271"/>
      <c r="E4281" s="271"/>
      <c r="F4281" s="271"/>
      <c r="G4281" s="271"/>
      <c r="H4281" s="271"/>
      <c r="I4281" s="271"/>
      <c r="J4281" s="271"/>
      <c r="K4281" s="271"/>
      <c r="L4281" s="271"/>
      <c r="M4281" s="271"/>
      <c r="N4281" s="271"/>
      <c r="O4281" s="271"/>
      <c r="P4281" s="271"/>
      <c r="Q4281" s="271"/>
      <c r="R4281" s="271"/>
      <c r="S4281" s="271"/>
      <c r="T4281" s="271"/>
      <c r="U4281" s="271"/>
      <c r="V4281" s="271"/>
      <c r="W4281" s="271"/>
    </row>
    <row r="4282" spans="1:24" x14ac:dyDescent="0.2">
      <c r="B4282" s="99" t="s">
        <v>5960</v>
      </c>
      <c r="C4282" s="260"/>
      <c r="D4282" s="260"/>
      <c r="E4282" s="260"/>
      <c r="F4282" s="260"/>
      <c r="G4282" s="260"/>
      <c r="H4282" s="260"/>
      <c r="I4282" s="260"/>
      <c r="J4282" s="260"/>
      <c r="K4282" s="260"/>
      <c r="L4282" s="260"/>
      <c r="M4282" s="260"/>
      <c r="N4282" s="260"/>
      <c r="O4282" s="260"/>
      <c r="P4282" s="260"/>
      <c r="Q4282" s="260"/>
      <c r="R4282" s="114"/>
      <c r="S4282" s="114"/>
      <c r="T4282" s="114"/>
      <c r="U4282" s="114"/>
      <c r="V4282" s="23"/>
      <c r="W4282" s="23"/>
    </row>
    <row r="4283" spans="1:24" x14ac:dyDescent="0.2">
      <c r="B4283" s="99" t="s">
        <v>5961</v>
      </c>
      <c r="C4283" s="260"/>
      <c r="D4283" s="260"/>
      <c r="E4283" s="260"/>
      <c r="F4283" s="260"/>
      <c r="G4283" s="260"/>
      <c r="H4283" s="260"/>
      <c r="I4283" s="260"/>
      <c r="J4283" s="260"/>
      <c r="K4283" s="260"/>
      <c r="L4283" s="260"/>
      <c r="M4283" s="260"/>
      <c r="N4283" s="260"/>
      <c r="O4283" s="260"/>
      <c r="P4283" s="260"/>
      <c r="Q4283" s="260"/>
      <c r="R4283" s="114"/>
      <c r="S4283" s="114"/>
      <c r="T4283" s="114"/>
      <c r="U4283" s="114"/>
      <c r="V4283" s="23"/>
      <c r="W4283" s="23"/>
    </row>
    <row r="4284" spans="1:24" x14ac:dyDescent="0.2">
      <c r="B4284" s="272" t="s">
        <v>5962</v>
      </c>
      <c r="C4284" s="272"/>
      <c r="D4284" s="272"/>
      <c r="E4284" s="272"/>
      <c r="F4284" s="272"/>
      <c r="G4284" s="272"/>
      <c r="H4284" s="272"/>
      <c r="I4284" s="272"/>
      <c r="J4284" s="272"/>
      <c r="K4284" s="272"/>
      <c r="L4284" s="272"/>
      <c r="M4284" s="272"/>
      <c r="N4284" s="272"/>
      <c r="O4284" s="272"/>
      <c r="P4284" s="272"/>
      <c r="Q4284" s="272"/>
      <c r="R4284" s="272"/>
      <c r="S4284" s="272"/>
      <c r="T4284" s="272"/>
      <c r="U4284" s="272"/>
      <c r="V4284" s="272"/>
      <c r="W4284" s="272"/>
    </row>
    <row r="4285" spans="1:24" x14ac:dyDescent="0.2">
      <c r="B4285" s="241" t="s">
        <v>5963</v>
      </c>
      <c r="C4285" s="242"/>
      <c r="D4285" s="241"/>
      <c r="E4285" s="241"/>
      <c r="F4285" s="241"/>
      <c r="G4285" s="241"/>
      <c r="H4285" s="241"/>
      <c r="I4285" s="241"/>
      <c r="J4285" s="241"/>
      <c r="K4285" s="242"/>
      <c r="L4285" s="261"/>
      <c r="M4285" s="261"/>
      <c r="N4285" s="261"/>
      <c r="O4285" s="261"/>
      <c r="P4285" s="261"/>
      <c r="Q4285" s="261"/>
      <c r="R4285" s="114"/>
      <c r="S4285" s="114"/>
      <c r="T4285" s="114"/>
      <c r="U4285" s="114"/>
      <c r="V4285" s="23"/>
      <c r="W4285" s="23"/>
      <c r="X4285" s="261"/>
    </row>
    <row r="4286" spans="1:24" x14ac:dyDescent="0.2">
      <c r="A4286" s="107">
        <v>2</v>
      </c>
      <c r="B4286" s="21" t="s">
        <v>5964</v>
      </c>
      <c r="E4286" s="21"/>
    </row>
    <row r="4287" spans="1:24" x14ac:dyDescent="0.2">
      <c r="A4287" s="107">
        <v>3</v>
      </c>
      <c r="B4287" s="21" t="s">
        <v>5965</v>
      </c>
      <c r="E4287" s="21"/>
    </row>
    <row r="4288" spans="1:24" x14ac:dyDescent="0.2">
      <c r="A4288" s="107">
        <v>4</v>
      </c>
      <c r="B4288" s="21" t="s">
        <v>5966</v>
      </c>
      <c r="E4288" s="21"/>
    </row>
    <row r="4289" spans="1:24" x14ac:dyDescent="0.2">
      <c r="A4289" s="107">
        <v>5</v>
      </c>
      <c r="B4289" s="271" t="s">
        <v>5967</v>
      </c>
      <c r="C4289" s="271"/>
      <c r="D4289" s="271"/>
      <c r="E4289" s="271"/>
      <c r="F4289" s="271"/>
      <c r="G4289" s="271"/>
      <c r="H4289" s="271"/>
      <c r="I4289" s="271"/>
      <c r="J4289" s="271"/>
      <c r="K4289" s="271"/>
      <c r="L4289" s="271"/>
      <c r="M4289" s="271"/>
      <c r="N4289" s="271"/>
      <c r="O4289" s="271"/>
      <c r="P4289" s="271"/>
      <c r="Q4289" s="271"/>
      <c r="R4289" s="271"/>
      <c r="S4289" s="271"/>
      <c r="T4289" s="271"/>
      <c r="U4289" s="271"/>
      <c r="V4289" s="271"/>
      <c r="W4289" s="271"/>
      <c r="X4289" s="271"/>
    </row>
    <row r="4290" spans="1:24" x14ac:dyDescent="0.2">
      <c r="A4290" s="107">
        <v>6</v>
      </c>
      <c r="B4290" s="99" t="s">
        <v>5968</v>
      </c>
      <c r="C4290" s="260"/>
      <c r="D4290" s="260"/>
      <c r="E4290" s="260"/>
      <c r="F4290" s="260"/>
      <c r="G4290" s="260"/>
      <c r="H4290" s="260"/>
      <c r="I4290" s="260"/>
      <c r="J4290" s="260"/>
      <c r="K4290" s="260"/>
      <c r="L4290" s="260"/>
      <c r="M4290" s="260"/>
      <c r="N4290" s="260"/>
      <c r="O4290" s="260"/>
      <c r="P4290" s="260"/>
      <c r="Q4290" s="260"/>
      <c r="R4290" s="114"/>
      <c r="S4290" s="114"/>
      <c r="T4290" s="114"/>
      <c r="U4290" s="114"/>
      <c r="V4290" s="23"/>
      <c r="W4290" s="23"/>
      <c r="X4290" s="260"/>
    </row>
    <row r="4291" spans="1:24" x14ac:dyDescent="0.2">
      <c r="A4291" s="107">
        <v>7</v>
      </c>
      <c r="B4291" s="21" t="s">
        <v>5969</v>
      </c>
      <c r="E4291" s="21"/>
    </row>
    <row r="4292" spans="1:24" x14ac:dyDescent="0.2">
      <c r="A4292" s="107">
        <v>8</v>
      </c>
      <c r="B4292" s="21" t="s">
        <v>5970</v>
      </c>
      <c r="E4292" s="21"/>
    </row>
    <row r="4293" spans="1:24" x14ac:dyDescent="0.2">
      <c r="A4293" s="107">
        <v>9</v>
      </c>
      <c r="B4293" s="21" t="s">
        <v>5971</v>
      </c>
      <c r="E4293" s="21"/>
    </row>
    <row r="4294" spans="1:24" x14ac:dyDescent="0.2">
      <c r="A4294" s="107">
        <v>10</v>
      </c>
      <c r="B4294" s="21" t="s">
        <v>5972</v>
      </c>
      <c r="E4294" s="21"/>
    </row>
    <row r="4295" spans="1:24" x14ac:dyDescent="0.2">
      <c r="A4295" s="107">
        <v>11</v>
      </c>
      <c r="B4295" s="271" t="s">
        <v>5973</v>
      </c>
      <c r="C4295" s="271"/>
      <c r="D4295" s="271"/>
      <c r="E4295" s="271"/>
      <c r="F4295" s="271"/>
      <c r="G4295" s="271"/>
      <c r="H4295" s="271"/>
      <c r="I4295" s="271"/>
      <c r="J4295" s="271"/>
      <c r="K4295" s="271"/>
      <c r="L4295" s="271"/>
      <c r="M4295" s="271"/>
      <c r="N4295" s="271"/>
      <c r="O4295" s="271"/>
      <c r="P4295" s="271"/>
      <c r="Q4295" s="271"/>
      <c r="R4295" s="271"/>
      <c r="S4295" s="271"/>
      <c r="T4295" s="271"/>
      <c r="U4295" s="271"/>
      <c r="V4295" s="271"/>
      <c r="W4295" s="271"/>
      <c r="X4295" s="271"/>
    </row>
    <row r="4296" spans="1:24" x14ac:dyDescent="0.2">
      <c r="A4296" s="107">
        <v>12</v>
      </c>
      <c r="B4296" s="271" t="s">
        <v>5974</v>
      </c>
      <c r="C4296" s="271"/>
      <c r="D4296" s="271"/>
      <c r="E4296" s="271"/>
      <c r="F4296" s="271"/>
      <c r="G4296" s="271"/>
      <c r="H4296" s="271"/>
      <c r="I4296" s="271"/>
      <c r="J4296" s="271"/>
      <c r="K4296" s="271"/>
      <c r="L4296" s="271"/>
      <c r="M4296" s="271"/>
      <c r="N4296" s="271"/>
      <c r="O4296" s="271"/>
      <c r="P4296" s="271"/>
    </row>
    <row r="4297" spans="1:24" x14ac:dyDescent="0.2">
      <c r="A4297" s="107"/>
      <c r="B4297" s="271"/>
      <c r="C4297" s="271"/>
      <c r="D4297" s="271"/>
      <c r="E4297" s="271"/>
      <c r="F4297" s="271"/>
      <c r="G4297" s="271"/>
      <c r="H4297" s="271"/>
      <c r="I4297" s="271"/>
      <c r="J4297" s="271"/>
      <c r="K4297" s="271"/>
      <c r="L4297" s="271"/>
      <c r="M4297" s="271"/>
      <c r="N4297" s="271"/>
      <c r="O4297" s="271"/>
      <c r="P4297" s="271"/>
    </row>
    <row r="4298" spans="1:24" x14ac:dyDescent="0.2">
      <c r="A4298" s="107">
        <v>13</v>
      </c>
      <c r="B4298" s="271" t="s">
        <v>5975</v>
      </c>
      <c r="C4298" s="271"/>
      <c r="D4298" s="271"/>
      <c r="E4298" s="271"/>
      <c r="F4298" s="271"/>
      <c r="G4298" s="271"/>
      <c r="H4298" s="271"/>
      <c r="I4298" s="271"/>
      <c r="J4298" s="271"/>
      <c r="K4298" s="271"/>
      <c r="L4298" s="271"/>
      <c r="M4298" s="271"/>
      <c r="N4298" s="271"/>
      <c r="O4298" s="271"/>
      <c r="P4298" s="271"/>
    </row>
    <row r="4299" spans="1:24" x14ac:dyDescent="0.2">
      <c r="A4299" s="107">
        <v>14</v>
      </c>
      <c r="B4299" s="271" t="s">
        <v>6207</v>
      </c>
      <c r="C4299" s="271"/>
      <c r="D4299" s="271"/>
      <c r="E4299" s="271"/>
      <c r="F4299" s="271"/>
      <c r="G4299" s="271"/>
      <c r="H4299" s="271"/>
      <c r="I4299" s="271"/>
      <c r="J4299" s="271"/>
      <c r="K4299" s="271"/>
      <c r="L4299" s="271"/>
      <c r="M4299" s="271"/>
      <c r="N4299" s="271"/>
      <c r="O4299" s="271"/>
      <c r="P4299" s="271"/>
      <c r="Q4299" s="271"/>
      <c r="R4299" s="271"/>
      <c r="S4299" s="271"/>
      <c r="T4299" s="271"/>
      <c r="U4299" s="271"/>
      <c r="V4299" s="271"/>
      <c r="W4299" s="271"/>
      <c r="X4299" s="271"/>
    </row>
    <row r="4300" spans="1:24" x14ac:dyDescent="0.2">
      <c r="A4300" s="107">
        <v>15</v>
      </c>
      <c r="B4300" s="271" t="s">
        <v>6208</v>
      </c>
      <c r="C4300" s="271"/>
      <c r="D4300" s="271"/>
      <c r="E4300" s="271"/>
      <c r="F4300" s="271"/>
      <c r="G4300" s="271"/>
      <c r="H4300" s="271"/>
      <c r="I4300" s="271"/>
      <c r="J4300" s="271"/>
      <c r="K4300" s="271"/>
      <c r="L4300" s="271"/>
      <c r="M4300" s="271"/>
      <c r="N4300" s="271"/>
      <c r="O4300" s="271"/>
      <c r="P4300" s="271"/>
      <c r="Q4300" s="271"/>
      <c r="R4300" s="271"/>
      <c r="S4300" s="271"/>
      <c r="T4300" s="271"/>
      <c r="U4300" s="271"/>
      <c r="V4300" s="271"/>
      <c r="W4300" s="271"/>
      <c r="X4300" s="271"/>
    </row>
    <row r="4301" spans="1:24" x14ac:dyDescent="0.2">
      <c r="A4301" s="107">
        <v>16</v>
      </c>
      <c r="B4301" s="21" t="s">
        <v>6209</v>
      </c>
      <c r="E4301" s="21"/>
    </row>
    <row r="4302" spans="1:24" x14ac:dyDescent="0.2">
      <c r="A4302" s="107">
        <v>17</v>
      </c>
      <c r="B4302" s="21" t="s">
        <v>6210</v>
      </c>
      <c r="E4302" s="21"/>
    </row>
    <row r="4303" spans="1:24" x14ac:dyDescent="0.2">
      <c r="A4303" s="107">
        <v>18</v>
      </c>
      <c r="B4303" s="21" t="s">
        <v>6211</v>
      </c>
      <c r="E4303" s="21"/>
    </row>
    <row r="4304" spans="1:24" x14ac:dyDescent="0.2">
      <c r="A4304" s="107">
        <v>19</v>
      </c>
      <c r="B4304" s="21" t="s">
        <v>6212</v>
      </c>
      <c r="E4304" s="21"/>
    </row>
    <row r="4305" spans="1:24" x14ac:dyDescent="0.2">
      <c r="A4305" s="107">
        <v>20.21</v>
      </c>
      <c r="B4305" s="21" t="s">
        <v>6213</v>
      </c>
      <c r="E4305" s="21"/>
      <c r="M4305" s="260"/>
      <c r="N4305" s="260"/>
      <c r="O4305" s="260"/>
      <c r="P4305" s="260"/>
    </row>
    <row r="4306" spans="1:24" x14ac:dyDescent="0.2">
      <c r="A4306" s="107">
        <v>22</v>
      </c>
      <c r="B4306" s="21" t="s">
        <v>6214</v>
      </c>
      <c r="E4306" s="21"/>
      <c r="M4306" s="260"/>
      <c r="N4306" s="260"/>
      <c r="O4306" s="260"/>
      <c r="P4306" s="260"/>
    </row>
    <row r="4307" spans="1:24" x14ac:dyDescent="0.2">
      <c r="A4307" s="107">
        <v>23</v>
      </c>
      <c r="B4307" s="271" t="s">
        <v>6215</v>
      </c>
      <c r="C4307" s="271"/>
      <c r="D4307" s="271"/>
      <c r="E4307" s="271"/>
      <c r="F4307" s="271"/>
      <c r="G4307" s="271"/>
      <c r="H4307" s="271"/>
      <c r="I4307" s="271"/>
      <c r="J4307" s="271"/>
      <c r="K4307" s="271"/>
      <c r="L4307" s="271"/>
      <c r="M4307" s="271"/>
      <c r="N4307" s="271"/>
      <c r="O4307" s="271"/>
      <c r="P4307" s="271"/>
      <c r="Q4307" s="271"/>
      <c r="R4307" s="271"/>
      <c r="S4307" s="271"/>
      <c r="T4307" s="271"/>
      <c r="U4307" s="271"/>
      <c r="V4307" s="271"/>
      <c r="W4307" s="271"/>
      <c r="X4307" s="271"/>
    </row>
    <row r="4308" spans="1:24" x14ac:dyDescent="0.2">
      <c r="A4308" s="107">
        <v>24</v>
      </c>
      <c r="B4308" s="21" t="s">
        <v>6216</v>
      </c>
      <c r="E4308" s="21"/>
    </row>
  </sheetData>
  <autoFilter ref="A44:Y4262"/>
  <mergeCells count="48">
    <mergeCell ref="S31:X31"/>
    <mergeCell ref="S32:X32"/>
    <mergeCell ref="S29:X29"/>
    <mergeCell ref="S30:X30"/>
    <mergeCell ref="S24:X24"/>
    <mergeCell ref="S25:X25"/>
    <mergeCell ref="S26:X26"/>
    <mergeCell ref="S27:X27"/>
    <mergeCell ref="S28:X28"/>
    <mergeCell ref="S19:X19"/>
    <mergeCell ref="S20:X20"/>
    <mergeCell ref="S21:X21"/>
    <mergeCell ref="S23:X23"/>
    <mergeCell ref="S22:X22"/>
    <mergeCell ref="B4307:X4307"/>
    <mergeCell ref="B4281:W4281"/>
    <mergeCell ref="B4284:W4284"/>
    <mergeCell ref="B4289:X4289"/>
    <mergeCell ref="B4295:X4295"/>
    <mergeCell ref="B4296:P4297"/>
    <mergeCell ref="B4298:P4298"/>
    <mergeCell ref="B4272:W4272"/>
    <mergeCell ref="B4299:X4299"/>
    <mergeCell ref="B4300:X4300"/>
    <mergeCell ref="S33:X33"/>
    <mergeCell ref="S34:X34"/>
    <mergeCell ref="S35:X35"/>
    <mergeCell ref="S36:X36"/>
    <mergeCell ref="S37:X37"/>
    <mergeCell ref="S39:X39"/>
    <mergeCell ref="S38:X38"/>
    <mergeCell ref="S40:X40"/>
    <mergeCell ref="S41:X41"/>
    <mergeCell ref="S42:X42"/>
    <mergeCell ref="A4:X4"/>
    <mergeCell ref="S6:X6"/>
    <mergeCell ref="S7:X7"/>
    <mergeCell ref="S11:X11"/>
    <mergeCell ref="S8:X8"/>
    <mergeCell ref="S9:X9"/>
    <mergeCell ref="S10:X10"/>
    <mergeCell ref="S18:X18"/>
    <mergeCell ref="S17:X17"/>
    <mergeCell ref="S12:X12"/>
    <mergeCell ref="S13:X13"/>
    <mergeCell ref="S14:X14"/>
    <mergeCell ref="S15:X15"/>
    <mergeCell ref="S16:X16"/>
  </mergeCells>
  <phoneticPr fontId="0" type="noConversion"/>
  <hyperlinks>
    <hyperlink ref="C746" r:id="rId1" display="http://enstru.skc.kz/ru/ntru/detail/?kpved=29.32.30.00.07.00.04.02.1"/>
    <hyperlink ref="C1028" r:id="rId2" display="http://enstru.skc.kz/ru/ntru/detail/?kpved=17.22.11.10.00.00.00.20.4"/>
    <hyperlink ref="C1079" r:id="rId3" display="http://enstru.skc.kz/ru/ntru/detail/?kpved=20.41.32.00.00.00.40.31.2"/>
    <hyperlink ref="C1030" r:id="rId4" display="http://enstru.skc.kz/ru/ntru/detail/?kpved=32.91.11.00.00.00.17.20.1"/>
    <hyperlink ref="C1100" r:id="rId5" display="http://enstru.skc.kz/ru/ntru/detail/?kpved=17.22.11.10.00.00.00.20.4"/>
    <hyperlink ref="C1119" r:id="rId6" display="http://enstru.skc.kz/ru/ntru/detail/?kpved=20.41.32.00.00.00.40.31.2"/>
    <hyperlink ref="C1123" r:id="rId7" display="http://enstru.skc.kz/ru/ntru/detail/?kpved=17.22.11.10.00.00.00.20.4"/>
    <hyperlink ref="C2975" r:id="rId8" display="http://enstru.skc.kz/ru/ntru/detail/?kpved=28.14.13.21.10.12.00.05.1"/>
    <hyperlink ref="C2977" r:id="rId9" display="http://enstru.skc.kz/ru/ntru/detail/?kpved=28.14.13.21.10.12.00.02.1"/>
    <hyperlink ref="C2768" r:id="rId10" display="http://enstru.skc.kz/ru/ntru/detail/?kpved=24.45.30.01.20.10.10.11.1"/>
    <hyperlink ref="C2784" r:id="rId11" display="http://enstru.skc.kz/ru/ntru/detail/?kpved=23.99.11.06.01.00.00.01.1"/>
    <hyperlink ref="C3121" r:id="rId12" display="http://enstru.skc.kz/ru/ntru/detail/?kpved=26.30.60.00.00.00.22.50.1"/>
    <hyperlink ref="C3123" r:id="rId13" display="http://enstru.skc.kz/ru/ntru/detail/?kpved=26.30.60.00.00.00.22.12.2"/>
    <hyperlink ref="C3125" r:id="rId14" display="http://enstru.skc.kz/ru/ntru/detail/?kpved=30.20.31.00.00.00.30.04.1"/>
    <hyperlink ref="C3015" r:id="rId15" display="http://enstru.skc.kz/ru/ntru/detail/?kpved=13.94.20.00.00.00.30.10.1"/>
    <hyperlink ref="C3001" r:id="rId16" display="http://enstru.skc.kz/ru/ntru/detail/?kpved=22.29.21.20.00.00.10.10.1"/>
    <hyperlink ref="C3034" r:id="rId17" display="http://enstru.skc.kz/ru/ntru/detail/?kpved=22.21.29.00.00.23.33.19.1"/>
    <hyperlink ref="C3036" r:id="rId18" display="http://enstru.skc.kz/ru/ntru/detail/?kpved=22.21.29.00.00.23.33.15.1"/>
    <hyperlink ref="C3040" r:id="rId19" display="http://enstru.skc.kz/ru/ntru/detail/?kpved=22.21.29.00.00.23.33.13.1"/>
    <hyperlink ref="C3042" r:id="rId20" display="http://enstru.skc.kz/ru/ntru/detail/?kpved=22.21.29.00.00.23.33.10.1"/>
    <hyperlink ref="C3088" r:id="rId21" display="http://enstru.skc.kz/ru/ntru/detail/?kpved=22.19.34.00.00.26.11.05.1"/>
    <hyperlink ref="C3090" r:id="rId22" display="http://enstru.skc.kz/ru/ntru/detail/?kpved=22.19.34.00.00.26.11.04.1"/>
    <hyperlink ref="C3047" r:id="rId23" display="http://enstru.skc.kz/ru/ntru/detail/?kpved=25.94.11.00.00.30.10.30.1"/>
    <hyperlink ref="C3049" r:id="rId24" display="http://enstru.skc.kz/ru/ntru/detail/?kpved=25.94.11.00.00.30.10.20.1"/>
    <hyperlink ref="C3051" r:id="rId25" display="http://enstru.skc.kz/ru/ntru/detail/?kpved=25.94.11.00.00.30.10.10.1"/>
    <hyperlink ref="C3084" r:id="rId26" display="http://enstru.skc.kz/ru/ntru/detail/?kpved=22.21.29.00.00.51.10.10.1"/>
    <hyperlink ref="C3154" r:id="rId27" display="http://enstru.skc.kz/ru/ntru/detail/?kpved=28.29.32.00.00.00.11.15.1"/>
    <hyperlink ref="C2053" r:id="rId28" display="http://enstru.skc.kz/ru/ntru/detail/?kpved=25.72.11.00.00.12.14.10.1"/>
    <hyperlink ref="C2055" r:id="rId29" display="http://enstru.skc.kz/ru/ntru/detail/?kpved=25.72.11.00.00.10.12.10.1"/>
    <hyperlink ref="C2110" r:id="rId30" display="http://enstru.skc.kz/ru/ntru/detail/?kpved=32.91.12.00.00.00.14.18.1"/>
    <hyperlink ref="C2327" r:id="rId31" display="http://enstru.skc.kz/ru/ntru/detail/?kpved=25.73.10.00.00.20.22.10.1"/>
    <hyperlink ref="C2555" r:id="rId32" display="http://enstru.skc.kz/ru/ntru/detail/?kpved=22.19.72.00.00.10.10.20.1"/>
    <hyperlink ref="C2057" r:id="rId33" display="http://enstru.skc.kz/ru/ntru/detail/?kpved=25.72.13.00.00.31.10.10.1"/>
    <hyperlink ref="C3136" r:id="rId34" display="http://enstru.skc.kz/ru/ntru/detail/?kpved=22.29.23.00.00.00.32.20.1"/>
    <hyperlink ref="C2172" r:id="rId35" display="http://enstru.skc.kz/ru/ntru/detail/?kpved=22.29.23.00.00.00.10.19.1"/>
    <hyperlink ref="C2113" r:id="rId36" display="http://enstru.skc.kz/ru/ntru/detail/?kpved=32.91.19.00.00.00.20.05.1"/>
    <hyperlink ref="C2119" r:id="rId37" display="http://enstru.skc.kz/ru/ntru/detail/?kpved=28.30.52.00.00.00.10.30.1"/>
    <hyperlink ref="C2063" r:id="rId38" display="http://enstru.skc.kz/ru/ntru/detail/?kpved=31.00.20.00.00.00.02.01.1"/>
    <hyperlink ref="C2748" r:id="rId39" display="http://enstru.skc.kz/ru/ntru/detail/?kpved=27.90.31.00.01.02.05.10.1"/>
    <hyperlink ref="C2746" r:id="rId40" display="http://enstru.skc.kz/ru/ntru/detail/?kpved=27.90.31.00.01.02.06.10.1"/>
    <hyperlink ref="C2311" r:id="rId41" display="http://enstru.skc.kz/ru/ntru/detail/?kpved=28.92.61.22.05.01.01.01.2"/>
    <hyperlink ref="C2315" r:id="rId42" display="http://enstru.skc.kz/ru/ntru/detail/?kpved=25.73.30.00.00.22.12.12.1"/>
    <hyperlink ref="C2317" r:id="rId43" display="http://enstru.skc.kz/ru/ntru/detail/?kpved=25.73.30.00.00.18.10.18.1"/>
    <hyperlink ref="C2124" r:id="rId44" display="http://enstru.skc.kz/ru/ntru/detail/?kpved=16.29.11.00.00.00.00.30.1"/>
    <hyperlink ref="C2325" r:id="rId45" display="http://enstru.skc.kz/ru/ntru/detail/?kpved=23.91.11.00.00.10.02.01.1"/>
    <hyperlink ref="C2169" r:id="rId46" display="http://enstru.skc.kz/ru/ntru/detail/?kpved=25.99.29.00.02.13.17.10.1"/>
    <hyperlink ref="C2329" r:id="rId47" display="http://enstru.skc.kz/ru/ntru/detail/?kpved=25.99.29.00.02.13.23.03.1"/>
    <hyperlink ref="C2586" r:id="rId48" display="http://enstru.skc.kz/ru/ntru/detail/?kpved=22.21.29.00.00.27.05.10.1"/>
    <hyperlink ref="C2730" r:id="rId49" display="http://enstru.skc.kz/ru/ntru/detail/?kpved=27.11.21.10.10.10.10.12.1"/>
    <hyperlink ref="C2596" r:id="rId50" display="http://enstru.skc.kz/ru/ntru/detail/?kpved=24.45.30.01.15.11.12.11.2"/>
    <hyperlink ref="C2896" r:id="rId51" display="http://enstru.skc.kz/ru/ntru/detail/?kpved=24.20.40.00.16.10.10.11.1"/>
    <hyperlink ref="C2626" r:id="rId52" display="http://enstru.skc.kz/ru/ntru/detail/?kpved=28.14.20.12.00.00.00.01.1"/>
    <hyperlink ref="C2631" r:id="rId53" display="http://enstru.skc.kz/ru/ntru/detail/?kpved=20.59.59.00.01.14.10.10.1"/>
    <hyperlink ref="C2636" r:id="rId54" display="http://enstru.skc.kz/ru/ntru/detail/?kpved=22.19.24.00.00.00.11.14.1"/>
    <hyperlink ref="C2929" r:id="rId55" display="http://enstru.skc.kz/ru/ntru/detail/?kpved=22.21.21.00.00.12.40.15.1"/>
    <hyperlink ref="C2939" r:id="rId56" display="http://enstru.skc.kz/ru/ntru/detail/?kpved=13.10.29.00.00.00.00.20.1"/>
    <hyperlink ref="C2924" r:id="rId57" display="http://enstru.skc.kz/ru/ntru/detail/?kpved=22.19.35.00.00.45.20.08.1"/>
    <hyperlink ref="C2468" r:id="rId58" display="http://enstru.skc.kz/ru/ntru/detail/?kpved=20.59.59.00.16.00.00.12.2"/>
    <hyperlink ref="C2665" r:id="rId59" display="http://enstru.skc.kz/ru/ntru/detail/?kpved=24.34.13.00.00.20.16.11.1"/>
    <hyperlink ref="C2688" r:id="rId60" display="http://enstru.skc.kz/ru/ntru/detail/?kpved=28.14.13.41.00.00.00.03.1"/>
    <hyperlink ref="C2690" r:id="rId61" display="http://enstru.skc.kz/ru/ntru/detail/?kpved=20.14.19.00.00.20.50.10.3"/>
    <hyperlink ref="C2696" r:id="rId62" display="http://enstru.skc.kz/ru/ntru/detail/?kpved=24.45.30.01.19.10.10.11.1"/>
    <hyperlink ref="C2575" r:id="rId63" display="http://enstru.skc.kz/ru/ntru/detail/?kpved=28.29.13.00.00.00.10.14.1"/>
    <hyperlink ref="C2578" r:id="rId64" display="http://enstru.skc.kz/ru/ntru/detail/?kpved=28.25.30.10.10.10.01.03.1"/>
    <hyperlink ref="C2692" r:id="rId65" display="http://enstru.skc.kz/ru/ntru/detail/?kpved=20.14.19.00.00.20.55.10.1"/>
    <hyperlink ref="C2701" r:id="rId66" display="http://enstru.skc.kz/ru/ntru/detail/?kpved=20.14.23.00.00.10.10.50.2"/>
    <hyperlink ref="C3116" r:id="rId67" display="http://enstru.skc.kz/ru/ntru/detail/?kpved=26.30.60.00.00.00.26.70.1"/>
    <hyperlink ref="C3117" r:id="rId68" display="http://enstru.skc.kz/ru/ntru/detail/?kpved=22.19.35.00.00.00.70.20.4"/>
    <hyperlink ref="C3135" r:id="rId69" display="http://enstru.skc.kz/ru/ntru/detail/?kpved=27.20.11.00.00.00.06.15.1"/>
    <hyperlink ref="C2174" r:id="rId70" display="http://enstru.skc.kz/ru/ntru/detail/?kpved=15.12.12.00.00.00.38.30.1"/>
    <hyperlink ref="C2706" r:id="rId71" display="http://enstru.skc.kz/ru/ntru/detail/?kpved=26.51.51.11.13.11.11.11.1"/>
    <hyperlink ref="C2262" r:id="rId72" display="http://enstru.skc.kz/ru/ntru/detail/?kpved=25.73.30.00.00.25.10.10.1"/>
    <hyperlink ref="C2704" r:id="rId73" display="http://enstru.skc.kz/ru/ntru/detail/?kpved=25.93.12.00.00.11.16.10.1"/>
    <hyperlink ref="C3157" r:id="rId74" display="http://enstru.skc.kz/ru/ntru/detail/?kpved=27.90.40.09.10.01.01.01.1"/>
    <hyperlink ref="C2180" r:id="rId75" display="http://enstru.skc.kz/ru/ntru/detail/?kpved=25.73.30.00.00.14.20.19.1"/>
    <hyperlink ref="C2184" r:id="rId76" display="http://enstru.skc.kz/ru/ntru/detail/?kpved=25.73.30.00.00.30.12.01.1"/>
    <hyperlink ref="C2186" r:id="rId77" display="http://enstru.skc.kz/ru/ntru/detail/?kpved=25.73.30.00.00.23.25.10.2"/>
    <hyperlink ref="C2190" r:id="rId78" display="http://enstru.skc.kz/ru/ntru/detail/?kpved=25.94.13.00.00.10.41.10.3"/>
    <hyperlink ref="C2192" r:id="rId79" display="http://enstru.skc.kz/ru/ntru/detail/?kpved=25.94.13.00.00.10.41.10.3"/>
    <hyperlink ref="C2197" r:id="rId80" display="http://enstru.skc.kz/ru/ntru/detail/?kpved=25.73.30.00.00.14.11.10.1"/>
    <hyperlink ref="C2202" r:id="rId81" display="http://enstru.skc.kz/ru/ntru/detail/?kpved=25.73.30.00.00.19.10.10.1"/>
    <hyperlink ref="C2205" r:id="rId82" display="http://enstru.skc.kz/ru/ntru/detail/?kpved=25.99.29.00.10.10.00.09.1"/>
    <hyperlink ref="C2323" r:id="rId83" display="http://enstru.skc.kz/ru/ntru/detail/?kpved=25.73.20.00.00.11.10.11.1"/>
    <hyperlink ref="C2214" r:id="rId84" display="http://enstru.skc.kz/ru/ntru/detail/?kpved=25.73.30.00.00.32.47.10.1"/>
    <hyperlink ref="C3166" r:id="rId85" display="http://enstru.skc.kz/ru/ntru/detail/?kpved=28.93.13.00.00.00.07.02.1"/>
    <hyperlink ref="C3168" r:id="rId86" display="http://enstru.skc.kz/ru/ntru/detail/?kpved=27.51.21.04.02.00.00.20.1"/>
    <hyperlink ref="C2220" r:id="rId87" display="http://enstru.skc.kz/ru/ntru/detail/?kpved=25.73.30.00.00.16.29.10.1"/>
    <hyperlink ref="C2195" r:id="rId88" display="http://enstru.skc.kz/ru/ntru/detail/?kpved=25.73.30.00.00.18.06.10.1"/>
    <hyperlink ref="C2223" r:id="rId89" display="http://enstru.skc.kz/ru/ntru/detail/?kpved=25.71.11.00.00.30.25.10.1"/>
    <hyperlink ref="C2225" r:id="rId90" display="http://enstru.skc.kz/ru/ntru/detail/?kpved=25.73.40.00.00.12.10.01.2"/>
    <hyperlink ref="C2227" r:id="rId91" display="http://enstru.skc.kz/ru/ntru/detail/?kpved=25.73.40.00.00.12.10.01.2"/>
    <hyperlink ref="C2232" r:id="rId92" display="http://enstru.skc.kz/ru/ntru/detail/?kpved=25.73.30.00.00.21.10.12.1"/>
    <hyperlink ref="C2234" r:id="rId93" display="http://enstru.skc.kz/ru/ntru/detail/?kpved=25.73.10.00.00.20.11.10.1"/>
    <hyperlink ref="C2334" r:id="rId94" display="http://enstru.skc.kz/ru/ntru/detail/?kpved=25.94.11.00.00.10.37.01.1"/>
    <hyperlink ref="C2341" r:id="rId95" display="http://enstru.skc.kz/ru/ntru/detail/?kpved=25.94.12.00.00.11.10.10.3"/>
    <hyperlink ref="C2337" r:id="rId96" display="http://enstru.skc.kz/ru/ntru/detail/?kpved=25.94.11.00.00.10.37.01.1"/>
    <hyperlink ref="C2345" r:id="rId97" display="http://enstru.skc.kz/ru/ntru/detail/?kpved=25.94.12.00.00.11.10.11.3"/>
    <hyperlink ref="C2347" r:id="rId98" display="http://enstru.skc.kz/ru/ntru/detail/?kpved=25.94.12.00.00.11.10.12.3"/>
    <hyperlink ref="C2350" r:id="rId99" display="http://enstru.skc.kz/ru/ntru/detail/?kpved=25.94.12.00.00.11.10.14.3"/>
    <hyperlink ref="C2264" r:id="rId100" display="http://enstru.skc.kz/ru/ntru/detail/?kpved=25.73.30.00.00.10.16.13.1"/>
    <hyperlink ref="C2266" r:id="rId101" display="http://enstru.skc.kz/ru/ntru/detail/?kpved=25.73.30.00.00.10.16.13.1"/>
    <hyperlink ref="C2026" r:id="rId102" display="http://enstru.skc.kz/ru/ntru/detail/?kpved=25.72.11.00.00.12.14.10.1"/>
    <hyperlink ref="C2268" r:id="rId103" display="http://enstru.skc.kz/ru/ntru/detail/?kpved=25.73.30.00.00.14.17.50.1"/>
    <hyperlink ref="C2491" r:id="rId104" display="http://enstru.skc.kz/ru/ntru/detail/?kpved=13.99.19.00.00.00.20.12.1"/>
    <hyperlink ref="C2285" r:id="rId105" display="http://enstru.skc.kz/ru/ntru/detail/?kpved=25.71.11.00.00.10.20.10.1"/>
    <hyperlink ref="C2394" r:id="rId106" display="http://enstru.skc.kz/ru/ntru/detail/?kpved=25.12.10.00.00.11.11.10.1"/>
    <hyperlink ref="C2352" r:id="rId107" display="http://enstru.skc.kz/ru/ntru/detail/?kpved=25.94.12.00.00.11.10.10.3"/>
    <hyperlink ref="C2357" r:id="rId108" display="http://enstru.skc.kz/ru/ntru/detail/?kpved=25.94.12.00.00.12.10.50.1"/>
    <hyperlink ref="C2410" r:id="rId109" display="http://enstru.skc.kz/ru/ntru/detail/?kpved=22.21.30.00.00.10.05.10.1"/>
    <hyperlink ref="C2028" r:id="rId110" display="http://enstru.skc.kz/ru/ntru/detail/?kpved=25.72.13.00.00.31.10.10.1"/>
    <hyperlink ref="C2023" r:id="rId111" display="http://enstru.skc.kz/ru/ntru/detail/?kpved=25.72.12.00.00.12.10.10.1"/>
    <hyperlink ref="C2024" r:id="rId112" display="http://enstru.skc.kz/ru/ntru/detail/?kpved=25.72.11.00.00.12.14.10.1"/>
    <hyperlink ref="C2454" r:id="rId113" display="http://enstru.skc.kz/ru/ntru/detail/?kpved=20.30.21.00.21.11.05.00.1"/>
    <hyperlink ref="C2133" r:id="rId114" display="http://enstru.skc.kz/ru/ntru/detail/?kpved=22.22.13.45.01.01.10.00.1"/>
    <hyperlink ref="C2414" r:id="rId115" display="http://enstru.skc.kz/ru/ntru/detail/?kpved=32.99.11.00.00.00.14.11.1"/>
    <hyperlink ref="C2440" r:id="rId116" display="http://enstru.skc.kz/ru/ntru/detail/?kpved=32.99.59.00.00.00.21.00.1"/>
    <hyperlink ref="C2367" r:id="rId117" display="http://enstru.skc.kz/ru/ntru/detail/?kpved=25.93.14.00.00.10.16.14.1"/>
    <hyperlink ref="C2241" r:id="rId118" display="http://enstru.skc.kz/ru/ntru/detail/?kpved=25.71.11.00.00.31.11.10.1"/>
    <hyperlink ref="C2442" r:id="rId119" display="http://enstru.skc.kz/ru/ntru/detail/?kpved=08.12.11.00.00.00.10.10.1"/>
    <hyperlink ref="C2446" r:id="rId120" display="http://enstru.skc.kz/ru/ntru/detail/?kpved=20.59.59.00.15.00.00.73.2"/>
    <hyperlink ref="C2879" r:id="rId121" display="http://enstru.skc.kz/ru/ntru/detail/?kpved=22.21.29.00.00.35.12.28.1"/>
    <hyperlink ref="C2965" r:id="rId122" display="http://enstru.skc.kz/ru/ntru/detail/?kpved=28.14.13.13.00.00.00.04.1"/>
    <hyperlink ref="C3044" r:id="rId123" display="http://enstru.skc.kz/ru/ntru/detail/?kpved=22.21.29.00.00.23.13.12.1"/>
    <hyperlink ref="C2714" r:id="rId124" display="http://enstru.skc.kz/ru/ntru/detail/?kpved=32.91.11.00.00.00.15.60.1"/>
    <hyperlink ref="C2716" r:id="rId125" display="http://enstru.skc.kz/ru/ntru/detail/?kpved=19.20.29.00.00.00.13.20.3"/>
    <hyperlink ref="C2764" r:id="rId126" display="http://enstru.skc.kz/ru/ntru/detail/?kpved=28.29.60.00.00.10.12.10.1"/>
    <hyperlink ref="C2732" r:id="rId127" display="http://enstru.skc.kz/ru/ntru/detail/?kpved=20.59.42.00.00.20.40.10.4"/>
    <hyperlink ref="C2134" r:id="rId128" display="http://enstru.skc.kz/ru/ntru/detail/?kpved=22.22.13.45.01.01.10.00.1"/>
    <hyperlink ref="C2299" r:id="rId129" display="http://enstru.skc.kz/ru/ntru/detail/?kpved=32.99.87.00.00.00.00.32.1"/>
    <hyperlink ref="C2301" r:id="rId130" display="http://enstru.skc.kz/ru/ntru/detail/?kpved=22.29.23.00.00.00.20.10.1"/>
    <hyperlink ref="C2130" r:id="rId131" display="http://enstru.skc.kz/ru/ntru/detail/?kpved=28.22.18.00.00.10.10.02.1"/>
    <hyperlink ref="C3127" r:id="rId132" display="http://enstru.skc.kz/ru/ntru/detail/?kpved=28.30.93.00.00.20.60.10.1"/>
    <hyperlink ref="C2161" r:id="rId133" display="http://enstru.skc.kz/ru/ntru/detail/?kpved=28.30.60.00.00.00.10.13.1"/>
    <hyperlink ref="C2155" r:id="rId134" display="http://enstru.skc.kz/ru/ntru/detail/?kpved=22.29.23.50.40.10.11.10.1"/>
    <hyperlink ref="C2157" r:id="rId135" display="http://enstru.skc.kz/ru/ntru/detail/?kpved=28.30.60.00.00.00.40.11.1"/>
    <hyperlink ref="C2159" r:id="rId136" display="http://enstru.skc.kz/ru/ntru/detail/?kpved=22.21.29.00.00.51.10.10.1"/>
    <hyperlink ref="C2182" r:id="rId137" display="http://enstru.skc.kz/ru/ntru/detail/?kpved=25.73.30.00.00.14.20.19.1"/>
    <hyperlink ref="C2188" r:id="rId138" display="http://enstru.skc.kz/ru/ntru/detail/?kpved=25.94.13.00.00.10.41.10.3"/>
    <hyperlink ref="C2302" r:id="rId139" display="http://enstru.skc.kz/ru/ntru/detail/?kpved=25.73.30.00.00.30.10.17.1"/>
    <hyperlink ref="C2305" r:id="rId140" display="http://enstru.skc.kz/ru/ntru/detail/?kpved=25.99.23.00.00.11.18.10.1"/>
    <hyperlink ref="C2307" r:id="rId141" display="http://enstru.skc.kz/ru/ntru/detail/?kpved=25.73.30.00.00.14.17.60.1"/>
    <hyperlink ref="C2309" r:id="rId142" display="http://enstru.skc.kz/ru/ntru/detail/?kpved=25.73.30.00.00.30.12.01.1"/>
    <hyperlink ref="C2293" r:id="rId143" display="http://enstru.skc.kz/ru/ntru/detail/?kpved=25.73.30.00.00.14.13.11.1"/>
    <hyperlink ref="C2212" r:id="rId144" display="http://enstru.skc.kz/ru/ntru/detail/?kpved=25.94.13.00.00.10.30.10.1"/>
    <hyperlink ref="C3141" r:id="rId145" display="http://enstru.skc.kz/ru/ntru/detail/?kpved=27.51.23.00.00.04.02.20.1"/>
    <hyperlink ref="C3144" r:id="rId146" display="http://enstru.skc.kz/ru/ntru/detail/?kpved=28.94.21.00.00.00.05.06.1"/>
    <hyperlink ref="C3146" r:id="rId147" display="http://enstru.skc.kz/ru/ntru/detail/?kpved=32.99.59.00.00.00.30.10.1"/>
    <hyperlink ref="C3164" r:id="rId148" display="http://enstru.skc.kz/ru/ntru/detail/?kpved=25.94.13.00.00.10.35.10.1"/>
    <hyperlink ref="C2493" r:id="rId149" display="http://enstru.skc.kz/ru/ntru/detail/?kpved=23.51.12.00.00.10.10.10.2"/>
    <hyperlink ref="C2429" r:id="rId150" display="http://enstru.skc.kz/ru/ntru/detail/?kpved=20.30.11.00.00.00.10.50.1"/>
    <hyperlink ref="C2476" r:id="rId151" display="http://enstru.skc.kz/ru/ntru/detail/?kpved=20.52.10.00.00.00.06.10.3"/>
    <hyperlink ref="C2377" r:id="rId152" display="http://enstru.skc.kz/ru/ntru/detail/?kpved=17.24.11.30.00.00.00.20.1"/>
    <hyperlink ref="C2506" r:id="rId153" display="http://enstru.skc.kz/ru/ntru/detail/?kpved=23.31.10.01.03.01.01.22.1"/>
    <hyperlink ref="C2510" r:id="rId154" display="http://enstru.skc.kz/ru/ntru/detail/?kpved=22.23.11.00.00.30.30.10.1"/>
    <hyperlink ref="C2508" r:id="rId155" display="http://enstru.skc.kz/ru/ntru/detail/?kpved=22.23.11.00.00.30.30.10.1"/>
    <hyperlink ref="C2339" r:id="rId156" display="http://enstru.skc.kz/ru/ntru/detail/?kpved=25.94.12.00.00.11.10.10.3"/>
    <hyperlink ref="C2030" r:id="rId157" display="http://enstru.skc.kz/ru/ntru/detail/?kpved=25.72.14.00.00.60.50.10.1"/>
    <hyperlink ref="C2518" r:id="rId158" display="http://enstru.skc.kz/ru/ntru/detail/?kpved=22.23.14.00.00.70.10.10.1"/>
    <hyperlink ref="C2471" r:id="rId159" display="http://enstru.skc.kz/ru/ntru/detail/?kpved=20.52.10.00.00.00.20.10.1"/>
    <hyperlink ref="C2524" r:id="rId160" display="http://enstru.skc.kz/ru/ntru/detail/?kpved=23.52.10.00.00.10.10.25.2"/>
    <hyperlink ref="C2035" r:id="rId161" display="http://enstru.skc.kz/ru/ntru/detail/?kpved=25.12.10.00.00.16.30.10.1"/>
    <hyperlink ref="C2032" r:id="rId162" display="http://enstru.skc.kz/ru/ntru/detail/?kpved=25.72.14.00.00.60.52.10.1"/>
    <hyperlink ref="C3137" r:id="rId163" display="http://enstru.skc.kz/ru/ntru/detail/?kpved=28.93.13.00.00.00.11.02.1"/>
    <hyperlink ref="C2131" r:id="rId164" display="http://enstru.skc.kz/ru/ntru/detail/?kpved=30.99.10.00.00.00.20.10.1"/>
    <hyperlink ref="C3129" r:id="rId165" display="http://enstru.skc.kz/ru/ntru/detail/?kpved=31.01.12.00.00.04.05.17.1"/>
    <hyperlink ref="C3153" r:id="rId166" display="http://enstru.skc.kz/ru/ntru/detail/?kpved=27.51.21.01.01.00.00.30.1"/>
    <hyperlink ref="C2386" r:id="rId167" display="http://enstru.skc.kz/ru/ntru/detail/?kpved=16.21.14.00.10.00.00.04.1"/>
    <hyperlink ref="C3130" r:id="rId168" display="http://enstru.skc.kz/ru/ntru/detail/?kpved=20.41.43.00.00.00.20.10.3"/>
    <hyperlink ref="C3131" r:id="rId169" display="http://enstru.skc.kz/ru/ntru/detail/?kpved=13.92.21.00.00.00.30.16.1"/>
    <hyperlink ref="C2135" r:id="rId170" display="http://enstru.skc.kz/ru/ntru/detail/?kpved=22.22.13.45.01.01.10.00.1"/>
    <hyperlink ref="C3139" r:id="rId171" display="http://enstru.skc.kz/ru/ntru/detail/?kpved=22.29.23.00.00.00.32.31.1"/>
    <hyperlink ref="C2500" r:id="rId172" display="http://enstru.skc.kz/ru/ntru/detail/?kpved=25.93.13.00.00.10.21.12.1"/>
    <hyperlink ref="C2512" r:id="rId173" display="http://enstru.skc.kz/ru/ntru/detail/?kpved=23.31.10.01.03.02.01.15.1"/>
    <hyperlink ref="C2514" r:id="rId174" display="http://enstru.skc.kz/ru/ntru/detail/?kpved=23.31.10.01.01.01.01.10.1"/>
    <hyperlink ref="C2516" r:id="rId175" display="http://enstru.skc.kz/ru/ntru/detail/?kpved=23.31.10.01.02.01.21.50.1"/>
    <hyperlink ref="C2355" r:id="rId176" display="http://enstru.skc.kz/ru/ntru/detail/?kpved=25.94.12.00.00.11.10.10.3"/>
    <hyperlink ref="C2459" r:id="rId177" display="http://enstru.skc.kz/ru/ntru/detail/?kpved=20.30.21.00.21.02.12.18.2"/>
    <hyperlink ref="C2401" r:id="rId178" display="http://enstru.skc.kz/ru/ntru/detail/?kpved=22.23.15.00.00.10.10.10.1"/>
    <hyperlink ref="C2489" r:id="rId179" display="http://enstru.skc.kz/ru/ntru/detail/?kpved=32.99.80.00.00.00.00.15.1"/>
    <hyperlink ref="C2487" r:id="rId180" display="http://enstru.skc.kz/ru/ntru/detail/?kpved=32.99.80.00.00.00.00.11.1"/>
    <hyperlink ref="C2041" r:id="rId181" display="http://enstru.skc.kz/ru/ntru/detail/?kpved=25.72.14.00.00.62.15.10.1"/>
    <hyperlink ref="C2478" r:id="rId182" display="http://enstru.skc.kz/ru/ntru/detail/?kpved=20.52.10.00.00.00.09.06.1"/>
    <hyperlink ref="C2037" r:id="rId183" display="http://enstru.skc.kz/ru/ntru/detail/?kpved=25.12.10.00.00.23.10.10.1"/>
    <hyperlink ref="C2039" r:id="rId184" display="http://enstru.skc.kz/ru/ntru/detail/?kpved=25.12.10.00.00.16.30.10.1"/>
    <hyperlink ref="C2389" r:id="rId185" display="http://enstru.skc.kz/ru/ntru/detail/?kpved=22.23.14.00.00.76.10.30.1"/>
    <hyperlink ref="C2362" r:id="rId186" display="http://enstru.skc.kz/ru/ntru/detail/?kpved=25.94.12.00.00.12.12.10.2"/>
    <hyperlink ref="C2540" r:id="rId187" display="http://enstru.skc.kz/ru/ntru/detail/?kpved=24.33.11.00.10.13.10.10.1"/>
    <hyperlink ref="C893" r:id="rId188" display="http://enstru.skc.kz/ru/ntru/detail/?kpved=27.20.11.00.00.00.07.30.1"/>
    <hyperlink ref="C2736" r:id="rId189" display="http://enstru.skc.kz/ru/ntru/detail/?kpved=23.65.12.00.20.10.00.04.1"/>
    <hyperlink ref="C2738" r:id="rId190" display="http://enstru.skc.kz/ru/ntru/detail/?kpved=23.99.11.04.01.00.00.12.1"/>
    <hyperlink ref="C2922" r:id="rId191" display="http://enstru.skc.kz/ru/ntru/detail/?kpved=22.21.29.00.00.23.13.12.1"/>
    <hyperlink ref="C2920" r:id="rId192" display="http://enstru.skc.kz/ru/ntru/detail/?kpved=22.21.29.00.00.23.33.10.1"/>
    <hyperlink ref="C2918" r:id="rId193" display="http://enstru.skc.kz/ru/ntru/detail/?kpved=22.21.29.00.00.23.33.13.1"/>
    <hyperlink ref="C2731" r:id="rId194" display="http://enstru.skc.kz/ru/ntru/detail/?kpved=28.29.60.00.00.10.12.10.1"/>
    <hyperlink ref="C2722" r:id="rId195" display="http://enstru.skc.kz/ru/ntru/detail/?kpved=22.21.29.00.00.10.20.10.1"/>
    <hyperlink ref="C2960" r:id="rId196" display="http://enstru.skc.kz/ru/ntru/detail/?kpved=28.13.14.10.07.07.00.03.1"/>
    <hyperlink ref="C2814" r:id="rId197" display="http://enstru.skc.kz/ru/ntru/detail/?kpved=22.21.21.00.00.40.21.10.2"/>
    <hyperlink ref="C2810" r:id="rId198" display="http://enstru.skc.kz/ru/ntru/detail/?kpved=22.21.21.00.00.40.01.06.1"/>
    <hyperlink ref="C2074" r:id="rId199" display="http://enstru.skc.kz/ru/ntru/detail/?kpved=32.91.12.00.00.00.14.18.1"/>
    <hyperlink ref="C2046" r:id="rId200" display="http://enstru.skc.kz/ru/ntru/detail/?kpved=25.12.10.00.00.17.13.10.1"/>
    <hyperlink ref="C2048" r:id="rId201" display="http://enstru.skc.kz/ru/ntru/detail/?kpved=13.92.22.00.00.00.10.15.1"/>
    <hyperlink ref="C2050" r:id="rId202" display="http://enstru.skc.kz/ru/ntru/detail/?kpved=25.72.13.00.00.10.11.10.1"/>
    <hyperlink ref="C2092" r:id="rId203" display="http://enstru.skc.kz/ru/ntru/detail/?kpved=28.30.52.00.00.00.10.30.1"/>
    <hyperlink ref="C2106" r:id="rId204" display="http://enstru.skc.kz/ru/ntru/detail/?kpved=16.29.11.00.00.00.00.30.1"/>
    <hyperlink ref="C2098" r:id="rId205" display="http://enstru.skc.kz/ru/ntru/detail/?kpved=25.73.30.00.00.21.13.12.1"/>
    <hyperlink ref="C2132" r:id="rId206" display="http://enstru.skc.kz/ru/ntru/detail/?kpved=25.99.29.00.10.02.00.10.1"/>
    <hyperlink ref="C2245" r:id="rId207" display="http://enstru.skc.kz/ru/ntru/detail/?kpved=25.73.30.00.00.22.12.12.1"/>
    <hyperlink ref="C2253" r:id="rId208" display="http://enstru.skc.kz/ru/ntru/detail/?kpved=25.73.20.00.00.11.10.11.1"/>
    <hyperlink ref="C2258" r:id="rId209" display="http://enstru.skc.kz/ru/ntru/detail/?kpved=21.20.23.00.00.00.34.40.1"/>
    <hyperlink ref="C2251" r:id="rId210" display="http://enstru.skc.kz/ru/ntru/detail/?kpved=25.73.20.00.00.11.10.11.1"/>
    <hyperlink ref="C2141" r:id="rId211" display="http://enstru.skc.kz/ru/ntru/detail/?kpved=25.99.29.00.02.13.17.10.1"/>
    <hyperlink ref="C2260" r:id="rId212" display="http://enstru.skc.kz/ru/ntru/detail/?kpved=25.71.11.00.00.20.15.10.1"/>
    <hyperlink ref="C2261" r:id="rId213" display="http://enstru.skc.kz/ru/ntru/detail/?kpved=28.30.60.00.00.00.40.15.1"/>
    <hyperlink ref="C2143" r:id="rId214" display="http://enstru.skc.kz/ru/ntru/detail/?kpved=23.49.11.00.00.00.00.32.1"/>
    <hyperlink ref="C2145" r:id="rId215" display="http://enstru.skc.kz/ru/ntru/detail/?kpved=23.49.11.00.00.00.00.32.1"/>
    <hyperlink ref="C2147" r:id="rId216" display="http://enstru.skc.kz/ru/ntru/detail/?kpved=23.49.11.00.00.00.00.32.1"/>
    <hyperlink ref="C2837" r:id="rId217" display="http://enstru.skc.kz/ru/ntru/detail/?kpved=22.21.29.00.00.17.10.10.1"/>
    <hyperlink ref="C2839" r:id="rId218" display="http://enstru.skc.kz/ru/ntru/detail/?kpved=22.21.29.00.00.17.10.12.1"/>
    <hyperlink ref="C2581" r:id="rId219" display="http://enstru.skc.kz/ru/ntru/detail/?kpved=22.21.29.00.00.26.10.10.1"/>
    <hyperlink ref="C2149" r:id="rId220" display="http://enstru.skc.kz/ru/ntru/detail/?kpved=23.49.11.00.00.00.00.32.1"/>
    <hyperlink ref="C2151" r:id="rId221" display="http://enstru.skc.kz/ru/ntru/detail/?kpved=23.49.11.00.00.00.00.32.1"/>
    <hyperlink ref="C2153" r:id="rId222" display="http://enstru.skc.kz/ru/ntru/detail/?kpved=23.49.11.00.00.00.00.32.1"/>
    <hyperlink ref="C2077" r:id="rId223" display="http://enstru.skc.kz/ru/ntru/detail/?kpved=32.91.12.00.00.00.14.18.1"/>
    <hyperlink ref="C2069" r:id="rId224" display="http://enstru.skc.kz/ru/ntru/detail/?kpved=32.91.12.00.00.00.14.18.1"/>
    <hyperlink ref="C2331" r:id="rId225" display="http://enstru.skc.kz/ru/ntru/detail/?kpved=32.99.87.00.00.00.00.32.1"/>
    <hyperlink ref="C2812" r:id="rId226" display="http://enstru.skc.kz/ru/ntru/detail/?kpved=22.21.21.00.00.40.01.09.1"/>
    <hyperlink ref="C3092" r:id="rId227" display="http://enstru.skc.kz/ru/ntru/detail/?kpved=22.23.12.00.00.14.12.10.1"/>
    <hyperlink ref="C3094" r:id="rId228" display="http://enstru.skc.kz/ru/ntru/detail/?kpved=22.21.21.00.00.12.40.15.1"/>
    <hyperlink ref="C2067" r:id="rId229" display="http://enstru.skc.kz/ru/ntru/detail/?kpved=25.72.13.00.00.31.10.10.1"/>
    <hyperlink ref="C3155" r:id="rId230" display="http://enstru.skc.kz/ru/ntru/detail/?kpved=22.29.23.00.00.00.32.30.1"/>
    <hyperlink ref="C2068" r:id="rId231" display="http://enstru.skc.kz/ru/ntru/detail/?kpved=25.72.14.00.00.60.50.10.1"/>
    <hyperlink ref="C3102" r:id="rId232" display="http://enstru.skc.kz/ru/ntru/detail/?kpved=23.42.10.11.10.00.00.01.1"/>
    <hyperlink ref="C2065" r:id="rId233" display="http://enstru.skc.kz/ru/ntru/detail/?kpved=25.72.11.00.00.12.14.10.1"/>
    <hyperlink ref="C3098" r:id="rId234" display="http://enstru.skc.kz/ru/ntru/detail/?kpved=22.21.21.00.00.12.60.10.1"/>
    <hyperlink ref="C3096" r:id="rId235" display="http://enstru.skc.kz/ru/ntru/detail/?kpved=22.21.21.00.00.12.40.16.1"/>
    <hyperlink ref="C3108" r:id="rId236" display="http://enstru.skc.kz/ru/ntru/detail/?kpved=28.14.12.10.00.00.00.19.1"/>
    <hyperlink ref="C2786" r:id="rId237" display="http://enstru.skc.kz/ru/ntru/detail/?kpved=25.94.11.09.10.10.01.01.1"/>
    <hyperlink ref="C2788" r:id="rId238" display="http://enstru.skc.kz/ru/ntru/detail/?kpved=22.19.34.00.00.25.10.30.2"/>
    <hyperlink ref="C1244" r:id="rId239" display="http://enstru.skc.kz/ru/ntru/detail/?kpved=32.99.11.00.00.05.15.10.1"/>
    <hyperlink ref="C3190" r:id="rId240" display="http://enstru.skc.kz/ru/ntru/detail/?kpved=32.30.15.00.00.00.14.60.1"/>
    <hyperlink ref="C3191" r:id="rId241" display="http://enstru.skc.kz/ru/ntru/detail/?kpved=32.30.15.00.00.00.14.60.1"/>
    <hyperlink ref="C3221" r:id="rId242" display="http://enstru.skc.kz/ru/ntru/detail/?kpved=32.30.15.00.00.00.14.60.1"/>
    <hyperlink ref="C3128" r:id="rId243" display="http://enstru.skc.kz/ru/ntru/detail/?kpved=28.30.93.00.00.20.60.10.1"/>
    <hyperlink ref="C3162" r:id="rId244" display="http://enstru.skc.kz/ru/ntru/detail/?kpved=25.94.13.00.00.10.35.10.1"/>
    <hyperlink ref="C2079" r:id="rId245" display="http://enstru.skc.kz/ru/ntru/detail/?kpved=32.91.19.00.00.00.20.05.1"/>
    <hyperlink ref="C2085" r:id="rId246" display="http://enstru.skc.kz/ru/ntru/detail/?kpved=32.91.19.00.00.00.20.05.1"/>
    <hyperlink ref="C2080" r:id="rId247" display="http://enstru.skc.kz/ru/ntru/detail/?kpved=32.91.19.00.00.00.20.05.1"/>
    <hyperlink ref="C2086" r:id="rId248" display="http://enstru.skc.kz/ru/ntru/detail/?kpved=32.91.19.00.00.00.20.05.1"/>
    <hyperlink ref="C2138" r:id="rId249" display="http://enstru.skc.kz/ru/ntru/detail/?kpved=25.99.29.00.02.13.17.10.1"/>
    <hyperlink ref="C2139" r:id="rId250" display="http://enstru.skc.kz/ru/ntru/detail/?kpved=25.99.29.00.02.13.17.10.1"/>
    <hyperlink ref="C2176" r:id="rId251" display="http://enstru.skc.kz/ru/ntru/detail/?kpved=26.51.33.00.00.00.41.04.1"/>
    <hyperlink ref="C2177" r:id="rId252" display="http://enstru.skc.kz/ru/ntru/detail/?kpved=26.51.33.00.00.00.41.04.1"/>
    <hyperlink ref="C2199" r:id="rId253" display="http://enstru.skc.kz/ru/ntru/detail/?kpved=25.73.30.00.00.19.11.11.1"/>
    <hyperlink ref="C2200" r:id="rId254" display="http://enstru.skc.kz/ru/ntru/detail/?kpved=25.73.30.00.00.19.11.11.1"/>
    <hyperlink ref="C2207" r:id="rId255" display="http://enstru.skc.kz/ru/ntru/detail/?kpved=25.94.13.00.00.10.35.20.1"/>
    <hyperlink ref="C2210" r:id="rId256" display="http://enstru.skc.kz/ru/ntru/detail/?kpved=25.73.30.00.00.16.21.03.1"/>
    <hyperlink ref="C2217" r:id="rId257" display="http://enstru.skc.kz/ru/ntru/detail/?kpved=27.33.13.00.00.00.07.10.1"/>
    <hyperlink ref="C2218" r:id="rId258" display="http://enstru.skc.kz/ru/ntru/detail/?kpved=27.33.13.00.00.00.07.10.1"/>
    <hyperlink ref="C2229" r:id="rId259" display="http://enstru.skc.kz/ru/ntru/detail/?kpved=25.73.20.00.00.10.20.10.1"/>
    <hyperlink ref="C2230" r:id="rId260" display="http://enstru.skc.kz/ru/ntru/detail/?kpved=25.73.20.00.00.10.20.10.1"/>
    <hyperlink ref="C2236" r:id="rId261" display="http://enstru.skc.kz/ru/ntru/detail/?kpved=25.73.20.00.00.10.22.10.1"/>
    <hyperlink ref="C2237" r:id="rId262" display="http://enstru.skc.kz/ru/ntru/detail/?kpved=25.73.20.00.00.10.22.10.1"/>
    <hyperlink ref="C2255" r:id="rId263" display="http://enstru.skc.kz/ru/ntru/detail/?kpved=23.91.11.00.00.10.01.01.1"/>
    <hyperlink ref="C2256" r:id="rId264" display="http://enstru.skc.kz/ru/ntru/detail/?kpved=23.91.11.00.00.10.01.01.1"/>
    <hyperlink ref="C2290" r:id="rId265" display="http://enstru.skc.kz/ru/ntru/detail/?kpved=25.73.30.00.00.14.13.11.1"/>
    <hyperlink ref="C2291" r:id="rId266" display="http://enstru.skc.kz/ru/ntru/detail/?kpved=25.73.30.00.00.14.13.11.1"/>
    <hyperlink ref="C2359" r:id="rId267" display="http://enstru.skc.kz/ru/ntru/detail/?kpved=25.94.12.00.00.12.10.10.2"/>
    <hyperlink ref="C2360" r:id="rId268" display="http://enstru.skc.kz/ru/ntru/detail/?kpved=25.94.12.00.00.12.10.10.2"/>
    <hyperlink ref="C2364" r:id="rId269" display="http://enstru.skc.kz/ru/ntru/detail/?kpved=25.93.14.00.00.14.15.10.2"/>
    <hyperlink ref="C2365" r:id="rId270" display="http://enstru.skc.kz/ru/ntru/detail/?kpved=25.93.14.00.00.14.15.10.2"/>
    <hyperlink ref="C2451" r:id="rId271" display="http://enstru.skc.kz/ru/ntru/detail/?kpved=20.30.21.00.21.06.11.11.2"/>
    <hyperlink ref="C2448" r:id="rId272" display="http://enstru.skc.kz/ru/ntru/detail/?kpved=20.59.59.00.15.00.00.73.2"/>
    <hyperlink ref="C2452" r:id="rId273" display="http://enstru.skc.kz/ru/ntru/detail/?kpved=20.30.21.00.21.06.11.11.2"/>
    <hyperlink ref="C2449" r:id="rId274" display="http://enstru.skc.kz/ru/ntru/detail/?kpved=20.59.59.00.15.00.00.73.2"/>
    <hyperlink ref="C2456" r:id="rId275" display="http://enstru.skc.kz/ru/ntru/detail/?kpved=20.30.21.00.21.06.11.10.1"/>
    <hyperlink ref="C2457" r:id="rId276" display="http://enstru.skc.kz/ru/ntru/detail/?kpved=20.30.21.00.21.06.11.10.1"/>
    <hyperlink ref="C2483" r:id="rId277" display="http://enstru.skc.kz/ru/ntru/detail/?kpved=32.99.80.00.00.00.00.05.1"/>
    <hyperlink ref="C2484" r:id="rId278" display="http://enstru.skc.kz/ru/ntru/detail/?kpved=32.99.80.00.00.00.00.05.1"/>
    <hyperlink ref="C2520" r:id="rId279" display="http://enstru.skc.kz/ru/ntru/detail/?kpved=23.91.11.00.00.00.40.05.4"/>
    <hyperlink ref="C2521" r:id="rId280" display="http://enstru.skc.kz/ru/ntru/detail/?kpved=23.91.11.00.00.00.40.05.4"/>
    <hyperlink ref="C2534" r:id="rId281" display="http://enstru.skc.kz/ru/ntru/detail/?kpved=24.33.11.00.10.10.10.16.2"/>
    <hyperlink ref="C2535" r:id="rId282" display="http://enstru.skc.kz/ru/ntru/detail/?kpved=24.33.11.00.10.10.10.16.2"/>
    <hyperlink ref="C2542" r:id="rId283" display="http://enstru.skc.kz/ru/ntru/detail/?kpved=24.42.24.00.00.14.10.11.2"/>
    <hyperlink ref="C2544" r:id="rId284" display="http://enstru.skc.kz/ru/ntru/detail/?kpved=24.42.24.00.00.14.10.11.2"/>
    <hyperlink ref="C2583" r:id="rId285" display="http://enstru.skc.kz/ru/ntru/detail/?kpved=24.20.40.00.21.10.10.11.1"/>
    <hyperlink ref="C2584" r:id="rId286" display="http://enstru.skc.kz/ru/ntru/detail/?kpved=24.20.40.00.21.10.10.11.1"/>
    <hyperlink ref="C2588" r:id="rId287" display="http://enstru.skc.kz/ru/ntru/detail/?kpved=25.94.11.00.00.13.10.10.1"/>
    <hyperlink ref="C2591" r:id="rId288" display="http://enstru.skc.kz/ru/ntru/detail/?kpved=28.14.11.10.00.00.00.12.1"/>
    <hyperlink ref="C2592" r:id="rId289" display="http://enstru.skc.kz/ru/ntru/detail/?kpved=28.14.11.10.00.00.00.12.1"/>
    <hyperlink ref="C2589" r:id="rId290" display="http://enstru.skc.kz/ru/ntru/detail/?kpved=25.94.11.00.00.13.10.10.1"/>
    <hyperlink ref="C2598" r:id="rId291" display="http://enstru.skc.kz/ru/ntru/detail/?kpved=24.10.71.00.00.14.10.11.1"/>
    <hyperlink ref="C2599" r:id="rId292" display="http://enstru.skc.kz/ru/ntru/detail/?kpved=24.10.71.00.00.14.10.11.1"/>
    <hyperlink ref="C2603" r:id="rId293" display="http://enstru.skc.kz/ru/ntru/detail/?kpved=29.32.30.00.15.00.08.09.1"/>
    <hyperlink ref="C2606" r:id="rId294" display="http://enstru.skc.kz/ru/ntru/detail/?kpved=28.15.10.00.00.00.11.11.1"/>
    <hyperlink ref="C2607" r:id="rId295" display="http://enstru.skc.kz/ru/ntru/detail/?kpved=28.15.10.00.00.00.11.11.1"/>
    <hyperlink ref="C2604" r:id="rId296" display="http://enstru.skc.kz/ru/ntru/detail/?kpved=29.32.30.00.15.00.08.09.1"/>
    <hyperlink ref="C2609" r:id="rId297" display="http://enstru.skc.kz/ru/ntru/detail/?kpved=24.10.31.00.00.12.10.11.1"/>
    <hyperlink ref="C2610" r:id="rId298" display="http://enstru.skc.kz/ru/ntru/detail/?kpved=24.10.31.00.00.12.10.11.1"/>
    <hyperlink ref="C2615" r:id="rId299" display="http://enstru.skc.kz/ru/ntru/detail/?kpved=28.25.11.00.00.00.17.10.1"/>
    <hyperlink ref="C2616" r:id="rId300" display="http://enstru.skc.kz/ru/ntru/detail/?kpved=28.25.11.00.00.00.17.10.1"/>
    <hyperlink ref="C2628" r:id="rId301" display="http://enstru.skc.kz/ru/ntru/detail/?kpved=25.21.11.00.00.10.10.01.2"/>
    <hyperlink ref="C2629" r:id="rId302" display="http://enstru.skc.kz/ru/ntru/detail/?kpved=25.21.11.00.00.10.10.01.2"/>
    <hyperlink ref="C2633" r:id="rId303" display="http://enstru.skc.kz/ru/ntru/detail/?kpved=22.19.24.00.00.00.11.14.1"/>
    <hyperlink ref="C2634" r:id="rId304" display="http://enstru.skc.kz/ru/ntru/detail/?kpved=22.19.24.00.00.00.11.14.1"/>
    <hyperlink ref="C2641" r:id="rId305" display="http://enstru.skc.kz/ru/ntru/detail/?kpved=17.12.77.20.10.10.10.10.1"/>
    <hyperlink ref="C2642" r:id="rId306" display="http://enstru.skc.kz/ru/ntru/detail/?kpved=17.12.77.20.10.10.10.10.1"/>
    <hyperlink ref="C2647" r:id="rId307" display="http://enstru.skc.kz/ru/ntru/detail/?kpved=22.19.34.00.00.25.10.30.2"/>
    <hyperlink ref="C2644" r:id="rId308" display="http://enstru.skc.kz/ru/ntru/detail/?kpved=19.20.29.00.00.20.24.10.1"/>
    <hyperlink ref="C2653" r:id="rId309" display="http://enstru.skc.kz/ru/ntru/detail/?kpved=22.21.29.00.00.50.10.11.1"/>
    <hyperlink ref="C2659" r:id="rId310" display="http://enstru.skc.kz/ru/ntru/detail/?kpved=25.11.23.00.00.12.12.10.2"/>
    <hyperlink ref="C2662" r:id="rId311" display="http://enstru.skc.kz/ru/ntru/detail/?kpved=24.10.43.00.00.10.20.10.4"/>
    <hyperlink ref="C2650" r:id="rId312" display="http://enstru.skc.kz/ru/ntru/detail/?kpved=22.19.34.00.00.10.30.11.2"/>
    <hyperlink ref="C2648" r:id="rId313" display="http://enstru.skc.kz/ru/ntru/detail/?kpved=22.19.34.00.00.25.10.30.2"/>
    <hyperlink ref="C2651" r:id="rId314" display="http://enstru.skc.kz/ru/ntru/detail/?kpved=22.19.34.00.00.10.30.11.2"/>
    <hyperlink ref="C2654" r:id="rId315" display="http://enstru.skc.kz/ru/ntru/detail/?kpved=22.21.29.00.00.50.10.11.1"/>
    <hyperlink ref="C2663" r:id="rId316" display="http://enstru.skc.kz/ru/ntru/detail/?kpved=24.10.43.00.00.10.20.10.4"/>
    <hyperlink ref="C2645" r:id="rId317" display="http://enstru.skc.kz/ru/ntru/detail/?kpved=19.20.29.00.00.20.24.10.1"/>
    <hyperlink ref="C2660" r:id="rId318" display="http://enstru.skc.kz/ru/ntru/detail/?kpved=25.11.23.00.00.12.12.10.2"/>
    <hyperlink ref="C2670" r:id="rId319" display="http://enstru.skc.kz/ru/ntru/detail/?kpved=22.19.42.00.00.10.30.27.1"/>
    <hyperlink ref="C2685" r:id="rId320" display="http://enstru.skc.kz/ru/ntru/detail/?kpved=24.44.26.00.00.11.11.11.1"/>
    <hyperlink ref="C2679" r:id="rId321" display="http://enstru.skc.kz/ru/ntru/detail/?kpved=27.12.24.19.11.11.11.10.1"/>
    <hyperlink ref="C2671" r:id="rId322" display="http://enstru.skc.kz/ru/ntru/detail/?kpved=22.19.42.00.00.10.30.27.1"/>
    <hyperlink ref="C2686" r:id="rId323" display="http://enstru.skc.kz/ru/ntru/detail/?kpved=24.44.26.00.00.11.11.11.1"/>
    <hyperlink ref="C2680" r:id="rId324" display="http://enstru.skc.kz/ru/ntru/detail/?kpved=27.12.24.19.11.11.11.10.1"/>
    <hyperlink ref="C2698" r:id="rId325" display="http://enstru.skc.kz/ru/ntru/detail/?kpved=20.59.59.00.17.13.10.10.1"/>
    <hyperlink ref="C2699" r:id="rId326" display="http://enstru.skc.kz/ru/ntru/detail/?kpved=20.59.59.00.17.13.10.10.1"/>
    <hyperlink ref="C2711" r:id="rId327" display="http://enstru.skc.kz/ru/ntru/detail/?kpved=23.99.11.05.01.00.00.09.1"/>
    <hyperlink ref="C2712" r:id="rId328" display="http://enstru.skc.kz/ru/ntru/detail/?kpved=23.99.11.05.01.00.00.09.1"/>
    <hyperlink ref="C2710" r:id="rId329" display="http://enstru.skc.kz/ru/ntru/detail/?kpved=20.59.59.00.12.00.00.29.1"/>
    <hyperlink ref="C2724" r:id="rId330" display="http://enstru.skc.kz/ru/ntru/detail/?kpved=23.65.12.00.20.10.00.04.1"/>
    <hyperlink ref="C2727" r:id="rId331" display="http://enstru.skc.kz/ru/ntru/detail/?kpved=23.99.11.04.01.00.00.12.1"/>
    <hyperlink ref="C2728" r:id="rId332" display="http://enstru.skc.kz/ru/ntru/detail/?kpved=23.99.11.04.01.00.00.12.1"/>
    <hyperlink ref="C2725" r:id="rId333" display="http://enstru.skc.kz/ru/ntru/detail/?kpved=23.65.12.00.20.10.00.04.1"/>
    <hyperlink ref="C2816" r:id="rId334" display="http://enstru.skc.kz/ru/ntru/detail/?kpved=22.21.21.00.00.40.21.11.2"/>
    <hyperlink ref="C2819" r:id="rId335" display="http://enstru.skc.kz/ru/ntru/detail/?kpved=22.21.21.00.00.40.21.12.2"/>
    <hyperlink ref="C2825" r:id="rId336" display="http://enstru.skc.kz/ru/ntru/detail/?kpved=22.21.21.00.00.40.21.14.2"/>
    <hyperlink ref="C2822" r:id="rId337" display="http://enstru.skc.kz/ru/ntru/detail/?kpved=22.21.21.00.00.40.21.13.2"/>
    <hyperlink ref="C2828" r:id="rId338" display="http://enstru.skc.kz/ru/ntru/detail/?kpved=22.21.21.00.00.40.21.15.2"/>
    <hyperlink ref="C2831" r:id="rId339" display="http://enstru.skc.kz/ru/ntru/detail/?kpved=22.21.21.00.00.40.23.20.2"/>
    <hyperlink ref="C2834" r:id="rId340" display="http://enstru.skc.kz/ru/ntru/detail/?kpved=22.21.21.00.00.40.11.10.2"/>
    <hyperlink ref="C2832" r:id="rId341" display="http://enstru.skc.kz/ru/ntru/detail/?kpved=22.21.21.00.00.40.23.20.2"/>
    <hyperlink ref="C2829" r:id="rId342" display="http://enstru.skc.kz/ru/ntru/detail/?kpved=22.21.21.00.00.40.21.15.2"/>
    <hyperlink ref="C2826" r:id="rId343" display="http://enstru.skc.kz/ru/ntru/detail/?kpved=22.21.21.00.00.40.21.14.2"/>
    <hyperlink ref="C2823" r:id="rId344" display="http://enstru.skc.kz/ru/ntru/detail/?kpved=22.21.21.00.00.40.21.13.2"/>
    <hyperlink ref="C2820" r:id="rId345" display="http://enstru.skc.kz/ru/ntru/detail/?kpved=22.21.21.00.00.40.21.12.2"/>
    <hyperlink ref="C2817" r:id="rId346" display="http://enstru.skc.kz/ru/ntru/detail/?kpved=22.21.21.00.00.40.21.11.2"/>
    <hyperlink ref="C2835" r:id="rId347" display="http://enstru.skc.kz/ru/ntru/detail/?kpved=22.21.21.00.00.40.11.10.2"/>
    <hyperlink ref="C2841" r:id="rId348" display="http://enstru.skc.kz/ru/ntru/detail/?kpved=22.21.29.00.00.17.10.11.1"/>
    <hyperlink ref="C2844" r:id="rId349" display="http://enstru.skc.kz/ru/ntru/detail/?kpved=22.21.29.00.00.17.10.10.1"/>
    <hyperlink ref="C2847" r:id="rId350" display="http://enstru.skc.kz/ru/ntru/detail/?kpved=22.21.29.00.00.17.10.12.1"/>
    <hyperlink ref="C2842" r:id="rId351" display="http://enstru.skc.kz/ru/ntru/detail/?kpved=22.21.29.00.00.17.10.11.1"/>
    <hyperlink ref="C2845" r:id="rId352" display="http://enstru.skc.kz/ru/ntru/detail/?kpved=22.21.29.00.00.17.10.10.1"/>
    <hyperlink ref="C2848" r:id="rId353" display="http://enstru.skc.kz/ru/ntru/detail/?kpved=22.21.29.00.00.17.10.12.1"/>
    <hyperlink ref="C2857" r:id="rId354" display="http://enstru.skc.kz/ru/ntru/detail/?kpved=22.29.21.20.00.00.10.10.1"/>
    <hyperlink ref="C2858" r:id="rId355" display="http://enstru.skc.kz/ru/ntru/detail/?kpved=22.29.21.20.00.00.10.10.1"/>
    <hyperlink ref="C2136" r:id="rId356" display="http://enstru.skc.kz/ru/ntru/detail/?kpved=30.99.10.00.00.00.20.10.1"/>
    <hyperlink ref="C2332" r:id="rId357" display="http://enstru.skc.kz/ru/ntru/detail/?kpved=32.99.87.00.00.00.00.32.1"/>
    <hyperlink ref="C2887" r:id="rId358" display="http://enstru.skc.kz/ru/ntru/detail/?kpved=20.11.11.00.00.80.00.10.2"/>
    <hyperlink ref="C2890" r:id="rId359" display="http://enstru.skc.kz/ru/ntru/detail/?kpved=19.20.31.00.00.00.00.10.1"/>
    <hyperlink ref="C2888" r:id="rId360" display="http://enstru.skc.kz/ru/ntru/detail/?kpved=20.11.11.00.00.80.00.10.2"/>
    <hyperlink ref="C2891" r:id="rId361" display="http://enstru.skc.kz/ru/ntru/detail/?kpved=19.20.31.00.00.00.00.10.1"/>
    <hyperlink ref="C2901" r:id="rId362" display="http://enstru.skc.kz/ru/ntru/detail/?kpved=22.21.29.00.00.12.10.12.1"/>
    <hyperlink ref="C2904" r:id="rId363" display="http://enstru.skc.kz/ru/ntru/detail/?kpved=24.20.40.00.11.11.10.11.1"/>
    <hyperlink ref="C2902" r:id="rId364" display="http://enstru.skc.kz/ru/ntru/detail/?kpved=22.21.29.00.00.12.10.12.1"/>
    <hyperlink ref="C2905" r:id="rId365" display="http://enstru.skc.kz/ru/ntru/detail/?kpved=24.20.40.00.11.11.10.11.1"/>
    <hyperlink ref="C2898" r:id="rId366" display="http://enstru.skc.kz/ru/ntru/detail/?kpved=24.44.26.00.00.11.20.11.1"/>
    <hyperlink ref="C2899" r:id="rId367" display="http://enstru.skc.kz/ru/ntru/detail/?kpved=24.44.26.00.00.11.20.11.1"/>
    <hyperlink ref="C2915" r:id="rId368" display="http://enstru.skc.kz/ru/ntru/detail/?kpved=22.21.29.00.00.23.33.15.1"/>
    <hyperlink ref="C2912" r:id="rId369" display="http://enstru.skc.kz/ru/ntru/detail/?kpved=22.21.29.00.00.23.33.19.1"/>
    <hyperlink ref="C2913" r:id="rId370" display="http://enstru.skc.kz/ru/ntru/detail/?kpved=22.21.29.00.00.23.33.19.1"/>
    <hyperlink ref="C2916" r:id="rId371" display="http://enstru.skc.kz/ru/ntru/detail/?kpved=22.21.29.00.00.23.33.15.1"/>
    <hyperlink ref="C2926" r:id="rId372" display="http://enstru.skc.kz/ru/ntru/detail/?kpved=22.21.21.00.00.12.60.10.1"/>
    <hyperlink ref="C2927" r:id="rId373" display="http://enstru.skc.kz/ru/ntru/detail/?kpved=22.21.21.00.00.12.60.10.1"/>
    <hyperlink ref="C2931" r:id="rId374" display="http://enstru.skc.kz/ru/ntru/detail/?kpved=22.21.21.00.00.12.40.16.1"/>
    <hyperlink ref="C2932" r:id="rId375" display="http://enstru.skc.kz/ru/ntru/detail/?kpved=22.21.21.00.00.12.40.16.1"/>
    <hyperlink ref="C2950" r:id="rId376" display="http://enstru.skc.kz/ru/ntru/detail/?kpved=22.23.12.00.00.14.12.10.1"/>
    <hyperlink ref="C2944" r:id="rId377" display="http://enstru.skc.kz/ru/ntru/detail/?kpved=23.42.10.12.00.00.12.40.1"/>
    <hyperlink ref="C2953" r:id="rId378" display="http://enstru.skc.kz/ru/ntru/detail/?kpved=13.94.20.00.00.00.30.10.1"/>
    <hyperlink ref="C2951" r:id="rId379" display="http://enstru.skc.kz/ru/ntru/detail/?kpved=22.23.12.00.00.14.12.10.1"/>
    <hyperlink ref="C2945" r:id="rId380" display="http://enstru.skc.kz/ru/ntru/detail/?kpved=23.42.10.12.00.00.12.40.1"/>
    <hyperlink ref="C2954" r:id="rId381" display="http://enstru.skc.kz/ru/ntru/detail/?kpved=13.94.20.00.00.00.30.10.1"/>
    <hyperlink ref="C2970" r:id="rId382" display="http://enstru.skc.kz/ru/ntru/detail/?kpved=28.14.13.15.00.00.00.03.1"/>
    <hyperlink ref="C2971" r:id="rId383" display="http://enstru.skc.kz/ru/ntru/detail/?kpved=28.14.13.15.00.00.00.03.1"/>
    <hyperlink ref="C3147" r:id="rId384" display="http://enstru.skc.kz/ru/ntru/detail/?kpved=27.51.27.00.01.00.00.20.1"/>
    <hyperlink ref="C3148" r:id="rId385" display="http://enstru.skc.kz/ru/ntru/detail/?kpved=27.51.27.00.01.00.00.20.1"/>
    <hyperlink ref="C3170" r:id="rId386" display="http://enstru.skc.kz/ru/ntru/detail/?kpved=25.73.30.00.00.22.15.11.1"/>
    <hyperlink ref="C3171" r:id="rId387" display="http://enstru.skc.kz/ru/ntru/detail/?kpved=25.73.30.00.00.22.15.11.1"/>
    <hyperlink ref="C3174" r:id="rId388" display="http://enstru.skc.kz/ru/ntru/detail/?kpved=27.40.21.00.00.11.10.40.1"/>
    <hyperlink ref="C3175" r:id="rId389" display="http://enstru.skc.kz/ru/ntru/detail/?kpved=27.40.21.00.00.11.10.40.1"/>
    <hyperlink ref="C3268" r:id="rId390" display="http://enstru.skc.kz/ru/ntru/detail/?kpved=20.59.59.00.16.00.00.12.2"/>
    <hyperlink ref="C3280" r:id="rId391" display="http://enstru.skc.kz/ru/ntru/detail/?kpved=20.30.11.00.00.00.10.50.1"/>
    <hyperlink ref="C3278" r:id="rId392" display="http://enstru.skc.kz/ru/ntru/detail/?kpved=23.52.10.00.00.10.10.25.2"/>
    <hyperlink ref="C3292" r:id="rId393" display="http://enstru.skc.kz/ru/ntru/detail/?kpved=20.30.21.00.21.04.15.20.2"/>
    <hyperlink ref="C3295" r:id="rId394" display="http://enstru.skc.kz/ru/ntru/detail/?kpved=20.30.21.00.21.04.13.10.2"/>
    <hyperlink ref="C3298" r:id="rId395" display="http://enstru.skc.kz/ru/ntru/detail/?kpved=20.30.21.00.21.06.11.10.2"/>
    <hyperlink ref="C3290" r:id="rId396" display="http://enstru.skc.kz/ru/ntru/detail/?kpved=20.59.59.00.17.10.10.10.1"/>
    <hyperlink ref="C3301" r:id="rId397" display="http://enstru.skc.kz/ru/ntru/detail/?kpved=20.30.21.00.21.04.17.05.2"/>
    <hyperlink ref="C3313" r:id="rId398" display="http://enstru.skc.kz/ru/ntru/detail/?kpved=20.52.10.00.00.00.20.10.1"/>
    <hyperlink ref="C3319" r:id="rId399" display="http://enstru.skc.kz/ru/ntru/detail/?kpved=20.52.10.00.00.00.06.10.3"/>
    <hyperlink ref="C3317" r:id="rId400" display="http://enstru.skc.kz/ru/ntru/detail/?kpved=20.52.10.00.00.00.09.06.1"/>
    <hyperlink ref="C3323" r:id="rId401" display="http://enstru.skc.kz/ru/ntru/detail/?kpved=22.21.30.00.00.10.05.10.1"/>
    <hyperlink ref="C3329" r:id="rId402" display="http://enstru.skc.kz/ru/ntru/detail/?kpved=25.93.14.00.00.10.13.12.1"/>
    <hyperlink ref="C3331" r:id="rId403" display="http://enstru.skc.kz/ru/ntru/detail/?kpved=25.93.14.00.00.10.19.14.1"/>
    <hyperlink ref="C3333" r:id="rId404" display="http://enstru.skc.kz/ru/ntru/detail/?kpved=25.93.14.00.00.10.14.15.1"/>
    <hyperlink ref="C3335" r:id="rId405" display="http://enstru.skc.kz/ru/ntru/detail/?kpved=25.93.14.00.00.10.17.27.1"/>
    <hyperlink ref="C3337" r:id="rId406" display="http://enstru.skc.kz/ru/ntru/detail/?kpved=25.93.14.00.00.10.17.28.1"/>
    <hyperlink ref="C3339" r:id="rId407" display="http://enstru.skc.kz/ru/ntru/detail/?kpved=25.93.14.00.00.10.17.29.1"/>
    <hyperlink ref="C3341" r:id="rId408" display="http://enstru.skc.kz/ru/ntru/detail/?kpved=25.93.14.00.00.10.17.30.1"/>
    <hyperlink ref="C3343" r:id="rId409" display="http://enstru.skc.kz/ru/ntru/detail/?kpved=25.93.14.00.00.10.17.31.1"/>
    <hyperlink ref="C3345" r:id="rId410" display="http://enstru.skc.kz/ru/ntru/detail/?kpved=25.93.14.00.00.10.17.32.1"/>
    <hyperlink ref="C3347" r:id="rId411" display="http://enstru.skc.kz/ru/ntru/detail/?kpved=25.93.14.00.00.10.17.33.1"/>
    <hyperlink ref="C3349" r:id="rId412" display="http://enstru.skc.kz/ru/ntru/detail/?kpved=25.94.12.00.00.11.10.10.3"/>
    <hyperlink ref="C3352" r:id="rId413" display="http://enstru.skc.kz/ru/ntru/detail/?kpved=25.94.12.00.00.11.10.10.3"/>
    <hyperlink ref="C3354" r:id="rId414" display="http://enstru.skc.kz/ru/ntru/detail/?kpved=25.94.12.00.00.11.10.10.3"/>
    <hyperlink ref="C3356" r:id="rId415" display="http://enstru.skc.kz/ru/ntru/detail/?kpved=22.21.29.00.00.60.10.10.1"/>
    <hyperlink ref="C3358" r:id="rId416" display="http://enstru.skc.kz/ru/ntru/detail/?kpved=22.21.29.00.00.60.10.10.1"/>
    <hyperlink ref="C3360" r:id="rId417" display="http://enstru.skc.kz/ru/ntru/detail/?kpved=23.31.10.01.01.01.01.00.1"/>
    <hyperlink ref="C3362" r:id="rId418" display="http://enstru.skc.kz/ru/ntru/detail/?kpved=23.31.10.01.01.01.01.00.1"/>
    <hyperlink ref="C3364" r:id="rId419" display="http://enstru.skc.kz/ru/ntru/detail/?kpved=23.31.10.01.03.02.01.15.1"/>
    <hyperlink ref="C3366" r:id="rId420" display="http://enstru.skc.kz/ru/ntru/detail/?kpved=23.31.10.01.03.02.01.15.1"/>
    <hyperlink ref="C3368" r:id="rId421" display="http://enstru.skc.kz/ru/ntru/detail/?kpved=22.23.14.00.00.70.10.11.1"/>
    <hyperlink ref="C3370" r:id="rId422" display="http://enstru.skc.kz/ru/ntru/detail/?kpved=22.23.15.00.00.20.10.10.1"/>
    <hyperlink ref="C3093" r:id="rId423" display="http://enstru.skc.kz/ru/ntru/detail/?kpved=22.23.12.00.00.14.12.10.1"/>
    <hyperlink ref="C3095" r:id="rId424" display="http://enstru.skc.kz/ru/ntru/detail/?kpved=22.21.21.00.00.12.40.15.1"/>
    <hyperlink ref="C3097" r:id="rId425" display="http://enstru.skc.kz/ru/ntru/detail/?kpved=22.21.21.00.00.12.40.16.1"/>
    <hyperlink ref="C3099" r:id="rId426" display="http://enstru.skc.kz/ru/ntru/detail/?kpved=22.21.21.00.00.12.60.10.1"/>
    <hyperlink ref="C3103" r:id="rId427" display="http://enstru.skc.kz/ru/ntru/detail/?kpved=23.42.10.11.10.00.00.01.1"/>
    <hyperlink ref="C3156" r:id="rId428" display="http://enstru.skc.kz/ru/ntru/detail/?kpved=22.29.23.00.00.00.32.30.1"/>
    <hyperlink ref="C3222" r:id="rId429" display="http://enstru.skc.kz/ru/ntru/detail/?kpved=32.30.15.00.00.00.14.60.1"/>
    <hyperlink ref="C2025" r:id="rId430" display="http://enstru.skc.kz/ru/ntru/detail/?kpved=25.72.11.00.00.12.14.10.1"/>
    <hyperlink ref="C2027" r:id="rId431" display="http://enstru.skc.kz/ru/ntru/detail/?kpved=25.72.11.00.00.12.14.10.1"/>
    <hyperlink ref="C2029" r:id="rId432" display="http://enstru.skc.kz/ru/ntru/detail/?kpved=25.72.13.00.00.31.10.10.1"/>
    <hyperlink ref="C2031" r:id="rId433" display="http://enstru.skc.kz/ru/ntru/detail/?kpved=25.72.14.00.00.60.50.10.1"/>
    <hyperlink ref="C2033" r:id="rId434" display="http://enstru.skc.kz/ru/ntru/detail/?kpved=25.72.14.00.00.60.52.10.1"/>
    <hyperlink ref="C2036" r:id="rId435" display="http://enstru.skc.kz/ru/ntru/detail/?kpved=25.12.10.00.00.16.30.10.1"/>
    <hyperlink ref="C2038" r:id="rId436" display="http://enstru.skc.kz/ru/ntru/detail/?kpved=25.12.10.00.00.23.10.10.1"/>
    <hyperlink ref="C2040" r:id="rId437" display="http://enstru.skc.kz/ru/ntru/detail/?kpved=25.12.10.00.00.16.30.10.1"/>
    <hyperlink ref="C2042" r:id="rId438" display="http://enstru.skc.kz/ru/ntru/detail/?kpved=25.72.14.00.00.62.15.10.1"/>
    <hyperlink ref="C2047" r:id="rId439" display="http://enstru.skc.kz/ru/ntru/detail/?kpved=25.12.10.00.00.17.13.10.1"/>
    <hyperlink ref="C2049" r:id="rId440" display="http://enstru.skc.kz/ru/ntru/detail/?kpved=13.92.22.00.00.00.10.15.1"/>
    <hyperlink ref="C2051" r:id="rId441" display="http://enstru.skc.kz/ru/ntru/detail/?kpved=25.72.13.00.00.10.11.10.1"/>
    <hyperlink ref="C2054" r:id="rId442" display="http://enstru.skc.kz/ru/ntru/detail/?kpved=25.72.11.00.00.12.14.10.1"/>
    <hyperlink ref="C2056" r:id="rId443" display="http://enstru.skc.kz/ru/ntru/detail/?kpved=25.72.11.00.00.10.12.10.1"/>
    <hyperlink ref="C2058" r:id="rId444" display="http://enstru.skc.kz/ru/ntru/detail/?kpved=25.72.13.00.00.31.10.10.1"/>
    <hyperlink ref="C2064" r:id="rId445" display="http://enstru.skc.kz/ru/ntru/detail/?kpved=31.00.20.00.00.00.02.01.1"/>
    <hyperlink ref="C2066" r:id="rId446" display="http://enstru.skc.kz/ru/ntru/detail/?kpved=25.72.11.00.00.12.14.10.1"/>
    <hyperlink ref="C2070" r:id="rId447" display="http://enstru.skc.kz/ru/ntru/detail/?kpved=32.91.12.00.00.00.14.18.1"/>
    <hyperlink ref="C2073" r:id="rId448" display="http://enstru.skc.kz/ru/ntru/detail/?kpved=32.91.12.00.00.00.14.18.1"/>
    <hyperlink ref="C2078" r:id="rId449" display="http://enstru.skc.kz/ru/ntru/detail/?kpved=32.91.12.00.00.00.14.18.1"/>
    <hyperlink ref="C2081" r:id="rId450" display="http://enstru.skc.kz/ru/ntru/detail/?kpved=32.91.19.00.00.00.20.05.1"/>
    <hyperlink ref="C2087" r:id="rId451" display="http://enstru.skc.kz/ru/ntru/detail/?kpved=32.91.19.00.00.00.20.05.1"/>
    <hyperlink ref="C2111" r:id="rId452" display="http://enstru.skc.kz/ru/ntru/detail/?kpved=32.91.12.00.00.00.14.18.1"/>
    <hyperlink ref="C2114" r:id="rId453" display="http://enstru.skc.kz/ru/ntru/detail/?kpved=32.91.19.00.00.00.20.05.1"/>
    <hyperlink ref="C2140" r:id="rId454" display="http://enstru.skc.kz/ru/ntru/detail/?kpved=25.99.29.00.02.13.17.10.1"/>
    <hyperlink ref="C2142" r:id="rId455" display="http://enstru.skc.kz/ru/ntru/detail/?kpved=25.99.29.00.02.13.17.10.1"/>
    <hyperlink ref="C2170" r:id="rId456" display="http://enstru.skc.kz/ru/ntru/detail/?kpved=25.99.29.00.02.13.17.10.1"/>
    <hyperlink ref="C2173" r:id="rId457" display="http://enstru.skc.kz/ru/ntru/detail/?kpved=22.29.23.00.00.00.10.19.1"/>
    <hyperlink ref="C2175" r:id="rId458" display="http://enstru.skc.kz/ru/ntru/detail/?kpved=15.12.12.00.00.00.38.30.1"/>
    <hyperlink ref="C2178" r:id="rId459" display="http://enstru.skc.kz/ru/ntru/detail/?kpved=26.51.33.00.00.00.41.04.1"/>
    <hyperlink ref="C2181" r:id="rId460" display="http://enstru.skc.kz/ru/ntru/detail/?kpved=25.73.30.00.00.14.20.19.1"/>
    <hyperlink ref="C2183" r:id="rId461" display="http://enstru.skc.kz/ru/ntru/detail/?kpved=25.73.30.00.00.14.20.19.1"/>
    <hyperlink ref="C2185" r:id="rId462" display="http://enstru.skc.kz/ru/ntru/detail/?kpved=25.73.30.00.00.30.12.01.1"/>
    <hyperlink ref="C2187" r:id="rId463" display="http://enstru.skc.kz/ru/ntru/detail/?kpved=25.73.30.00.00.23.25.10.2"/>
    <hyperlink ref="C2189" r:id="rId464" display="http://enstru.skc.kz/ru/ntru/detail/?kpved=25.94.13.00.00.10.41.10.3"/>
    <hyperlink ref="C2191" r:id="rId465" display="http://enstru.skc.kz/ru/ntru/detail/?kpved=25.94.13.00.00.10.41.10.3"/>
    <hyperlink ref="C2193" r:id="rId466" display="http://enstru.skc.kz/ru/ntru/detail/?kpved=25.94.13.00.00.10.41.10.3"/>
    <hyperlink ref="C2196" r:id="rId467" display="http://enstru.skc.kz/ru/ntru/detail/?kpved=25.73.30.00.00.18.06.10.1"/>
    <hyperlink ref="C2198" r:id="rId468" display="http://enstru.skc.kz/ru/ntru/detail/?kpved=25.73.30.00.00.14.11.10.1"/>
    <hyperlink ref="C2201" r:id="rId469" display="http://enstru.skc.kz/ru/ntru/detail/?kpved=25.73.30.00.00.19.11.11.1"/>
    <hyperlink ref="C2203" r:id="rId470" display="http://enstru.skc.kz/ru/ntru/detail/?kpved=25.73.30.00.00.19.10.10.1"/>
    <hyperlink ref="C2208" r:id="rId471" display="http://enstru.skc.kz/ru/ntru/detail/?kpved=25.94.13.00.00.10.35.20.1"/>
    <hyperlink ref="C2206" r:id="rId472" display="http://enstru.skc.kz/ru/ntru/detail/?kpved=25.99.29.00.10.10.00.09.1"/>
    <hyperlink ref="C2211" r:id="rId473" display="http://enstru.skc.kz/ru/ntru/detail/?kpved=25.73.30.00.00.16.21.03.1"/>
    <hyperlink ref="C2213" r:id="rId474" display="http://enstru.skc.kz/ru/ntru/detail/?kpved=25.94.13.00.00.10.30.10.1"/>
    <hyperlink ref="C2215" r:id="rId475" display="http://enstru.skc.kz/ru/ntru/detail/?kpved=25.73.30.00.00.32.47.10.1"/>
    <hyperlink ref="C2219" r:id="rId476" display="http://enstru.skc.kz/ru/ntru/detail/?kpved=27.33.13.00.00.00.07.10.1"/>
    <hyperlink ref="C2221" r:id="rId477" display="http://enstru.skc.kz/ru/ntru/detail/?kpved=25.73.30.00.00.16.29.10.1"/>
    <hyperlink ref="C2224" r:id="rId478" display="http://enstru.skc.kz/ru/ntru/detail/?kpved=25.71.11.00.00.30.25.10.1"/>
    <hyperlink ref="C2226" r:id="rId479" display="http://enstru.skc.kz/ru/ntru/detail/?kpved=25.73.40.00.00.12.10.01.2"/>
    <hyperlink ref="C2228" r:id="rId480" display="http://enstru.skc.kz/ru/ntru/detail/?kpved=25.73.40.00.00.12.10.01.2"/>
    <hyperlink ref="C2231" r:id="rId481" display="http://enstru.skc.kz/ru/ntru/detail/?kpved=25.73.20.00.00.10.20.10.1"/>
    <hyperlink ref="C2233" r:id="rId482" display="http://enstru.skc.kz/ru/ntru/detail/?kpved=25.73.30.00.00.21.10.12.1"/>
    <hyperlink ref="C2235" r:id="rId483" display="http://enstru.skc.kz/ru/ntru/detail/?kpved=25.73.10.00.00.20.11.10.1"/>
    <hyperlink ref="C2238" r:id="rId484" display="http://enstru.skc.kz/ru/ntru/detail/?kpved=25.73.20.00.00.10.22.10.1"/>
    <hyperlink ref="C2242" r:id="rId485" display="http://enstru.skc.kz/ru/ntru/detail/?kpved=25.71.11.00.00.31.11.10.1"/>
    <hyperlink ref="C2246" r:id="rId486" display="http://enstru.skc.kz/ru/ntru/detail/?kpved=25.73.30.00.00.22.12.12.1"/>
    <hyperlink ref="C2252" r:id="rId487" display="http://enstru.skc.kz/ru/ntru/detail/?kpved=25.73.20.00.00.11.10.11.1"/>
    <hyperlink ref="C2254" r:id="rId488" display="http://enstru.skc.kz/ru/ntru/detail/?kpved=25.73.20.00.00.11.10.11.1"/>
    <hyperlink ref="C2257" r:id="rId489" display="http://enstru.skc.kz/ru/ntru/detail/?kpved=23.91.11.00.00.10.01.01.1"/>
    <hyperlink ref="C2259" r:id="rId490" display="http://enstru.skc.kz/ru/ntru/detail/?kpved=21.20.23.00.00.00.34.40.1"/>
    <hyperlink ref="C2263" r:id="rId491" display="http://enstru.skc.kz/ru/ntru/detail/?kpved=25.73.30.00.00.25.10.10.1"/>
    <hyperlink ref="C2265" r:id="rId492" display="http://enstru.skc.kz/ru/ntru/detail/?kpved=25.73.30.00.00.10.16.13.1"/>
    <hyperlink ref="C2267" r:id="rId493" display="http://enstru.skc.kz/ru/ntru/detail/?kpved=25.73.30.00.00.10.16.13.1"/>
    <hyperlink ref="C2269" r:id="rId494" display="http://enstru.skc.kz/ru/ntru/detail/?kpved=25.73.30.00.00.14.17.50.1"/>
    <hyperlink ref="C2286" r:id="rId495" display="http://enstru.skc.kz/ru/ntru/detail/?kpved=25.71.11.00.00.10.20.10.1"/>
    <hyperlink ref="C2292" r:id="rId496" display="http://enstru.skc.kz/ru/ntru/detail/?kpved=25.73.30.00.00.14.13.11.1"/>
    <hyperlink ref="C2294" r:id="rId497" display="http://enstru.skc.kz/ru/ntru/detail/?kpved=25.73.30.00.00.14.13.11.1"/>
    <hyperlink ref="C2300" r:id="rId498" display="http://enstru.skc.kz/ru/ntru/detail/?kpved=32.99.87.00.00.00.00.32.1"/>
    <hyperlink ref="C2303" r:id="rId499" display="http://enstru.skc.kz/ru/ntru/detail/?kpved=25.73.30.00.00.30.10.17.1"/>
    <hyperlink ref="C2306" r:id="rId500" display="http://enstru.skc.kz/ru/ntru/detail/?kpved=25.99.23.00.00.11.18.10.1"/>
    <hyperlink ref="C2308" r:id="rId501" display="http://enstru.skc.kz/ru/ntru/detail/?kpved=25.73.30.00.00.14.17.60.1"/>
    <hyperlink ref="C2310" r:id="rId502" display="http://enstru.skc.kz/ru/ntru/detail/?kpved=25.73.30.00.00.30.12.01.1"/>
    <hyperlink ref="C2312" r:id="rId503" display="http://enstru.skc.kz/ru/ntru/detail/?kpved=28.92.61.22.05.01.01.01.2"/>
    <hyperlink ref="C2316" r:id="rId504" display="http://enstru.skc.kz/ru/ntru/detail/?kpved=25.73.30.00.00.22.12.12.1"/>
    <hyperlink ref="C2318" r:id="rId505" display="http://enstru.skc.kz/ru/ntru/detail/?kpved=25.73.30.00.00.18.10.18.1"/>
    <hyperlink ref="C2324" r:id="rId506" display="http://enstru.skc.kz/ru/ntru/detail/?kpved=25.73.20.00.00.11.10.11.1"/>
    <hyperlink ref="C2326" r:id="rId507" display="http://enstru.skc.kz/ru/ntru/detail/?kpved=23.91.11.00.00.10.02.01.1"/>
    <hyperlink ref="C2328" r:id="rId508" display="http://enstru.skc.kz/ru/ntru/detail/?kpved=25.73.10.00.00.20.22.10.1"/>
    <hyperlink ref="C2330" r:id="rId509" display="http://enstru.skc.kz/ru/ntru/detail/?kpved=25.99.29.00.02.13.23.03.1"/>
    <hyperlink ref="C2335" r:id="rId510" display="http://enstru.skc.kz/ru/ntru/detail/?kpved=25.94.11.00.00.10.37.01.1"/>
    <hyperlink ref="C2338" r:id="rId511" display="http://enstru.skc.kz/ru/ntru/detail/?kpved=25.94.11.00.00.10.37.01.1"/>
    <hyperlink ref="C2340" r:id="rId512" display="http://enstru.skc.kz/ru/ntru/detail/?kpved=25.94.12.00.00.11.10.10.3"/>
    <hyperlink ref="C2342" r:id="rId513" display="http://enstru.skc.kz/ru/ntru/detail/?kpved=25.94.12.00.00.11.10.10.3"/>
    <hyperlink ref="C2346" r:id="rId514" display="http://enstru.skc.kz/ru/ntru/detail/?kpved=25.94.12.00.00.11.10.11.3"/>
    <hyperlink ref="C2348" r:id="rId515" display="http://enstru.skc.kz/ru/ntru/detail/?kpved=25.94.12.00.00.11.10.12.3"/>
    <hyperlink ref="C2351" r:id="rId516" display="http://enstru.skc.kz/ru/ntru/detail/?kpved=25.94.12.00.00.11.10.14.3"/>
    <hyperlink ref="C2353" r:id="rId517" display="http://enstru.skc.kz/ru/ntru/detail/?kpved=25.94.12.00.00.11.10.10.3"/>
    <hyperlink ref="C2356" r:id="rId518" display="http://enstru.skc.kz/ru/ntru/detail/?kpved=25.94.12.00.00.11.10.10.3"/>
    <hyperlink ref="C2358" r:id="rId519" display="http://enstru.skc.kz/ru/ntru/detail/?kpved=25.94.12.00.00.12.10.50.1"/>
    <hyperlink ref="C2361" r:id="rId520" display="http://enstru.skc.kz/ru/ntru/detail/?kpved=25.94.12.00.00.12.10.10.2"/>
    <hyperlink ref="C2363" r:id="rId521" display="http://enstru.skc.kz/ru/ntru/detail/?kpved=25.94.12.00.00.12.12.10.2"/>
    <hyperlink ref="C2366" r:id="rId522" display="http://enstru.skc.kz/ru/ntru/detail/?kpved=25.93.14.00.00.14.15.10.2"/>
    <hyperlink ref="C2368" r:id="rId523" display="http://enstru.skc.kz/ru/ntru/detail/?kpved=25.93.14.00.00.10.16.14.1"/>
    <hyperlink ref="C2378" r:id="rId524" display="http://enstru.skc.kz/ru/ntru/detail/?kpved=17.24.11.30.00.00.00.20.1"/>
    <hyperlink ref="C2387" r:id="rId525" display="http://enstru.skc.kz/ru/ntru/detail/?kpved=16.21.14.00.10.00.00.04.1"/>
    <hyperlink ref="C2390" r:id="rId526" display="http://enstru.skc.kz/ru/ntru/detail/?kpved=22.23.14.00.00.76.10.30.1"/>
    <hyperlink ref="C2395" r:id="rId527" display="http://enstru.skc.kz/ru/ntru/detail/?kpved=25.12.10.00.00.11.11.10.1"/>
    <hyperlink ref="C2402" r:id="rId528" display="http://enstru.skc.kz/ru/ntru/detail/?kpved=22.23.15.00.00.10.10.10.1"/>
    <hyperlink ref="C2411" r:id="rId529" display="http://enstru.skc.kz/ru/ntru/detail/?kpved=22.21.30.00.00.10.05.10.1"/>
    <hyperlink ref="C2415" r:id="rId530" display="http://enstru.skc.kz/ru/ntru/detail/?kpved=32.99.11.00.00.00.14.11.1"/>
    <hyperlink ref="C2430" r:id="rId531" display="http://enstru.skc.kz/ru/ntru/detail/?kpved=20.30.11.00.00.00.10.50.1"/>
    <hyperlink ref="C2441" r:id="rId532" display="http://enstru.skc.kz/ru/ntru/detail/?kpved=32.99.59.00.00.00.21.00.1"/>
    <hyperlink ref="C2443" r:id="rId533" display="http://enstru.skc.kz/ru/ntru/detail/?kpved=08.12.11.00.00.00.10.10.1"/>
    <hyperlink ref="C2447" r:id="rId534" display="http://enstru.skc.kz/ru/ntru/detail/?kpved=20.59.59.00.15.00.00.73.2"/>
    <hyperlink ref="C2450" r:id="rId535" display="http://enstru.skc.kz/ru/ntru/detail/?kpved=20.59.59.00.15.00.00.73.2"/>
    <hyperlink ref="C2453" r:id="rId536" display="http://enstru.skc.kz/ru/ntru/detail/?kpved=20.30.21.00.21.06.11.11.2"/>
    <hyperlink ref="C2455" r:id="rId537" display="http://enstru.skc.kz/ru/ntru/detail/?kpved=20.30.21.00.21.11.05.00.1"/>
    <hyperlink ref="C2458" r:id="rId538" display="http://enstru.skc.kz/ru/ntru/detail/?kpved=20.30.21.00.21.06.11.10.1"/>
    <hyperlink ref="C2460" r:id="rId539" display="http://enstru.skc.kz/ru/ntru/detail/?kpved=20.30.21.00.21.02.12.18.2"/>
    <hyperlink ref="C2469" r:id="rId540" display="http://enstru.skc.kz/ru/ntru/detail/?kpved=20.59.59.00.16.00.00.12.2"/>
    <hyperlink ref="C2472" r:id="rId541" display="http://enstru.skc.kz/ru/ntru/detail/?kpved=20.52.10.00.00.00.20.10.1"/>
    <hyperlink ref="C2477" r:id="rId542" display="http://enstru.skc.kz/ru/ntru/detail/?kpved=20.52.10.00.00.00.06.10.3"/>
    <hyperlink ref="C2479" r:id="rId543" display="http://enstru.skc.kz/ru/ntru/detail/?kpved=20.52.10.00.00.00.09.06.1"/>
    <hyperlink ref="C2485" r:id="rId544" display="http://enstru.skc.kz/ru/ntru/detail/?kpved=32.99.80.00.00.00.00.05.1"/>
    <hyperlink ref="C2488" r:id="rId545" display="http://enstru.skc.kz/ru/ntru/detail/?kpved=32.99.80.00.00.00.00.11.1"/>
    <hyperlink ref="C2490" r:id="rId546" display="http://enstru.skc.kz/ru/ntru/detail/?kpved=32.99.80.00.00.00.00.15.1"/>
    <hyperlink ref="C2492" r:id="rId547" display="http://enstru.skc.kz/ru/ntru/detail/?kpved=13.99.19.00.00.00.20.12.1"/>
    <hyperlink ref="C2494" r:id="rId548" display="http://enstru.skc.kz/ru/ntru/detail/?kpved=23.51.12.00.00.10.10.10.2"/>
    <hyperlink ref="C2501" r:id="rId549" display="http://enstru.skc.kz/ru/ntru/detail/?kpved=25.93.13.00.00.10.21.12.1"/>
    <hyperlink ref="C2507" r:id="rId550" display="http://enstru.skc.kz/ru/ntru/detail/?kpved=23.31.10.01.03.01.01.22.1"/>
    <hyperlink ref="C2509" r:id="rId551" display="http://enstru.skc.kz/ru/ntru/detail/?kpved=22.23.11.00.00.30.30.10.1"/>
    <hyperlink ref="C2511" r:id="rId552" display="http://enstru.skc.kz/ru/ntru/detail/?kpved=22.23.11.00.00.30.30.10.1"/>
    <hyperlink ref="C2513" r:id="rId553" display="http://enstru.skc.kz/ru/ntru/detail/?kpved=23.31.10.01.03.02.01.15.1"/>
    <hyperlink ref="C2515" r:id="rId554" display="http://enstru.skc.kz/ru/ntru/detail/?kpved=23.31.10.01.01.01.01.10.1"/>
    <hyperlink ref="C2517" r:id="rId555" display="http://enstru.skc.kz/ru/ntru/detail/?kpved=23.31.10.01.02.01.21.50.1"/>
    <hyperlink ref="C2519" r:id="rId556" display="http://enstru.skc.kz/ru/ntru/detail/?kpved=22.23.14.00.00.70.10.10.1"/>
    <hyperlink ref="C2522" r:id="rId557" display="http://enstru.skc.kz/ru/ntru/detail/?kpved=23.91.11.00.00.00.40.05.4"/>
    <hyperlink ref="C2525" r:id="rId558" display="http://enstru.skc.kz/ru/ntru/detail/?kpved=23.52.10.00.00.10.10.25.2"/>
    <hyperlink ref="C2536" r:id="rId559" display="http://enstru.skc.kz/ru/ntru/detail/?kpved=24.33.11.00.10.10.10.16.2"/>
    <hyperlink ref="C2541" r:id="rId560" display="http://enstru.skc.kz/ru/ntru/detail/?kpved=24.33.11.00.10.13.10.10.1"/>
    <hyperlink ref="C2543" r:id="rId561" display="http://enstru.skc.kz/ru/ntru/detail/?kpved=24.42.24.00.00.14.10.11.2"/>
    <hyperlink ref="C2576" r:id="rId562" display="http://enstru.skc.kz/ru/ntru/detail/?kpved=28.29.13.00.00.00.10.14.1"/>
    <hyperlink ref="C2579" r:id="rId563" display="http://enstru.skc.kz/ru/ntru/detail/?kpved=28.25.30.10.10.10.01.03.1"/>
    <hyperlink ref="C2582" r:id="rId564" display="http://enstru.skc.kz/ru/ntru/detail/?kpved=22.21.29.00.00.26.10.10.1"/>
    <hyperlink ref="C2585" r:id="rId565" display="http://enstru.skc.kz/ru/ntru/detail/?kpved=24.20.40.00.21.10.10.11.1"/>
    <hyperlink ref="C2587" r:id="rId566" display="http://enstru.skc.kz/ru/ntru/detail/?kpved=22.21.29.00.00.27.05.10.1"/>
    <hyperlink ref="C2590" r:id="rId567" display="http://enstru.skc.kz/ru/ntru/detail/?kpved=25.94.11.00.00.13.10.10.1"/>
    <hyperlink ref="C2593" r:id="rId568" display="http://enstru.skc.kz/ru/ntru/detail/?kpved=28.14.11.10.00.00.00.12.1"/>
    <hyperlink ref="C2597" r:id="rId569" display="http://enstru.skc.kz/ru/ntru/detail/?kpved=24.45.30.01.15.11.12.11.2"/>
    <hyperlink ref="C2600" r:id="rId570" display="http://enstru.skc.kz/ru/ntru/detail/?kpved=24.10.71.00.00.14.10.11.1"/>
    <hyperlink ref="C2605" r:id="rId571" display="http://enstru.skc.kz/ru/ntru/detail/?kpved=29.32.30.00.15.00.08.09.1"/>
    <hyperlink ref="C2608" r:id="rId572" display="http://enstru.skc.kz/ru/ntru/detail/?kpved=28.15.10.00.00.00.11.11.1"/>
    <hyperlink ref="C2611" r:id="rId573" display="http://enstru.skc.kz/ru/ntru/detail/?kpved=24.10.31.00.00.12.10.11.1"/>
    <hyperlink ref="C2617" r:id="rId574" display="http://enstru.skc.kz/ru/ntru/detail/?kpved=28.25.11.00.00.00.17.10.1"/>
    <hyperlink ref="C2627" r:id="rId575" display="http://enstru.skc.kz/ru/ntru/detail/?kpved=28.14.20.12.00.00.00.01.1"/>
    <hyperlink ref="C2630" r:id="rId576" display="http://enstru.skc.kz/ru/ntru/detail/?kpved=25.21.11.00.00.10.10.01.2"/>
    <hyperlink ref="C2632" r:id="rId577" display="http://enstru.skc.kz/ru/ntru/detail/?kpved=20.59.59.00.01.14.10.10.1"/>
    <hyperlink ref="C2635" r:id="rId578" display="http://enstru.skc.kz/ru/ntru/detail/?kpved=22.19.24.00.00.00.11.14.1"/>
    <hyperlink ref="C2637" r:id="rId579" display="http://enstru.skc.kz/ru/ntru/detail/?kpved=22.19.24.00.00.00.11.14.1"/>
    <hyperlink ref="C2643" r:id="rId580" display="http://enstru.skc.kz/ru/ntru/detail/?kpved=17.12.77.20.10.10.10.10.1"/>
    <hyperlink ref="C2646" r:id="rId581" display="http://enstru.skc.kz/ru/ntru/detail/?kpved=19.20.29.00.00.20.24.10.1"/>
    <hyperlink ref="C2649" r:id="rId582" display="http://enstru.skc.kz/ru/ntru/detail/?kpved=22.19.34.00.00.25.10.30.2"/>
    <hyperlink ref="C2652" r:id="rId583" display="http://enstru.skc.kz/ru/ntru/detail/?kpved=22.19.34.00.00.10.30.11.2"/>
    <hyperlink ref="C2655" r:id="rId584" display="http://enstru.skc.kz/ru/ntru/detail/?kpved=22.21.29.00.00.50.10.11.1"/>
    <hyperlink ref="C2661" r:id="rId585" display="http://enstru.skc.kz/ru/ntru/detail/?kpved=25.11.23.00.00.12.12.10.2"/>
    <hyperlink ref="C2664" r:id="rId586" display="http://enstru.skc.kz/ru/ntru/detail/?kpved=24.10.43.00.00.10.20.10.4"/>
    <hyperlink ref="C2666" r:id="rId587" display="http://enstru.skc.kz/ru/ntru/detail/?kpved=24.34.13.00.00.20.16.11.1"/>
    <hyperlink ref="C2672" r:id="rId588" display="http://enstru.skc.kz/ru/ntru/detail/?kpved=22.19.42.00.00.10.30.27.1"/>
    <hyperlink ref="C2681" r:id="rId589" display="http://enstru.skc.kz/ru/ntru/detail/?kpved=27.12.24.19.11.11.11.10.1"/>
    <hyperlink ref="C2687" r:id="rId590" display="http://enstru.skc.kz/ru/ntru/detail/?kpved=24.44.26.00.00.11.11.11.1"/>
    <hyperlink ref="C2689" r:id="rId591" display="http://enstru.skc.kz/ru/ntru/detail/?kpved=28.14.13.41.00.00.00.03.1"/>
    <hyperlink ref="C2691" r:id="rId592" display="http://enstru.skc.kz/ru/ntru/detail/?kpved=20.14.19.00.00.20.50.10.3"/>
    <hyperlink ref="C2693" r:id="rId593" display="http://enstru.skc.kz/ru/ntru/detail/?kpved=20.14.19.00.00.20.55.10.1"/>
    <hyperlink ref="C2697" r:id="rId594" display="http://enstru.skc.kz/ru/ntru/detail/?kpved=24.45.30.01.19.10.10.11.1"/>
    <hyperlink ref="C2700" r:id="rId595" display="http://enstru.skc.kz/ru/ntru/detail/?kpved=20.59.59.00.17.13.10.10.1"/>
    <hyperlink ref="C2702" r:id="rId596" display="http://enstru.skc.kz/ru/ntru/detail/?kpved=20.14.23.00.00.10.10.50.2"/>
    <hyperlink ref="C2705" r:id="rId597" display="http://enstru.skc.kz/ru/ntru/detail/?kpved=25.93.12.00.00.11.16.10.1"/>
    <hyperlink ref="C2707" r:id="rId598" display="http://enstru.skc.kz/ru/ntru/detail/?kpved=26.51.51.11.13.11.11.11.1"/>
    <hyperlink ref="C2713" r:id="rId599" display="http://enstru.skc.kz/ru/ntru/detail/?kpved=23.99.11.05.01.00.00.09.1"/>
    <hyperlink ref="C2715" r:id="rId600" display="http://enstru.skc.kz/ru/ntru/detail/?kpved=32.91.11.00.00.00.15.60.1"/>
    <hyperlink ref="C2717" r:id="rId601" display="http://enstru.skc.kz/ru/ntru/detail/?kpved=19.20.29.00.00.00.13.20.3"/>
    <hyperlink ref="C2723" r:id="rId602" display="http://enstru.skc.kz/ru/ntru/detail/?kpved=22.21.29.00.00.10.20.10.1"/>
    <hyperlink ref="C2726" r:id="rId603" display="http://enstru.skc.kz/ru/ntru/detail/?kpved=23.65.12.00.20.10.00.04.1"/>
    <hyperlink ref="C2729" r:id="rId604" display="http://enstru.skc.kz/ru/ntru/detail/?kpved=23.99.11.04.01.00.00.12.1"/>
    <hyperlink ref="C2737" r:id="rId605" display="http://enstru.skc.kz/ru/ntru/detail/?kpved=23.65.12.00.20.10.00.04.1"/>
    <hyperlink ref="C2739" r:id="rId606" display="http://enstru.skc.kz/ru/ntru/detail/?kpved=23.99.11.04.01.00.00.12.1"/>
    <hyperlink ref="C2747" r:id="rId607" display="http://enstru.skc.kz/ru/ntru/detail/?kpved=27.90.31.00.01.02.06.10.1"/>
    <hyperlink ref="C2749" r:id="rId608" display="http://enstru.skc.kz/ru/ntru/detail/?kpved=27.90.31.00.01.02.05.10.1"/>
    <hyperlink ref="C2765" r:id="rId609" display="http://enstru.skc.kz/ru/ntru/detail/?kpved=28.29.60.00.00.10.12.10.1"/>
    <hyperlink ref="C2769" r:id="rId610" display="http://enstru.skc.kz/ru/ntru/detail/?kpved=24.45.30.01.20.10.10.11.1"/>
    <hyperlink ref="C2785" r:id="rId611" display="http://enstru.skc.kz/ru/ntru/detail/?kpved=23.99.11.06.01.00.00.01.1"/>
    <hyperlink ref="C2787" r:id="rId612" display="http://enstru.skc.kz/ru/ntru/detail/?kpved=25.94.11.09.10.10.01.01.1"/>
    <hyperlink ref="C2789" r:id="rId613" display="http://enstru.skc.kz/ru/ntru/detail/?kpved=22.19.34.00.00.25.10.30.2"/>
    <hyperlink ref="C2811" r:id="rId614" display="http://enstru.skc.kz/ru/ntru/detail/?kpved=22.21.21.00.00.40.01.06.1"/>
    <hyperlink ref="C2813" r:id="rId615" display="http://enstru.skc.kz/ru/ntru/detail/?kpved=22.21.21.00.00.40.01.09.1"/>
    <hyperlink ref="C2815" r:id="rId616" display="http://enstru.skc.kz/ru/ntru/detail/?kpved=22.21.21.00.00.40.21.10.2"/>
    <hyperlink ref="C2818" r:id="rId617" display="http://enstru.skc.kz/ru/ntru/detail/?kpved=22.21.21.00.00.40.21.11.2"/>
    <hyperlink ref="C2821" r:id="rId618" display="http://enstru.skc.kz/ru/ntru/detail/?kpved=22.21.21.00.00.40.21.12.2"/>
    <hyperlink ref="C2824" r:id="rId619" display="http://enstru.skc.kz/ru/ntru/detail/?kpved=22.21.21.00.00.40.21.13.2"/>
    <hyperlink ref="C2827" r:id="rId620" display="http://enstru.skc.kz/ru/ntru/detail/?kpved=22.21.21.00.00.40.21.14.2"/>
    <hyperlink ref="C2830" r:id="rId621" display="http://enstru.skc.kz/ru/ntru/detail/?kpved=22.21.21.00.00.40.21.15.2"/>
    <hyperlink ref="C2833" r:id="rId622" display="http://enstru.skc.kz/ru/ntru/detail/?kpved=22.21.21.00.00.40.23.20.2"/>
    <hyperlink ref="C2836" r:id="rId623" display="http://enstru.skc.kz/ru/ntru/detail/?kpved=22.21.21.00.00.40.11.10.2"/>
    <hyperlink ref="C2838" r:id="rId624" display="http://enstru.skc.kz/ru/ntru/detail/?kpved=22.21.29.00.00.17.10.10.1"/>
    <hyperlink ref="C2840" r:id="rId625" display="http://enstru.skc.kz/ru/ntru/detail/?kpved=22.21.29.00.00.17.10.12.1"/>
    <hyperlink ref="C2843" r:id="rId626" display="http://enstru.skc.kz/ru/ntru/detail/?kpved=22.21.29.00.00.17.10.11.1"/>
    <hyperlink ref="C2846" r:id="rId627" display="http://enstru.skc.kz/ru/ntru/detail/?kpved=22.21.29.00.00.17.10.10.1"/>
    <hyperlink ref="C2849" r:id="rId628" display="http://enstru.skc.kz/ru/ntru/detail/?kpved=22.21.29.00.00.17.10.12.1"/>
    <hyperlink ref="C2859" r:id="rId629" display="http://enstru.skc.kz/ru/ntru/detail/?kpved=22.29.21.20.00.00.10.10.1"/>
    <hyperlink ref="C2880" r:id="rId630" display="http://enstru.skc.kz/ru/ntru/detail/?kpved=22.21.29.00.00.35.12.28.1"/>
    <hyperlink ref="C2889" r:id="rId631" display="http://enstru.skc.kz/ru/ntru/detail/?kpved=20.11.11.00.00.80.00.10.2"/>
    <hyperlink ref="C2892" r:id="rId632" display="http://enstru.skc.kz/ru/ntru/detail/?kpved=19.20.31.00.00.00.00.10.1"/>
    <hyperlink ref="C2900" r:id="rId633" display="http://enstru.skc.kz/ru/ntru/detail/?kpved=24.44.26.00.00.11.20.11.1"/>
    <hyperlink ref="C2897" r:id="rId634" display="http://enstru.skc.kz/ru/ntru/detail/?kpved=24.20.40.00.16.10.10.11.1"/>
    <hyperlink ref="C2903" r:id="rId635" display="http://enstru.skc.kz/ru/ntru/detail/?kpved=22.21.29.00.00.12.10.12.1"/>
    <hyperlink ref="C2906" r:id="rId636" display="http://enstru.skc.kz/ru/ntru/detail/?kpved=24.20.40.00.11.11.10.11.1"/>
    <hyperlink ref="C2914" r:id="rId637" display="http://enstru.skc.kz/ru/ntru/detail/?kpved=22.21.29.00.00.23.33.19.1"/>
    <hyperlink ref="C2917" r:id="rId638" display="http://enstru.skc.kz/ru/ntru/detail/?kpved=22.21.29.00.00.23.33.15.1"/>
    <hyperlink ref="C2919" r:id="rId639" display="http://enstru.skc.kz/ru/ntru/detail/?kpved=22.21.29.00.00.23.33.13.1"/>
    <hyperlink ref="C2921" r:id="rId640" display="http://enstru.skc.kz/ru/ntru/detail/?kpved=22.21.29.00.00.23.33.10.1"/>
    <hyperlink ref="C2923" r:id="rId641" display="http://enstru.skc.kz/ru/ntru/detail/?kpved=22.21.29.00.00.23.13.12.1"/>
    <hyperlink ref="C2925" r:id="rId642" display="http://enstru.skc.kz/ru/ntru/detail/?kpved=22.19.35.00.00.45.20.08.1"/>
    <hyperlink ref="C2928" r:id="rId643" display="http://enstru.skc.kz/ru/ntru/detail/?kpved=22.21.21.00.00.12.60.10.1"/>
    <hyperlink ref="C2930" r:id="rId644" display="http://enstru.skc.kz/ru/ntru/detail/?kpved=22.21.21.00.00.12.40.15.1"/>
    <hyperlink ref="C2933" r:id="rId645" display="http://enstru.skc.kz/ru/ntru/detail/?kpved=22.21.21.00.00.12.40.16.1"/>
    <hyperlink ref="C2940" r:id="rId646" display="http://enstru.skc.kz/ru/ntru/detail/?kpved=13.10.29.00.00.00.00.20.1"/>
    <hyperlink ref="C2946" r:id="rId647" display="http://enstru.skc.kz/ru/ntru/detail/?kpved=23.42.10.12.00.00.12.40.1"/>
    <hyperlink ref="C2952" r:id="rId648" display="http://enstru.skc.kz/ru/ntru/detail/?kpved=22.23.12.00.00.14.12.10.1"/>
    <hyperlink ref="C2955" r:id="rId649" display="http://enstru.skc.kz/ru/ntru/detail/?kpved=13.94.20.00.00.00.30.10.1"/>
    <hyperlink ref="C2961" r:id="rId650" display="http://enstru.skc.kz/ru/ntru/detail/?kpved=28.13.14.10.07.07.00.03.1"/>
    <hyperlink ref="C2966" r:id="rId651" display="http://enstru.skc.kz/ru/ntru/detail/?kpved=28.14.13.13.00.00.00.04.1"/>
    <hyperlink ref="C2972" r:id="rId652" display="http://enstru.skc.kz/ru/ntru/detail/?kpved=28.14.13.15.00.00.00.03.1"/>
    <hyperlink ref="C2976" r:id="rId653" display="http://enstru.skc.kz/ru/ntru/detail/?kpved=28.14.13.21.10.12.00.05.1"/>
    <hyperlink ref="C2978" r:id="rId654" display="http://enstru.skc.kz/ru/ntru/detail/?kpved=28.14.13.21.10.12.00.02.1"/>
    <hyperlink ref="C3002" r:id="rId655" display="http://enstru.skc.kz/ru/ntru/detail/?kpved=22.29.21.20.00.00.10.10.1"/>
    <hyperlink ref="C3016" r:id="rId656" display="http://enstru.skc.kz/ru/ntru/detail/?kpved=13.94.20.00.00.00.30.10.1"/>
    <hyperlink ref="C3035" r:id="rId657" display="http://enstru.skc.kz/ru/ntru/detail/?kpved=22.21.29.00.00.23.33.19.1"/>
    <hyperlink ref="C3037" r:id="rId658" display="http://enstru.skc.kz/ru/ntru/detail/?kpved=22.21.29.00.00.23.33.15.1"/>
    <hyperlink ref="C3041" r:id="rId659" display="http://enstru.skc.kz/ru/ntru/detail/?kpved=22.21.29.00.00.23.33.13.1"/>
    <hyperlink ref="C3043" r:id="rId660" display="http://enstru.skc.kz/ru/ntru/detail/?kpved=22.21.29.00.00.23.33.10.1"/>
    <hyperlink ref="C3045" r:id="rId661" display="http://enstru.skc.kz/ru/ntru/detail/?kpved=22.21.29.00.00.23.13.12.1"/>
    <hyperlink ref="C3048" r:id="rId662" display="http://enstru.skc.kz/ru/ntru/detail/?kpved=25.94.11.00.00.30.10.30.1"/>
    <hyperlink ref="C3050" r:id="rId663" display="http://enstru.skc.kz/ru/ntru/detail/?kpved=25.94.11.00.00.30.10.20.1"/>
    <hyperlink ref="C3052" r:id="rId664" display="http://enstru.skc.kz/ru/ntru/detail/?kpved=25.94.11.00.00.30.10.10.1"/>
    <hyperlink ref="C3085" r:id="rId665" display="http://enstru.skc.kz/ru/ntru/detail/?kpved=22.21.29.00.00.51.10.10.1"/>
    <hyperlink ref="C3089" r:id="rId666" display="http://enstru.skc.kz/ru/ntru/detail/?kpved=22.19.34.00.00.26.11.05.1"/>
    <hyperlink ref="C3091" r:id="rId667" display="http://enstru.skc.kz/ru/ntru/detail/?kpved=22.19.34.00.00.26.11.04.1"/>
    <hyperlink ref="C3158" r:id="rId668" display="http://enstru.skc.kz/ru/ntru/detail/?kpved=27.90.40.09.10.01.01.01.1"/>
    <hyperlink ref="C3163" r:id="rId669" display="http://enstru.skc.kz/ru/ntru/detail/?kpved=25.94.13.00.00.10.35.10.1"/>
    <hyperlink ref="C3165" r:id="rId670" display="http://enstru.skc.kz/ru/ntru/detail/?kpved=25.94.13.00.00.10.35.10.1"/>
    <hyperlink ref="C3167" r:id="rId671" display="http://enstru.skc.kz/ru/ntru/detail/?kpved=28.93.13.00.00.00.07.02.1"/>
    <hyperlink ref="C3169" r:id="rId672" display="http://enstru.skc.kz/ru/ntru/detail/?kpved=27.51.21.04.02.00.00.20.1"/>
    <hyperlink ref="C3172" r:id="rId673" display="http://enstru.skc.kz/ru/ntru/detail/?kpved=25.73.30.00.00.22.15.11.1"/>
    <hyperlink ref="C3176" r:id="rId674" display="http://enstru.skc.kz/ru/ntru/detail/?kpved=27.40.21.00.00.11.10.40.1"/>
    <hyperlink ref="C3269" r:id="rId675" display="http://enstru.skc.kz/ru/ntru/detail/?kpved=20.59.59.00.16.00.00.12.2"/>
    <hyperlink ref="C3279" r:id="rId676" display="http://enstru.skc.kz/ru/ntru/detail/?kpved=23.52.10.00.00.10.10.25.2"/>
    <hyperlink ref="C3281" r:id="rId677" display="http://enstru.skc.kz/ru/ntru/detail/?kpved=20.30.11.00.00.00.10.50.1"/>
    <hyperlink ref="C3291" r:id="rId678" display="http://enstru.skc.kz/ru/ntru/detail/?kpved=20.59.59.00.17.10.10.10.1"/>
    <hyperlink ref="C3293" r:id="rId679" display="http://enstru.skc.kz/ru/ntru/detail/?kpved=20.30.21.00.21.04.15.20.2"/>
    <hyperlink ref="C3296" r:id="rId680" display="http://enstru.skc.kz/ru/ntru/detail/?kpved=20.30.21.00.21.04.13.10.2"/>
    <hyperlink ref="C3299" r:id="rId681" display="http://enstru.skc.kz/ru/ntru/detail/?kpved=20.30.21.00.21.06.11.10.2"/>
    <hyperlink ref="C3302" r:id="rId682" display="http://enstru.skc.kz/ru/ntru/detail/?kpved=20.30.21.00.21.04.17.05.2"/>
    <hyperlink ref="C3314" r:id="rId683" display="http://enstru.skc.kz/ru/ntru/detail/?kpved=20.52.10.00.00.00.20.10.1"/>
    <hyperlink ref="C3318" r:id="rId684" display="http://enstru.skc.kz/ru/ntru/detail/?kpved=20.52.10.00.00.00.09.06.1"/>
    <hyperlink ref="C3320" r:id="rId685" display="http://enstru.skc.kz/ru/ntru/detail/?kpved=20.52.10.00.00.00.06.10.3"/>
    <hyperlink ref="C3324" r:id="rId686" display="http://enstru.skc.kz/ru/ntru/detail/?kpved=22.21.30.00.00.10.05.10.1"/>
    <hyperlink ref="C3330" r:id="rId687" display="http://enstru.skc.kz/ru/ntru/detail/?kpved=25.93.14.00.00.10.13.12.1"/>
    <hyperlink ref="C3332" r:id="rId688" display="http://enstru.skc.kz/ru/ntru/detail/?kpved=25.93.14.00.00.10.19.14.1"/>
    <hyperlink ref="C3334" r:id="rId689" display="http://enstru.skc.kz/ru/ntru/detail/?kpved=25.93.14.00.00.10.14.15.1"/>
    <hyperlink ref="C3336" r:id="rId690" display="http://enstru.skc.kz/ru/ntru/detail/?kpved=25.93.14.00.00.10.17.27.1"/>
    <hyperlink ref="C3338" r:id="rId691" display="http://enstru.skc.kz/ru/ntru/detail/?kpved=25.93.14.00.00.10.17.28.1"/>
    <hyperlink ref="C3340" r:id="rId692" display="http://enstru.skc.kz/ru/ntru/detail/?kpved=25.93.14.00.00.10.17.29.1"/>
    <hyperlink ref="C3342" r:id="rId693" display="http://enstru.skc.kz/ru/ntru/detail/?kpved=25.93.14.00.00.10.17.30.1"/>
    <hyperlink ref="C3344" r:id="rId694" display="http://enstru.skc.kz/ru/ntru/detail/?kpved=25.93.14.00.00.10.17.31.1"/>
    <hyperlink ref="C3346" r:id="rId695" display="http://enstru.skc.kz/ru/ntru/detail/?kpved=25.93.14.00.00.10.17.32.1"/>
    <hyperlink ref="C3348" r:id="rId696" display="http://enstru.skc.kz/ru/ntru/detail/?kpved=25.93.14.00.00.10.17.33.1"/>
    <hyperlink ref="C3350" r:id="rId697" display="http://enstru.skc.kz/ru/ntru/detail/?kpved=25.94.12.00.00.11.10.10.3"/>
    <hyperlink ref="C3353" r:id="rId698" display="http://enstru.skc.kz/ru/ntru/detail/?kpved=25.94.12.00.00.11.10.10.3"/>
    <hyperlink ref="C3355" r:id="rId699" display="http://enstru.skc.kz/ru/ntru/detail/?kpved=25.94.12.00.00.11.10.10.3"/>
    <hyperlink ref="C3357" r:id="rId700" display="http://enstru.skc.kz/ru/ntru/detail/?kpved=22.21.29.00.00.60.10.10.1"/>
    <hyperlink ref="C3359" r:id="rId701" display="http://enstru.skc.kz/ru/ntru/detail/?kpved=22.21.29.00.00.60.10.10.1"/>
    <hyperlink ref="C3361" r:id="rId702" display="http://enstru.skc.kz/ru/ntru/detail/?kpved=23.31.10.01.01.01.01.00.1"/>
    <hyperlink ref="C3363" r:id="rId703" display="http://enstru.skc.kz/ru/ntru/detail/?kpved=23.31.10.01.01.01.01.00.1"/>
    <hyperlink ref="C3365" r:id="rId704" display="http://enstru.skc.kz/ru/ntru/detail/?kpved=23.31.10.01.03.02.01.15.1"/>
    <hyperlink ref="C3367" r:id="rId705" display="http://enstru.skc.kz/ru/ntru/detail/?kpved=23.31.10.01.03.02.01.15.1"/>
    <hyperlink ref="C3369" r:id="rId706" display="http://enstru.skc.kz/ru/ntru/detail/?kpved=22.23.14.00.00.70.10.11.1"/>
    <hyperlink ref="C3371" r:id="rId707" display="http://enstru.skc.kz/ru/ntru/detail/?kpved=22.23.15.00.00.20.10.10.1"/>
    <hyperlink ref="C2703" r:id="rId708" display="http://enstru.skc.kz/ru/ntru/detail/?kpved=25.73.30.00.00.25.13.10.1"/>
    <hyperlink ref="C2709" r:id="rId709" display="http://enstru.skc.kz/ru/ntru/detail/?kpved=20.59.59.00.12.00.00.29.1"/>
    <hyperlink ref="C3014" r:id="rId710" display="http://enstru.skc.kz/ru/ntru/detail/?kpved=22.21.21.00.00.12.40.10.1"/>
    <hyperlink ref="C3122" r:id="rId711" display="http://enstru.skc.kz/ru/ntru/detail/?kpved=26.30.60.00.00.00.22.50.1"/>
    <hyperlink ref="C3124" r:id="rId712" display="http://enstru.skc.kz/ru/ntru/detail/?kpved=26.30.60.00.00.00.22.12.2"/>
    <hyperlink ref="C3126" r:id="rId713" display="http://enstru.skc.kz/ru/ntru/detail/?kpved=30.20.31.00.00.00.30.04.1"/>
    <hyperlink ref="C3179" r:id="rId714" display="http://enstru.skc.kz/ru/ntru/detail/?kpved=27.51.23.00.00.03.02.20.1"/>
    <hyperlink ref="C3180" r:id="rId715" display="http://enstru.skc.kz/ru/ntru/detail/?kpved=27.51.23.00.00.03.02.20.1"/>
    <hyperlink ref="C3440" r:id="rId716" display="http://enstru.skc.kz/ru/ntru/detail/?kpved=28.30.93.00.00.20.60.10.1"/>
    <hyperlink ref="C3441" r:id="rId717" display="http://enstru.skc.kz/ru/ntru/detail/?kpved=28.30.93.00.00.20.60.10.1"/>
    <hyperlink ref="C3583" r:id="rId718" display="http://enstru.skc.kz/ru/ntru/detail/?kpved=25.94.12.00.00.12.12.10.2"/>
    <hyperlink ref="C3588" r:id="rId719" display="http://enstru.skc.kz/ru/ntru/detail/?kpved=23.51.12.00.00.10.10.10.2"/>
    <hyperlink ref="C3145" r:id="rId720" display="http://enstru.skc.kz/ru/ntru/detail/?kpved=28.94.21.00.00.00.05.06.1"/>
    <hyperlink ref="C3149" r:id="rId721" display="http://enstru.skc.kz/ru/ntru/detail/?kpved=27.51.27.00.01.00.00.20.1"/>
    <hyperlink ref="C1245" r:id="rId722" display="http://enstru.skc.kz/ru/ntru/detail/?kpved=32.99.11.00.00.05.15.10.1"/>
    <hyperlink ref="C3142" r:id="rId723" display="http://enstru.skc.kz/ru/ntru/detail/?kpved=27.51.23.00.00.04.02.20.1"/>
    <hyperlink ref="C2379" r:id="rId724" display="http://enstru.skc.kz/ru/ntru/detail/?kpved=17.24.11.30.00.00.00.20.1"/>
    <hyperlink ref="C2495" r:id="rId725" display="http://enstru.skc.kz/ru/ntru/detail/?kpved=23.51.12.00.00.10.10.10.2"/>
    <hyperlink ref="C2444" r:id="rId726" display="http://enstru.skc.kz/ru/ntru/detail/?kpved=08.12.11.00.00.00.10.10.1"/>
    <hyperlink ref="C2391" r:id="rId727" display="http://enstru.skc.kz/ru/ntru/detail/?kpved=22.23.14.00.00.76.10.30.1"/>
    <hyperlink ref="C1246" r:id="rId728" display="http://enstru.skc.kz/ru/ntru/detail/?kpved=32.99.11.00.00.05.15.10.1"/>
    <hyperlink ref="C2392" r:id="rId729" display="http://enstru.skc.kz/ru/ntru/detail/?kpved=22.23.14.00.00.76.10.30.1"/>
    <hyperlink ref="C2144" r:id="rId730" display="http://enstru.skc.kz/ru/ntru/detail/?kpved=23.49.11.00.00.00.00.32.1"/>
    <hyperlink ref="C2146" r:id="rId731" display="http://enstru.skc.kz/ru/ntru/detail/?kpved=23.49.11.00.00.00.00.32.1"/>
    <hyperlink ref="C2148" r:id="rId732" display="http://enstru.skc.kz/ru/ntru/detail/?kpved=23.49.11.00.00.00.00.32.1"/>
    <hyperlink ref="C2150" r:id="rId733" display="http://enstru.skc.kz/ru/ntru/detail/?kpved=23.49.11.00.00.00.00.32.1"/>
    <hyperlink ref="C2152" r:id="rId734" display="http://enstru.skc.kz/ru/ntru/detail/?kpved=23.49.11.00.00.00.00.32.1"/>
    <hyperlink ref="C2154" r:id="rId735" display="http://enstru.skc.kz/ru/ntru/detail/?kpved=23.49.11.00.00.00.00.32.1"/>
    <hyperlink ref="C2156" r:id="rId736" display="http://enstru.skc.kz/ru/ntru/detail/?kpved=22.29.23.50.40.10.11.10.1"/>
    <hyperlink ref="C2158" r:id="rId737" display="http://enstru.skc.kz/ru/ntru/detail/?kpved=28.30.60.00.00.00.40.11.1"/>
    <hyperlink ref="C2160" r:id="rId738" display="http://enstru.skc.kz/ru/ntru/detail/?kpved=22.21.29.00.00.51.10.10.1"/>
    <hyperlink ref="C2162" r:id="rId739" display="http://enstru.skc.kz/ru/ntru/detail/?kpved=28.30.60.00.00.00.10.13.1"/>
    <hyperlink ref="C2171" r:id="rId740" display="http://enstru.skc.kz/ru/ntru/detail/?kpved=25.99.29.00.02.13.17.10.1"/>
    <hyperlink ref="C3282" r:id="rId741" display="http://enstru.skc.kz/ru/ntru/detail/?kpved=20.30.11.00.00.00.10.50.1"/>
    <hyperlink ref="C2431" r:id="rId742" display="http://enstru.skc.kz/ru/ntru/detail/?kpved=20.30.11.00.00.00.10.50.1"/>
    <hyperlink ref="C2082" r:id="rId743" display="http://enstru.skc.kz/ru/ntru/detail/?kpved=32.91.19.00.00.00.20.05.1"/>
    <hyperlink ref="C2075" r:id="rId744" display="http://enstru.skc.kz/ru/ntru/detail/?kpved=32.91.12.00.00.00.14.18.1"/>
    <hyperlink ref="C2112" r:id="rId745" display="http://enstru.skc.kz/ru/ntru/detail/?kpved=32.91.12.00.00.00.14.18.1"/>
    <hyperlink ref="C3283" r:id="rId746" display="http://enstru.skc.kz/ru/ntru/detail/?kpved=20.30.11.00.00.00.10.50.1"/>
    <hyperlink ref="C3294" r:id="rId747" display="http://enstru.skc.kz/ru/ntru/detail/?kpved=20.30.21.00.21.04.15.20.2"/>
    <hyperlink ref="C3297" r:id="rId748" display="http://enstru.skc.kz/ru/ntru/detail/?kpved=20.30.21.00.21.04.13.10.2"/>
    <hyperlink ref="C3300" r:id="rId749" display="http://enstru.skc.kz/ru/ntru/detail/?kpved=20.30.21.00.21.06.11.10.2"/>
    <hyperlink ref="C3303" r:id="rId750" display="http://enstru.skc.kz/ru/ntru/detail/?kpved=20.30.21.00.21.04.17.05.2"/>
    <hyperlink ref="C3686" r:id="rId751" display="http://enstru.skc.kz/ru/ntru/detail/?kpved=23.91.11.00.00.10.02.01.1"/>
    <hyperlink ref="C2204" r:id="rId752" display="http://enstru.skc.kz/ru/ntru/detail/?kpved=25.73.30.00.00.19.10.10.1"/>
    <hyperlink ref="C2343" r:id="rId753" display="http://enstru.skc.kz/ru/ntru/detail/?kpved=25.94.12.00.00.11.10.10.3"/>
    <hyperlink ref="C2216" r:id="rId754" display="http://enstru.skc.kz/ru/ntru/detail/?kpved=25.73.30.00.00.32.47.10.1"/>
    <hyperlink ref="C2222" r:id="rId755" display="http://enstru.skc.kz/ru/ntru/detail/?kpved=25.73.30.00.00.16.29.10.1"/>
    <hyperlink ref="C2354" r:id="rId756" display="http://enstru.skc.kz/ru/ntru/detail/?kpved=25.94.12.00.00.11.10.10.3"/>
    <hyperlink ref="C2349" r:id="rId757" display="http://enstru.skc.kz/ru/ntru/detail/?kpved=25.94.12.00.00.11.10.12.3"/>
    <hyperlink ref="C2083" r:id="rId758" display="http://enstru.skc.kz/ru/ntru/detail/?kpved=32.91.19.00.00.00.20.05.1"/>
    <hyperlink ref="C2179" r:id="rId759" display="http://enstru.skc.kz/ru/ntru/detail/?kpved=26.51.33.00.00.00.41.04.1"/>
    <hyperlink ref="C2194" r:id="rId760" display="http://enstru.skc.kz/ru/ntru/detail/?kpved=25.94.13.00.00.10.41.10.3"/>
    <hyperlink ref="C2523" r:id="rId761" display="http://enstru.skc.kz/ru/ntru/detail/?kpved=23.91.11.00.00.00.40.05.4"/>
    <hyperlink ref="C2076" r:id="rId762" display="http://enstru.skc.kz/ru/ntru/detail/?kpved=32.91.12.00.00.00.14.18.1"/>
    <hyperlink ref="C2071" r:id="rId763" display="http://enstru.skc.kz/ru/ntru/detail/?kpved=32.91.12.00.00.00.14.18.1"/>
    <hyperlink ref="C2304" r:id="rId764" display="http://enstru.skc.kz/ru/ntru/detail/?kpved=25.73.30.00.00.30.10.17.1"/>
    <hyperlink ref="C2432" r:id="rId765" display="http://enstru.skc.kz/ru/ntru/detail/?kpved=20.30.11.00.00.00.10.50.1"/>
    <hyperlink ref="C2445" r:id="rId766" display="http://enstru.skc.kz/ru/ntru/detail/?kpved=08.12.11.00.00.00.10.10.1"/>
    <hyperlink ref="C2380" r:id="rId767" display="http://enstru.skc.kz/ru/ntru/detail/?kpved=17.24.11.30.00.00.00.20.1"/>
    <hyperlink ref="C3038" r:id="rId768" display="http://enstru.skc.kz/ru/ntru/detail/?kpved=22.21.29.00.00.23.33.15.1"/>
    <hyperlink ref="C3046" r:id="rId769" display="http://enstru.skc.kz/ru/ntru/detail/?kpved=22.21.29.00.00.23.13.12.1"/>
    <hyperlink ref="C3143" r:id="rId770" display="http://enstru.skc.kz/ru/ntru/detail/?kpved=27.51.23.00.00.04.02.20.1"/>
    <hyperlink ref="C3150" r:id="rId771" display="http://enstru.skc.kz/ru/ntru/detail/?kpved=27.51.27.00.01.00.00.20.1"/>
    <hyperlink ref="C3589" r:id="rId772" display="http://enstru.skc.kz/ru/ntru/detail/?kpved=23.51.12.00.00.10.10.10.2"/>
    <hyperlink ref="C3039" r:id="rId773" display="http://enstru.skc.kz/ru/ntru/detail/?kpved=22.21.29.00.00.23.33.15.1"/>
    <hyperlink ref="C3284" r:id="rId774" display="http://enstru.skc.kz/ru/ntru/detail/?kpved=20.30.11.00.00.00.10.50.1"/>
    <hyperlink ref="C3351" r:id="rId775" display="http://enstru.skc.kz/ru/ntru/detail/?kpved=25.94.12.00.00.11.10.10.3"/>
    <hyperlink ref="C3151" r:id="rId776" display="http://enstru.skc.kz/ru/ntru/detail/?kpved=27.51.27.00.01.00.00.20.1"/>
    <hyperlink ref="C2381" r:id="rId777" display="http://enstru.skc.kz/ru/ntru/detail/?kpved=17.24.11.30.00.00.00.20.1"/>
    <hyperlink ref="C2433" r:id="rId778" display="http://enstru.skc.kz/ru/ntru/detail/?kpved=20.30.11.00.00.00.10.50.1"/>
    <hyperlink ref="C2388" r:id="rId779" display="http://enstru.skc.kz/ru/ntru/detail/?kpved=16.21.14.00.10.00.00.04.1"/>
    <hyperlink ref="C2461" r:id="rId780" display="http://enstru.skc.kz/ru/ntru/detail/?kpved=20.30.21.00.21.02.12.18.2"/>
    <hyperlink ref="C2393" r:id="rId781" display="http://enstru.skc.kz/ru/ntru/detail/?kpved=22.23.14.00.00.76.10.30.1"/>
    <hyperlink ref="C2336" r:id="rId782" display="http://enstru.skc.kz/ru/ntru/detail/?kpved=25.94.11.00.00.10.37.01.1"/>
    <hyperlink ref="C2084" r:id="rId783" display="http://enstru.skc.kz/ru/ntru/detail/?kpved=32.91.19.00.00.00.20.05.1"/>
    <hyperlink ref="C2072" r:id="rId784" display="http://enstru.skc.kz/ru/ntru/detail/?kpved=32.91.12.00.00.00.14.18.1"/>
    <hyperlink ref="C2470" r:id="rId785" display="http://enstru.skc.kz/ru/ntru/detail/?kpved=20.59.59.00.16.00.00.12.2"/>
    <hyperlink ref="C2502" r:id="rId786" display="http://enstru.skc.kz/ru/ntru/detail/?kpved=25.93.13.00.00.10.21.12.1"/>
    <hyperlink ref="C2344" r:id="rId787" display="http://enstru.skc.kz/ru/ntru/detail/?kpved=25.94.12.00.00.11.10.10.3"/>
    <hyperlink ref="C2486" r:id="rId788" display="http://enstru.skc.kz/ru/ntru/detail/?kpved=32.99.80.00.00.00.00.05.1"/>
    <hyperlink ref="C2708" r:id="rId789" display="http://enstru.skc.kz/ru/ntru/detail/?kpved=26.51.51.11.13.11.11.11.1"/>
    <hyperlink ref="C3285" r:id="rId790" display="http://enstru.skc.kz/ru/ntru/detail/?kpved=20.30.11.00.00.00.10.50.1"/>
    <hyperlink ref="C3304" r:id="rId791" display="http://enstru.skc.kz/ru/ntru/detail/?kpved=20.30.21.00.21.04.17.05.2"/>
    <hyperlink ref="C2093" r:id="rId792" display="http://enstru.skc.kz/ru/ntru/detail/?kpved=28.30.52.00.00.00.10.30.1"/>
    <hyperlink ref="C2099" r:id="rId793" display="http://enstru.skc.kz/ru/ntru/detail/?kpved=25.73.30.00.00.21.13.12.1"/>
    <hyperlink ref="C2107" r:id="rId794" display="http://enstru.skc.kz/ru/ntru/detail/?kpved=16.29.11.00.00.00.00.30.1"/>
    <hyperlink ref="C2034" r:id="rId795" display="http://enstru.skc.kz/ru/ntru/detail/?kpved=25.72.14.00.00.60.52.10.1"/>
    <hyperlink ref="C3118" r:id="rId796" display="http://enstru.skc.kz/ru/ntru/detail/?kpved=22.19.35.00.00.00.70.20.4"/>
    <hyperlink ref="C2577" r:id="rId797" display="http://enstru.skc.kz/ru/ntru/detail/?kpved=28.29.13.00.00.00.10.14.1"/>
    <hyperlink ref="C2580" r:id="rId798" display="http://enstru.skc.kz/ru/ntru/detail/?kpved=28.25.30.10.10.10.01.03.1"/>
    <hyperlink ref="C2382" r:id="rId799" display="http://enstru.skc.kz/ru/ntru/detail/?kpved=17.24.11.30.00.00.00.20.1"/>
    <hyperlink ref="C2052" r:id="rId800" display="http://enstru.skc.kz/ru/ntru/detail/?kpved=25.72.13.00.00.10.11.10.1"/>
    <hyperlink ref="C2043" r:id="rId801" display="http://enstru.skc.kz/ru/ntru/detail/?kpved=25.72.14.00.00.62.15.10.1"/>
    <hyperlink ref="C2137" r:id="rId802" display="http://enstru.skc.kz/ru/ntru/detail/?kpved=30.99.10.00.00.00.20.10.1"/>
    <hyperlink ref="C2333" r:id="rId803" display="http://enstru.skc.kz/ru/ntru/detail/?kpved=32.99.87.00.00.00.00.32.1"/>
  </hyperlinks>
  <pageMargins left="0" right="0" top="0" bottom="0" header="0.51181102362204722" footer="0.51181102362204722"/>
  <pageSetup paperSize="9" scale="40" fitToHeight="3" orientation="landscape" r:id="rId80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КМГ_С_ГПЗ_2015</vt:lpstr>
      <vt:lpstr>КМГ_С_ГПЗ_2015!Область_печати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Айжан Альжанова</cp:lastModifiedBy>
  <cp:lastPrinted>2015-11-23T06:52:32Z</cp:lastPrinted>
  <dcterms:created xsi:type="dcterms:W3CDTF">1996-10-08T23:32:33Z</dcterms:created>
  <dcterms:modified xsi:type="dcterms:W3CDTF">2015-11-30T11:28:09Z</dcterms:modified>
</cp:coreProperties>
</file>